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30" yWindow="32760" windowWidth="28800" windowHeight="17490" tabRatio="811" firstSheet="1" activeTab="4"/>
  </bookViews>
  <sheets>
    <sheet name="Appendix A General Information" sheetId="1" r:id="rId1"/>
    <sheet name="1_Carbon-free Resource Details" sheetId="2" r:id="rId2"/>
    <sheet name="2_Emissions Factors" sheetId="3" r:id="rId3"/>
    <sheet name="3_Bid Evaluation" sheetId="4" r:id="rId4"/>
    <sheet name="4_Values Legend" sheetId="5" r:id="rId5"/>
  </sheets>
  <externalReferences>
    <externalReference r:id="rId8"/>
  </externalReferences>
  <definedNames>
    <definedName name="_ftn1" localSheetId="0">'Appendix A General Information'!$B$5</definedName>
    <definedName name="_ftnref1" localSheetId="0">'Appendix A General Information'!#REF!</definedName>
    <definedName name="BMPI" localSheetId="4">'[1]1_ZE Facility Details'!$D$4</definedName>
    <definedName name="OppRev">'1_Carbon-free Resource Details'!$D$4</definedName>
    <definedName name="SCC">'1_Carbon-free Resource Details'!#REF!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D6" authorId="0">
      <text>
        <r>
          <rPr>
            <b/>
            <sz val="10"/>
            <color indexed="8"/>
            <rFont val="Tahoma"/>
            <family val="2"/>
          </rPr>
          <t>Author: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Economic stress multiplier is set to 1 for Merchant Generators.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9"/>
            <color indexed="8"/>
            <rFont val="Tahoma"/>
            <family val="2"/>
          </rPr>
          <t>Author: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Resource Name in cells B4 and B16 of this worksheet must match Resource Name in cells B7 and B8 of the Carbon-free Resource Details worksheet, respectively.</t>
        </r>
      </text>
    </comment>
  </commentList>
</comments>
</file>

<file path=xl/sharedStrings.xml><?xml version="1.0" encoding="utf-8"?>
<sst xmlns="http://schemas.openxmlformats.org/spreadsheetml/2006/main" count="391" uniqueCount="287">
  <si>
    <t>PA</t>
  </si>
  <si>
    <t>MD</t>
  </si>
  <si>
    <t>OH</t>
  </si>
  <si>
    <t>MI</t>
  </si>
  <si>
    <t>NJ</t>
  </si>
  <si>
    <t>VA</t>
  </si>
  <si>
    <t>Generation (MWh)</t>
  </si>
  <si>
    <t>PJM</t>
  </si>
  <si>
    <t>IL</t>
  </si>
  <si>
    <t>State</t>
  </si>
  <si>
    <t>ISO</t>
  </si>
  <si>
    <t>Coal (tons)</t>
  </si>
  <si>
    <t>Weighted Total (lb/MWh)</t>
  </si>
  <si>
    <t>Natural Gas (lb/MWh)</t>
  </si>
  <si>
    <t>Coal (lb/MWh)</t>
  </si>
  <si>
    <t>Natural Gas (tons)</t>
  </si>
  <si>
    <t>Replacement Generation Mix</t>
  </si>
  <si>
    <t>Emission Factor Details</t>
  </si>
  <si>
    <t>Other Emission Factor Weighting</t>
  </si>
  <si>
    <t xml:space="preserve">ISO Average Emissions </t>
  </si>
  <si>
    <r>
      <t>Statewide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(lb/MWh)</t>
    </r>
  </si>
  <si>
    <t>Example Plant A</t>
  </si>
  <si>
    <t>Example Plant B</t>
  </si>
  <si>
    <t>Y</t>
  </si>
  <si>
    <t>KY</t>
  </si>
  <si>
    <t>DE</t>
  </si>
  <si>
    <t>WV</t>
  </si>
  <si>
    <t>IN</t>
  </si>
  <si>
    <t>Emission Criteria Max Points (g)</t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</si>
  <si>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Factor Weighting
(h)</t>
    </r>
  </si>
  <si>
    <t>Total Operating Costs ($/MWh)* (f)</t>
  </si>
  <si>
    <t>*Entry Required</t>
  </si>
  <si>
    <t>State*</t>
  </si>
  <si>
    <t>*Entry Required in highlighted cells</t>
  </si>
  <si>
    <t>Bid Evaluation</t>
  </si>
  <si>
    <t>Distance Factor
(i)</t>
  </si>
  <si>
    <t xml:space="preserve">Wind Direction
(j) </t>
  </si>
  <si>
    <t>Other Emission Wind Factor Weighting
(k)</t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</si>
  <si>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Ratio
(m)</t>
    </r>
  </si>
  <si>
    <r>
      <t>PM</t>
    </r>
    <r>
      <rPr>
        <b/>
        <vertAlign val="subscript"/>
        <sz val="11"/>
        <rFont val="Calibri"/>
        <family val="2"/>
      </rPr>
      <t>2.5</t>
    </r>
    <r>
      <rPr>
        <b/>
        <sz val="11"/>
        <rFont val="Calibri"/>
        <family val="2"/>
      </rPr>
      <t xml:space="preserve"> Ratio
(n)</t>
    </r>
  </si>
  <si>
    <r>
      <t>PM</t>
    </r>
    <r>
      <rPr>
        <b/>
        <vertAlign val="subscript"/>
        <sz val="11"/>
        <rFont val="Calibri"/>
        <family val="2"/>
      </rPr>
      <t>10</t>
    </r>
    <r>
      <rPr>
        <b/>
        <sz val="11"/>
        <rFont val="Calibri"/>
        <family val="2"/>
      </rPr>
      <t xml:space="preserve"> Ratio
(o)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</si>
  <si>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Ratio
(p)</t>
    </r>
  </si>
  <si>
    <r>
      <t>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Ratio
(q)</t>
    </r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</si>
  <si>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(lb/MWh)
(r)</t>
    </r>
  </si>
  <si>
    <r>
      <t>PM</t>
    </r>
    <r>
      <rPr>
        <b/>
        <vertAlign val="subscript"/>
        <sz val="11"/>
        <rFont val="Calibri"/>
        <family val="2"/>
      </rPr>
      <t>2.5</t>
    </r>
    <r>
      <rPr>
        <b/>
        <sz val="11"/>
        <rFont val="Calibri"/>
        <family val="2"/>
      </rPr>
      <t xml:space="preserve">
(lb/MWh)
(s)</t>
    </r>
  </si>
  <si>
    <r>
      <t>PM</t>
    </r>
    <r>
      <rPr>
        <b/>
        <vertAlign val="subscript"/>
        <sz val="11"/>
        <rFont val="Calibri"/>
        <family val="2"/>
      </rPr>
      <t>10</t>
    </r>
    <r>
      <rPr>
        <b/>
        <sz val="11"/>
        <rFont val="Calibri"/>
        <family val="2"/>
      </rPr>
      <t xml:space="preserve"> (lb/MWh)
(t)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</si>
  <si>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(lb/MWh)
(u)</t>
    </r>
  </si>
  <si>
    <r>
      <t>SO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>(lb/MWh)
(v)</t>
    </r>
  </si>
  <si>
    <r>
      <t>CO</t>
    </r>
    <r>
      <rPr>
        <b/>
        <vertAlign val="subscript"/>
        <sz val="11"/>
        <rFont val="Calibri"/>
        <family val="2"/>
      </rPr>
      <t xml:space="preserve">2
</t>
    </r>
    <r>
      <rPr>
        <b/>
        <sz val="11"/>
        <rFont val="Calibri"/>
        <family val="2"/>
      </rPr>
      <t>(w)</t>
    </r>
  </si>
  <si>
    <r>
      <t>PM</t>
    </r>
    <r>
      <rPr>
        <b/>
        <vertAlign val="subscript"/>
        <sz val="11"/>
        <rFont val="Calibri"/>
        <family val="2"/>
      </rPr>
      <t xml:space="preserve">2.5
</t>
    </r>
    <r>
      <rPr>
        <b/>
        <sz val="11"/>
        <rFont val="Calibri"/>
        <family val="2"/>
      </rPr>
      <t>(x)</t>
    </r>
  </si>
  <si>
    <r>
      <t>PM</t>
    </r>
    <r>
      <rPr>
        <b/>
        <vertAlign val="subscript"/>
        <sz val="11"/>
        <rFont val="Calibri"/>
        <family val="2"/>
      </rPr>
      <t xml:space="preserve">10
</t>
    </r>
    <r>
      <rPr>
        <b/>
        <sz val="11"/>
        <rFont val="Calibri"/>
        <family val="2"/>
      </rPr>
      <t>(y)</t>
    </r>
  </si>
  <si>
    <r>
      <t>NO</t>
    </r>
    <r>
      <rPr>
        <b/>
        <vertAlign val="subscript"/>
        <sz val="11"/>
        <rFont val="Calibri"/>
        <family val="2"/>
      </rPr>
      <t xml:space="preserve">X
</t>
    </r>
    <r>
      <rPr>
        <b/>
        <sz val="11"/>
        <rFont val="Calibri"/>
        <family val="2"/>
      </rPr>
      <t>(z)</t>
    </r>
  </si>
  <si>
    <r>
      <t>SO</t>
    </r>
    <r>
      <rPr>
        <b/>
        <vertAlign val="subscript"/>
        <sz val="11"/>
        <rFont val="Calibri"/>
        <family val="2"/>
      </rPr>
      <t xml:space="preserve">2
</t>
    </r>
    <r>
      <rPr>
        <b/>
        <sz val="11"/>
        <rFont val="Calibri"/>
        <family val="2"/>
      </rPr>
      <t>(aa)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</si>
  <si>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(bb)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</si>
  <si>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(cc)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</si>
  <si>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(dd)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</si>
  <si>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(ee)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</si>
  <si>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(ff)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</si>
  <si>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(gg)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</si>
  <si>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(hh)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</si>
  <si>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(ii)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</si>
  <si>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(jj)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</si>
  <si>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(kk)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</si>
  <si>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(ll)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</si>
  <si>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(mm)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</si>
  <si>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2.5
</t>
    </r>
    <r>
      <rPr>
        <b/>
        <sz val="11"/>
        <color indexed="63"/>
        <rFont val="Calibri"/>
        <family val="2"/>
      </rPr>
      <t>(nn)</t>
    </r>
  </si>
  <si>
    <r>
      <t>PM</t>
    </r>
    <r>
      <rPr>
        <b/>
        <vertAlign val="subscript"/>
        <sz val="11"/>
        <color indexed="63"/>
        <rFont val="Calibri"/>
        <family val="2"/>
      </rPr>
      <t xml:space="preserve">10
</t>
    </r>
    <r>
      <rPr>
        <b/>
        <sz val="11"/>
        <color indexed="63"/>
        <rFont val="Calibri"/>
        <family val="2"/>
      </rPr>
      <t>(oo)</t>
    </r>
  </si>
  <si>
    <r>
      <t>NO</t>
    </r>
    <r>
      <rPr>
        <b/>
        <vertAlign val="subscript"/>
        <sz val="11"/>
        <color indexed="63"/>
        <rFont val="Calibri"/>
        <family val="2"/>
      </rPr>
      <t xml:space="preserve">X
</t>
    </r>
    <r>
      <rPr>
        <b/>
        <sz val="11"/>
        <color indexed="63"/>
        <rFont val="Calibri"/>
        <family val="2"/>
      </rPr>
      <t>(pp)</t>
    </r>
  </si>
  <si>
    <r>
      <t>SO</t>
    </r>
    <r>
      <rPr>
        <b/>
        <vertAlign val="subscript"/>
        <sz val="11"/>
        <color indexed="63"/>
        <rFont val="Calibri"/>
        <family val="2"/>
      </rPr>
      <t xml:space="preserve">2
</t>
    </r>
    <r>
      <rPr>
        <b/>
        <sz val="11"/>
        <color indexed="63"/>
        <rFont val="Calibri"/>
        <family val="2"/>
      </rPr>
      <t>(qq)</t>
    </r>
  </si>
  <si>
    <t>Natural Gas
(uu)</t>
  </si>
  <si>
    <t>Natural Gas
(rr)</t>
  </si>
  <si>
    <t>Coal
(ss)</t>
  </si>
  <si>
    <t>Total Natural Gas &amp; Coal
(tt)</t>
  </si>
  <si>
    <t>Coal
(vv)</t>
  </si>
  <si>
    <t>Plant Emissions Total Score
(xx)</t>
  </si>
  <si>
    <t>Economic Stress Multiplier
(yy)</t>
  </si>
  <si>
    <t>Maximum Points 
(B)</t>
  </si>
  <si>
    <r>
      <t>PM</t>
    </r>
    <r>
      <rPr>
        <b/>
        <vertAlign val="subscript"/>
        <sz val="11"/>
        <color indexed="8"/>
        <rFont val="Calibri"/>
        <family val="2"/>
      </rPr>
      <t xml:space="preserve">2.5 </t>
    </r>
    <r>
      <rPr>
        <b/>
        <sz val="11"/>
        <color indexed="8"/>
        <rFont val="Calibri"/>
        <family val="2"/>
      </rPr>
      <t>Score
(D)</t>
    </r>
  </si>
  <si>
    <r>
      <t>PM</t>
    </r>
    <r>
      <rPr>
        <b/>
        <vertAlign val="subscript"/>
        <sz val="11"/>
        <color indexed="8"/>
        <rFont val="Calibri"/>
        <family val="2"/>
      </rPr>
      <t xml:space="preserve">10 </t>
    </r>
    <r>
      <rPr>
        <b/>
        <sz val="11"/>
        <color indexed="8"/>
        <rFont val="Calibri"/>
        <family val="2"/>
      </rPr>
      <t>Score
(E)</t>
    </r>
  </si>
  <si>
    <r>
      <t>NO</t>
    </r>
    <r>
      <rPr>
        <b/>
        <vertAlign val="subscript"/>
        <sz val="11"/>
        <color indexed="8"/>
        <rFont val="Calibri"/>
        <family val="2"/>
      </rPr>
      <t xml:space="preserve">x </t>
    </r>
    <r>
      <rPr>
        <b/>
        <sz val="11"/>
        <color indexed="8"/>
        <rFont val="Calibri"/>
        <family val="2"/>
      </rPr>
      <t>Score
(F)</t>
    </r>
  </si>
  <si>
    <r>
      <t>SO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Score
(G)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</si>
  <si>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Scoring Metric
(H)</t>
    </r>
  </si>
  <si>
    <r>
      <t>PM</t>
    </r>
    <r>
      <rPr>
        <b/>
        <vertAlign val="subscript"/>
        <sz val="11"/>
        <color indexed="8"/>
        <rFont val="Calibri"/>
        <family val="2"/>
      </rPr>
      <t>2.5</t>
    </r>
    <r>
      <rPr>
        <b/>
        <sz val="11"/>
        <color indexed="8"/>
        <rFont val="Calibri"/>
        <family val="2"/>
      </rPr>
      <t xml:space="preserve"> Scoring Metric
(I)</t>
    </r>
  </si>
  <si>
    <r>
      <t>PM</t>
    </r>
    <r>
      <rPr>
        <b/>
        <vertAlign val="subscript"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 xml:space="preserve"> Scoring Metric
(J)</t>
    </r>
  </si>
  <si>
    <r>
      <t>NO</t>
    </r>
    <r>
      <rPr>
        <b/>
        <vertAlign val="subscript"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Scoring Metric
(K)</t>
    </r>
  </si>
  <si>
    <r>
      <t>SO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Scoring Metric
(L)</t>
    </r>
  </si>
  <si>
    <t>Other Emission Total Factor Weighting
(l)</t>
  </si>
  <si>
    <t>Other Emission Scoring Weight
(A)</t>
  </si>
  <si>
    <t>Values Legend</t>
  </si>
  <si>
    <t>Value Identifier</t>
  </si>
  <si>
    <t>Value Description</t>
  </si>
  <si>
    <t>Value Derivation</t>
  </si>
  <si>
    <t>Data Source</t>
  </si>
  <si>
    <t>(a)</t>
  </si>
  <si>
    <t>(b)</t>
  </si>
  <si>
    <t>(c)</t>
  </si>
  <si>
    <t>(d)</t>
  </si>
  <si>
    <t>(e)</t>
  </si>
  <si>
    <t>Merchant Owned (Y/N)</t>
  </si>
  <si>
    <t>(f)</t>
  </si>
  <si>
    <t>(g)</t>
  </si>
  <si>
    <t>Emission Criteria Max Points</t>
  </si>
  <si>
    <t>(h)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</si>
  <si>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Factor Weighting</t>
    </r>
  </si>
  <si>
    <t>(i)</t>
  </si>
  <si>
    <t>Distance Factor</t>
  </si>
  <si>
    <t>(j)</t>
  </si>
  <si>
    <t>Wind Direction Factor</t>
  </si>
  <si>
    <t>(k)</t>
  </si>
  <si>
    <t>Other Emission Wind Factor Weighting</t>
  </si>
  <si>
    <t>(k) = (i) * (j)</t>
  </si>
  <si>
    <t>(l)</t>
  </si>
  <si>
    <t>Other Emission Total Factor Weighting</t>
  </si>
  <si>
    <t>(l) = (k) * (ww)</t>
  </si>
  <si>
    <t>(m)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</si>
  <si>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Ratio</t>
    </r>
  </si>
  <si>
    <t>(m) = (w) / (r)</t>
  </si>
  <si>
    <t>(n)</t>
  </si>
  <si>
    <r>
      <t>PM</t>
    </r>
    <r>
      <rPr>
        <vertAlign val="subscript"/>
        <sz val="12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Ratio</t>
    </r>
  </si>
  <si>
    <t>(n) = (x) / (s)</t>
  </si>
  <si>
    <t>(o)</t>
  </si>
  <si>
    <r>
      <t>PM</t>
    </r>
    <r>
      <rPr>
        <vertAlign val="subscript"/>
        <sz val="12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Ratio</t>
    </r>
  </si>
  <si>
    <t>(o) = (y) / (t)</t>
  </si>
  <si>
    <t>(p)</t>
  </si>
  <si>
    <r>
      <t>NO</t>
    </r>
    <r>
      <rPr>
        <vertAlign val="subscript"/>
        <sz val="12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Ratio</t>
    </r>
  </si>
  <si>
    <t>(p) = (z) / (u)</t>
  </si>
  <si>
    <t>(q)</t>
  </si>
  <si>
    <r>
      <t>SO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Ratio</t>
    </r>
  </si>
  <si>
    <t>(q) = (aa) / (v)</t>
  </si>
  <si>
    <t>(r)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</si>
  <si>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ISO Average Emissions</t>
    </r>
  </si>
  <si>
    <t xml:space="preserve">Average (w) </t>
  </si>
  <si>
    <t>Average of emissions for the ISO</t>
  </si>
  <si>
    <t>(s)</t>
  </si>
  <si>
    <r>
      <t>PM</t>
    </r>
    <r>
      <rPr>
        <vertAlign val="subscript"/>
        <sz val="12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ISO Average Emissions</t>
    </r>
  </si>
  <si>
    <t xml:space="preserve">Average (x) </t>
  </si>
  <si>
    <t>(t)</t>
  </si>
  <si>
    <r>
      <t>PM</t>
    </r>
    <r>
      <rPr>
        <vertAlign val="subscript"/>
        <sz val="12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ISO Average Emissions</t>
    </r>
  </si>
  <si>
    <t xml:space="preserve">Average (y) </t>
  </si>
  <si>
    <t>(u)</t>
  </si>
  <si>
    <r>
      <t>NO</t>
    </r>
    <r>
      <rPr>
        <vertAlign val="subscript"/>
        <sz val="12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ISO Average Emissions</t>
    </r>
  </si>
  <si>
    <t xml:space="preserve">Average (z) </t>
  </si>
  <si>
    <t>(v)</t>
  </si>
  <si>
    <r>
      <t>SO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ISO Average Emissions</t>
    </r>
  </si>
  <si>
    <t xml:space="preserve">Average (aa) </t>
  </si>
  <si>
    <t>(w)</t>
  </si>
  <si>
    <t>(x)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</si>
  <si>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 Factor, weighted</t>
    </r>
  </si>
  <si>
    <t>(x) = ((jj) + (nn)) * 2000 / (tt)</t>
  </si>
  <si>
    <t>(y)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</si>
  <si>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 Factor, weighted</t>
    </r>
  </si>
  <si>
    <t>(y) = ((kk) + (oo)) * 2000 / (tt)</t>
  </si>
  <si>
    <t>(z)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</si>
  <si>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Factor, weighted</t>
    </r>
  </si>
  <si>
    <t>(z) = ((ll) + (pp)) * 2000 / (tt)</t>
  </si>
  <si>
    <t>(aa)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</si>
  <si>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Factor, weighted</t>
    </r>
  </si>
  <si>
    <t>(aa) = ((mm) + (qq)) * 2000 / (tt)</t>
  </si>
  <si>
    <t>(bb)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</si>
  <si>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 Factor, natural gas</t>
    </r>
  </si>
  <si>
    <t>(bb) = (jj * 2000) / (rr)</t>
  </si>
  <si>
    <t>(cc)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</si>
  <si>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 Factor, natural gas</t>
    </r>
  </si>
  <si>
    <t>(cc) = (kk * 2000) / (rr)</t>
  </si>
  <si>
    <t>(dd)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</si>
  <si>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Factor, natural gas</t>
    </r>
  </si>
  <si>
    <t>(dd) = (ll * 2000) / (rr)</t>
  </si>
  <si>
    <t>(ee)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</si>
  <si>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Factor, natural gas</t>
    </r>
  </si>
  <si>
    <t>(ee) = (mm * 2000) / (rr)</t>
  </si>
  <si>
    <t>(ff)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</si>
  <si>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 Factor, coal</t>
    </r>
  </si>
  <si>
    <t>(ff) = (nn * 2000) / (ss)</t>
  </si>
  <si>
    <t>(gg)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</si>
  <si>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 Factor, coal</t>
    </r>
  </si>
  <si>
    <t>(gg) = (oo * 2000) / (ss)</t>
  </si>
  <si>
    <t>(hh)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</si>
  <si>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Factor, coal</t>
    </r>
  </si>
  <si>
    <t>(hh) = (pp * 2000) / (ss)</t>
  </si>
  <si>
    <t>(ii)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</si>
  <si>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Factor, coal</t>
    </r>
  </si>
  <si>
    <t>(ii) = (qq * 2000) / (ss)</t>
  </si>
  <si>
    <t>(jj)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</si>
  <si>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Emissions (tons), natural gas</t>
    </r>
  </si>
  <si>
    <t>(kk)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</si>
  <si>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Emissions (tons), natural gas</t>
    </r>
  </si>
  <si>
    <t>(ll)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</si>
  <si>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(tons), natural gas</t>
    </r>
  </si>
  <si>
    <t>(mm)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</si>
  <si>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(tons), natural gas</t>
    </r>
  </si>
  <si>
    <t>(nn)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</si>
  <si>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Emissions (tons), coal</t>
    </r>
  </si>
  <si>
    <t>(oo)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</si>
  <si>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Emissions (tons), coal</t>
    </r>
  </si>
  <si>
    <t>(pp)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</si>
  <si>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Emission (tons), coal</t>
    </r>
  </si>
  <si>
    <t>(qq)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</si>
  <si>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(tons), coal</t>
    </r>
  </si>
  <si>
    <t>(rr)</t>
  </si>
  <si>
    <t>Natural Gas Generation (MWh)</t>
  </si>
  <si>
    <t>(ss)</t>
  </si>
  <si>
    <t>Coal Generation (MWh)</t>
  </si>
  <si>
    <t>(tt)</t>
  </si>
  <si>
    <t>Total Generation (MWh)</t>
  </si>
  <si>
    <t>(uu)</t>
  </si>
  <si>
    <t>Natural Gas % Replacement Generation</t>
  </si>
  <si>
    <t>(uu) = (rr) / (tt)</t>
  </si>
  <si>
    <t>(vv)</t>
  </si>
  <si>
    <t>Coal % Replacement Generation</t>
  </si>
  <si>
    <t>(vv) = (ss) / (tt)</t>
  </si>
  <si>
    <t>(ww)</t>
  </si>
  <si>
    <t>(ww) = 33% or 67% of (tt)</t>
  </si>
  <si>
    <t>(xx)</t>
  </si>
  <si>
    <t>Plant Emissions Total Score</t>
  </si>
  <si>
    <t>(xx) = ((C) + (D) + (E) + (F) + (G)) * (yy)</t>
  </si>
  <si>
    <t>(yy)</t>
  </si>
  <si>
    <t>Economic Stress Multiplier</t>
  </si>
  <si>
    <t>(zz)</t>
  </si>
  <si>
    <r>
      <t>CO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Scoring Weight</t>
    </r>
  </si>
  <si>
    <t>(A)</t>
  </si>
  <si>
    <t>Other Emission Scoring Weight</t>
  </si>
  <si>
    <t>(A) = (l)</t>
  </si>
  <si>
    <t>(B)</t>
  </si>
  <si>
    <t>Maximum Points for Emission Scoring</t>
  </si>
  <si>
    <t>(B) = (g)</t>
  </si>
  <si>
    <t>(C)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</si>
  <si>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Score</t>
    </r>
  </si>
  <si>
    <t>(C) = (zz) * (B) * (H)</t>
  </si>
  <si>
    <t>(D)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</si>
  <si>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Score</t>
    </r>
  </si>
  <si>
    <t>(D) = (A) * (B) * (I)</t>
  </si>
  <si>
    <t>(E)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</si>
  <si>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Score</t>
    </r>
  </si>
  <si>
    <t>(E) = (A) * (B) * (J)</t>
  </si>
  <si>
    <t>(F)</t>
  </si>
  <si>
    <r>
      <t>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Score</t>
    </r>
  </si>
  <si>
    <t>(F) = (A) * (B) * (K)</t>
  </si>
  <si>
    <t>(G)</t>
  </si>
  <si>
    <r>
      <t>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Score</t>
    </r>
  </si>
  <si>
    <t>(G) = (A) * (B) * (L)</t>
  </si>
  <si>
    <t>(H)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</si>
  <si>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Scoring Metric</t>
    </r>
  </si>
  <si>
    <t>(H) = (m)</t>
  </si>
  <si>
    <t>(I)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</si>
  <si>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Scoring Metric</t>
    </r>
  </si>
  <si>
    <t>(I) = (n)</t>
  </si>
  <si>
    <t>(J)</t>
  </si>
  <si>
    <r>
      <t>PM</t>
    </r>
    <r>
      <rPr>
        <vertAlign val="subscript"/>
        <sz val="12"/>
        <color indexed="8"/>
        <rFont val="Calibri"/>
        <family val="2"/>
      </rPr>
      <t xml:space="preserve">10 </t>
    </r>
    <r>
      <rPr>
        <sz val="11"/>
        <color theme="1"/>
        <rFont val="Calibri"/>
        <family val="2"/>
      </rPr>
      <t>Scoring Metric</t>
    </r>
  </si>
  <si>
    <t>(J) = (o)</t>
  </si>
  <si>
    <t>(K)</t>
  </si>
  <si>
    <r>
      <t>NO</t>
    </r>
    <r>
      <rPr>
        <vertAlign val="subscript"/>
        <sz val="12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Scoring Metric</t>
    </r>
  </si>
  <si>
    <t>(K) = (p)</t>
  </si>
  <si>
    <t>(L)</t>
  </si>
  <si>
    <r>
      <t>SO</t>
    </r>
    <r>
      <rPr>
        <vertAlign val="subscript"/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Scoring Metric</t>
    </r>
  </si>
  <si>
    <t>(L) = (q)</t>
  </si>
  <si>
    <t>Total Natural Gas &amp; Coal Generation (MWh)
(tt)</t>
  </si>
  <si>
    <t>Emission Location Factor Weighting
(ww)</t>
  </si>
  <si>
    <t>Emission Location Factor</t>
  </si>
  <si>
    <t>Emission Location Factor Weighting (ww)</t>
  </si>
  <si>
    <r>
      <t>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Scoring Weight
(zz)</t>
    </r>
  </si>
  <si>
    <t>(zz) = (h) * (ww)</t>
  </si>
  <si>
    <t>Opportunity Revenues (a)</t>
  </si>
  <si>
    <t>Utility Reported Costs</t>
  </si>
  <si>
    <t>Merchant Generator (Y/N)*
(d)</t>
  </si>
  <si>
    <t>CMC Procurement Plan, Ch. 4</t>
  </si>
  <si>
    <t>CMC Procurement Plan, Ch. 5</t>
  </si>
  <si>
    <t>PJM BRA Results</t>
  </si>
  <si>
    <t>EIA 2017 State Level</t>
  </si>
  <si>
    <t>EIA 2017, NEI 2017</t>
  </si>
  <si>
    <t>2017 NEI Data</t>
  </si>
  <si>
    <t>Opportunity Revenues</t>
  </si>
  <si>
    <r>
      <t>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Score
(C)</t>
    </r>
  </si>
  <si>
    <t>Utility Reported Costs (e)</t>
  </si>
  <si>
    <t>Carbon-free Resource Details</t>
  </si>
  <si>
    <t>(yy) =  (e) / (a)</t>
  </si>
  <si>
    <t>Resource Name*</t>
  </si>
  <si>
    <t>Resource Name*
(b)</t>
  </si>
  <si>
    <t>Resource State*
(c)</t>
  </si>
  <si>
    <t>N</t>
  </si>
  <si>
    <t>Resource Name</t>
  </si>
  <si>
    <t>Resource State</t>
  </si>
  <si>
    <t>Carbon-free resource bids will be evaluated based on information submitted by bidders in the eligibility information form, Appendix B to the IPA CMC procurement plan.  This Appendix A contains four worksheets: 1_Carbon-free Resource Details, 2_Emissions Factors, 3_Bid Evaluation and 4_Values Legend.  1_Carbon-free Resource Details compiles data from the carbon-free resource eligibility form including the unit name, location (state) and unit operating costs.  2_Emissions Factors provides the calculations and assumptions used to determine each state’s CO2, PM2.5, PM10, NOX, and SO2 emission factor based on the EIA 201 state-level generation in MWh and the EPA’s 2017 National Emissions Inventory state-level emissions by pollutant and generator fuel type.  3_Bid Evaluation provides the summary and calculation of the bid evaluations based on the data in 1_Carbon-free Resource Details and 2_Emissions Factors. 4_Values Legend provides the key to the lettering in the other three worksheets to provide a guide for the formulas in each cell along with the applicable data source.</t>
  </si>
  <si>
    <t>Appendix A - Bid Evaluation Form</t>
  </si>
  <si>
    <t>Appendix B</t>
  </si>
  <si>
    <t>Total Operating Cost (average of the sum of values in columns 1-5 of Appendix B, CfR Cost Information worksheet)</t>
  </si>
  <si>
    <r>
      <rPr>
        <b/>
        <sz val="12"/>
        <color indexed="8"/>
        <rFont val="Calibri"/>
        <family val="2"/>
      </rPr>
      <t>Data Sources:</t>
    </r>
    <r>
      <rPr>
        <sz val="11"/>
        <color theme="1"/>
        <rFont val="Calibri"/>
        <family val="2"/>
      </rPr>
      <t xml:space="preserve">
CMC Procurement Plan
EIA 2017 State-level Data (https://www.eia.gov/electricity/data/state)
2017 National Emissions Inventory (https://www.epa.gov/air-emissions-inventories/2017-national-emissions-inventory-nei-data)
PJM Base Residual Auction Results
Appendix B - Carbon-free Resource Eligibility Form
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</si>
  <si>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 (EIA 2017)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</si>
</sst>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&quot;$&quot;#,##0.00"/>
    <numFmt numFmtId="169" formatCode="#,##0.0"/>
    <numFmt numFmtId="170" formatCode="_(* #,##0.0_);_(* \(#,##0.0\);_(* &quot;-&quot;?_);_(@_)"/>
    <numFmt numFmtId="171" formatCode="_(* #,##0.000_);_(* \(#,##0.000\);_(* &quot;-&quot;???_);_(@_)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1"/>
      <name val="Calibri"/>
      <family val="2"/>
    </font>
    <font>
      <b/>
      <sz val="11"/>
      <color indexed="63"/>
      <name val="Calibri"/>
      <family val="2"/>
    </font>
    <font>
      <b/>
      <vertAlign val="subscript"/>
      <sz val="11"/>
      <color indexed="63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6"/>
      <name val="Calibri"/>
      <family val="2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002060"/>
      <name val="Calibri"/>
      <family val="2"/>
    </font>
    <font>
      <sz val="11"/>
      <color theme="9" tint="-0.4999699890613556"/>
      <name val="Calibri"/>
      <family val="2"/>
    </font>
    <font>
      <sz val="11"/>
      <color theme="6" tint="-0.4999699890613556"/>
      <name val="Calibri"/>
      <family val="2"/>
    </font>
    <font>
      <sz val="11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3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>
        <color theme="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dotted">
        <color theme="0" tint="-0.24993999302387238"/>
      </top>
      <bottom/>
    </border>
    <border>
      <left/>
      <right/>
      <top style="medium">
        <color theme="3"/>
      </top>
      <bottom/>
    </border>
    <border>
      <left style="thin"/>
      <right/>
      <top style="dotted">
        <color theme="0" tint="-0.24993999302387238"/>
      </top>
      <bottom/>
    </border>
    <border>
      <left/>
      <right style="thin"/>
      <top style="dotted">
        <color theme="0" tint="-0.24993999302387238"/>
      </top>
      <bottom/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dotted">
        <color theme="0" tint="-0.24993999302387238"/>
      </top>
      <bottom/>
    </border>
    <border>
      <left style="medium"/>
      <right/>
      <top style="dotted">
        <color theme="0" tint="-0.24993999302387238"/>
      </top>
      <bottom style="medium"/>
    </border>
    <border>
      <left/>
      <right/>
      <top style="dotted">
        <color theme="0" tint="-0.24993999302387238"/>
      </top>
      <bottom style="medium"/>
    </border>
    <border>
      <left style="thin"/>
      <right/>
      <top style="dotted">
        <color theme="0" tint="-0.24993999302387238"/>
      </top>
      <bottom style="medium"/>
    </border>
    <border>
      <left/>
      <right style="medium"/>
      <top style="dotted">
        <color theme="0" tint="-0.24993999302387238"/>
      </top>
      <bottom style="medium"/>
    </border>
    <border>
      <left/>
      <right style="medium"/>
      <top style="dotted">
        <color theme="0" tint="-0.24993999302387238"/>
      </top>
      <bottom/>
    </border>
    <border>
      <left/>
      <right style="thin"/>
      <top style="dotted">
        <color theme="0" tint="-0.2499399930238723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0" borderId="1" applyNumberFormat="0" applyFont="0" applyProtection="0">
      <alignment wrapText="1"/>
    </xf>
    <xf numFmtId="0" fontId="49" fillId="27" borderId="2" applyNumberFormat="0" applyAlignment="0" applyProtection="0"/>
    <xf numFmtId="0" fontId="5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Protection="0">
      <alignment vertical="top" wrapText="1"/>
    </xf>
    <xf numFmtId="0" fontId="48" fillId="0" borderId="4" applyNumberFormat="0" applyProtection="0">
      <alignment vertical="top" wrapText="1"/>
    </xf>
    <xf numFmtId="0" fontId="53" fillId="29" borderId="0" applyNumberFormat="0" applyBorder="0" applyAlignment="0" applyProtection="0"/>
    <xf numFmtId="0" fontId="54" fillId="0" borderId="5" applyNumberFormat="0" applyProtection="0">
      <alignment wrapText="1"/>
    </xf>
    <xf numFmtId="0" fontId="54" fillId="0" borderId="6" applyNumberFormat="0" applyProtection="0">
      <alignment horizontal="left" wrapText="1"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0" borderId="10" applyNumberFormat="0" applyFill="0" applyAlignment="0" applyProtection="0"/>
    <xf numFmtId="0" fontId="62" fillId="31" borderId="0" applyNumberFormat="0" applyBorder="0" applyAlignment="0" applyProtection="0"/>
    <xf numFmtId="0" fontId="0" fillId="32" borderId="11" applyNumberFormat="0" applyFont="0" applyAlignment="0" applyProtection="0"/>
    <xf numFmtId="0" fontId="63" fillId="27" borderId="12" applyNumberFormat="0" applyAlignment="0" applyProtection="0"/>
    <xf numFmtId="0" fontId="54" fillId="0" borderId="13" applyNumberFormat="0" applyProtection="0">
      <alignment wrapText="1"/>
    </xf>
    <xf numFmtId="9" fontId="0" fillId="0" borderId="0" applyFont="0" applyFill="0" applyBorder="0" applyAlignment="0" applyProtection="0"/>
    <xf numFmtId="0" fontId="48" fillId="0" borderId="14" applyNumberFormat="0" applyFont="0" applyFill="0" applyProtection="0">
      <alignment wrapText="1"/>
    </xf>
    <xf numFmtId="0" fontId="54" fillId="0" borderId="15" applyNumberFormat="0" applyFill="0" applyProtection="0">
      <alignment wrapText="1"/>
    </xf>
    <xf numFmtId="0" fontId="64" fillId="0" borderId="0" applyNumberFormat="0" applyProtection="0">
      <alignment horizontal="left"/>
    </xf>
    <xf numFmtId="0" fontId="65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7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2" fontId="66" fillId="0" borderId="0" xfId="0" applyNumberFormat="1" applyFont="1" applyBorder="1" applyAlignment="1">
      <alignment horizontal="center" vertical="center"/>
    </xf>
    <xf numFmtId="43" fontId="0" fillId="0" borderId="0" xfId="43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43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58" fillId="0" borderId="0" xfId="60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164" fontId="37" fillId="0" borderId="0" xfId="68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4" fontId="37" fillId="0" borderId="19" xfId="0" applyNumberFormat="1" applyFont="1" applyFill="1" applyBorder="1" applyAlignment="1">
      <alignment/>
    </xf>
    <xf numFmtId="4" fontId="37" fillId="0" borderId="20" xfId="0" applyNumberFormat="1" applyFont="1" applyFill="1" applyBorder="1" applyAlignment="1">
      <alignment/>
    </xf>
    <xf numFmtId="0" fontId="37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6" fontId="37" fillId="0" borderId="0" xfId="0" applyNumberFormat="1" applyFont="1" applyFill="1" applyBorder="1" applyAlignment="1">
      <alignment horizontal="center" vertical="center" wrapText="1"/>
    </xf>
    <xf numFmtId="166" fontId="37" fillId="0" borderId="21" xfId="0" applyNumberFormat="1" applyFont="1" applyFill="1" applyBorder="1" applyAlignment="1">
      <alignment horizontal="center" vertical="center" wrapText="1"/>
    </xf>
    <xf numFmtId="166" fontId="37" fillId="0" borderId="22" xfId="0" applyNumberFormat="1" applyFont="1" applyFill="1" applyBorder="1" applyAlignment="1">
      <alignment horizontal="center" vertical="center" wrapText="1"/>
    </xf>
    <xf numFmtId="165" fontId="37" fillId="0" borderId="0" xfId="43" applyNumberFormat="1" applyFont="1" applyFill="1" applyAlignment="1">
      <alignment/>
    </xf>
    <xf numFmtId="0" fontId="37" fillId="0" borderId="0" xfId="0" applyFont="1" applyFill="1" applyBorder="1" applyAlignment="1">
      <alignment horizontal="center"/>
    </xf>
    <xf numFmtId="166" fontId="73" fillId="0" borderId="0" xfId="0" applyNumberFormat="1" applyFont="1" applyFill="1" applyBorder="1" applyAlignment="1">
      <alignment horizontal="center" vertical="center" wrapText="1"/>
    </xf>
    <xf numFmtId="166" fontId="73" fillId="0" borderId="21" xfId="0" applyNumberFormat="1" applyFont="1" applyFill="1" applyBorder="1" applyAlignment="1">
      <alignment horizontal="center" vertical="center" wrapText="1"/>
    </xf>
    <xf numFmtId="166" fontId="73" fillId="0" borderId="22" xfId="0" applyNumberFormat="1" applyFont="1" applyFill="1" applyBorder="1" applyAlignment="1">
      <alignment horizontal="center" vertical="center" wrapText="1"/>
    </xf>
    <xf numFmtId="169" fontId="73" fillId="0" borderId="0" xfId="43" applyNumberFormat="1" applyFont="1" applyFill="1" applyBorder="1" applyAlignment="1">
      <alignment horizontal="center"/>
    </xf>
    <xf numFmtId="169" fontId="73" fillId="0" borderId="22" xfId="43" applyNumberFormat="1" applyFont="1" applyFill="1" applyBorder="1" applyAlignment="1">
      <alignment horizontal="center"/>
    </xf>
    <xf numFmtId="165" fontId="73" fillId="0" borderId="22" xfId="43" applyNumberFormat="1" applyFont="1" applyFill="1" applyBorder="1" applyAlignment="1">
      <alignment horizontal="center" vertical="center"/>
    </xf>
    <xf numFmtId="165" fontId="73" fillId="0" borderId="0" xfId="43" applyNumberFormat="1" applyFont="1" applyFill="1" applyBorder="1" applyAlignment="1">
      <alignment horizontal="center" vertical="center"/>
    </xf>
    <xf numFmtId="165" fontId="73" fillId="0" borderId="21" xfId="43" applyNumberFormat="1" applyFont="1" applyFill="1" applyBorder="1" applyAlignment="1">
      <alignment horizontal="center" vertical="center"/>
    </xf>
    <xf numFmtId="9" fontId="73" fillId="0" borderId="21" xfId="68" applyFont="1" applyFill="1" applyBorder="1" applyAlignment="1">
      <alignment horizontal="center" vertical="center" wrapText="1"/>
    </xf>
    <xf numFmtId="165" fontId="73" fillId="0" borderId="22" xfId="43" applyNumberFormat="1" applyFont="1" applyFill="1" applyBorder="1" applyAlignment="1">
      <alignment horizontal="center" vertical="center" wrapText="1"/>
    </xf>
    <xf numFmtId="165" fontId="73" fillId="0" borderId="0" xfId="43" applyNumberFormat="1" applyFont="1" applyFill="1" applyBorder="1" applyAlignment="1">
      <alignment horizontal="center" vertical="center" wrapText="1"/>
    </xf>
    <xf numFmtId="9" fontId="73" fillId="0" borderId="0" xfId="68" applyFont="1" applyFill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169" fontId="73" fillId="0" borderId="21" xfId="43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42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2" fontId="66" fillId="0" borderId="19" xfId="0" applyNumberFormat="1" applyFont="1" applyBorder="1" applyAlignment="1">
      <alignment horizontal="center" vertical="center"/>
    </xf>
    <xf numFmtId="164" fontId="0" fillId="0" borderId="19" xfId="68" applyNumberFormat="1" applyFont="1" applyBorder="1" applyAlignment="1">
      <alignment horizontal="center" vertical="center"/>
    </xf>
    <xf numFmtId="167" fontId="0" fillId="0" borderId="19" xfId="43" applyNumberFormat="1" applyFont="1" applyBorder="1" applyAlignment="1">
      <alignment horizontal="center" vertical="center"/>
    </xf>
    <xf numFmtId="9" fontId="0" fillId="0" borderId="19" xfId="6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3" fontId="66" fillId="0" borderId="19" xfId="43" applyNumberFormat="1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0" fillId="0" borderId="0" xfId="0" applyAlignment="1">
      <alignment/>
    </xf>
    <xf numFmtId="164" fontId="0" fillId="0" borderId="0" xfId="68" applyNumberFormat="1" applyFont="1" applyAlignment="1">
      <alignment horizontal="center"/>
    </xf>
    <xf numFmtId="164" fontId="37" fillId="0" borderId="28" xfId="68" applyNumberFormat="1" applyFont="1" applyBorder="1" applyAlignment="1">
      <alignment horizontal="center"/>
    </xf>
    <xf numFmtId="164" fontId="37" fillId="0" borderId="22" xfId="68" applyNumberFormat="1" applyFont="1" applyFill="1" applyBorder="1" applyAlignment="1">
      <alignment horizontal="center"/>
    </xf>
    <xf numFmtId="164" fontId="37" fillId="0" borderId="21" xfId="68" applyNumberFormat="1" applyFont="1" applyFill="1" applyBorder="1" applyAlignment="1">
      <alignment horizontal="center"/>
    </xf>
    <xf numFmtId="164" fontId="37" fillId="0" borderId="19" xfId="68" applyNumberFormat="1" applyFont="1" applyFill="1" applyBorder="1" applyAlignment="1">
      <alignment horizontal="center"/>
    </xf>
    <xf numFmtId="164" fontId="37" fillId="0" borderId="20" xfId="68" applyNumberFormat="1" applyFont="1" applyFill="1" applyBorder="1" applyAlignment="1">
      <alignment horizontal="center"/>
    </xf>
    <xf numFmtId="165" fontId="73" fillId="0" borderId="22" xfId="43" applyNumberFormat="1" applyFont="1" applyBorder="1" applyAlignment="1">
      <alignment horizontal="center" vertical="center"/>
    </xf>
    <xf numFmtId="165" fontId="73" fillId="0" borderId="27" xfId="43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164" fontId="37" fillId="0" borderId="30" xfId="68" applyNumberFormat="1" applyFont="1" applyBorder="1" applyAlignment="1">
      <alignment horizontal="center"/>
    </xf>
    <xf numFmtId="164" fontId="37" fillId="0" borderId="31" xfId="68" applyNumberFormat="1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37" fillId="33" borderId="3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7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6" fontId="37" fillId="0" borderId="28" xfId="68" applyNumberFormat="1" applyFont="1" applyBorder="1" applyAlignment="1">
      <alignment horizontal="center"/>
    </xf>
    <xf numFmtId="0" fontId="37" fillId="34" borderId="33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  <xf numFmtId="49" fontId="37" fillId="34" borderId="26" xfId="0" applyNumberFormat="1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49" fontId="37" fillId="34" borderId="0" xfId="0" applyNumberFormat="1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5" fillId="0" borderId="23" xfId="0" applyFont="1" applyBorder="1" applyAlignment="1">
      <alignment vertical="center"/>
    </xf>
    <xf numFmtId="0" fontId="45" fillId="0" borderId="2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164" fontId="37" fillId="0" borderId="27" xfId="68" applyNumberFormat="1" applyFont="1" applyFill="1" applyBorder="1" applyAlignment="1">
      <alignment horizontal="center"/>
    </xf>
    <xf numFmtId="0" fontId="74" fillId="0" borderId="25" xfId="0" applyFont="1" applyBorder="1" applyAlignment="1">
      <alignment horizontal="center" vertical="center" wrapText="1"/>
    </xf>
    <xf numFmtId="0" fontId="3" fillId="0" borderId="0" xfId="6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64" fontId="37" fillId="0" borderId="32" xfId="68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164" fontId="37" fillId="0" borderId="41" xfId="68" applyNumberFormat="1" applyFont="1" applyBorder="1" applyAlignment="1">
      <alignment horizontal="center"/>
    </xf>
    <xf numFmtId="166" fontId="37" fillId="0" borderId="41" xfId="68" applyNumberFormat="1" applyFont="1" applyBorder="1" applyAlignment="1">
      <alignment horizontal="center"/>
    </xf>
    <xf numFmtId="164" fontId="37" fillId="0" borderId="42" xfId="68" applyNumberFormat="1" applyFont="1" applyBorder="1" applyAlignment="1">
      <alignment horizontal="center"/>
    </xf>
    <xf numFmtId="166" fontId="37" fillId="0" borderId="43" xfId="68" applyNumberFormat="1" applyFont="1" applyBorder="1" applyAlignment="1">
      <alignment horizontal="center"/>
    </xf>
    <xf numFmtId="166" fontId="37" fillId="0" borderId="44" xfId="68" applyNumberFormat="1" applyFont="1" applyBorder="1" applyAlignment="1">
      <alignment horizontal="center"/>
    </xf>
    <xf numFmtId="164" fontId="37" fillId="0" borderId="45" xfId="68" applyNumberFormat="1" applyFont="1" applyBorder="1" applyAlignment="1">
      <alignment horizontal="center"/>
    </xf>
    <xf numFmtId="168" fontId="3" fillId="0" borderId="46" xfId="0" applyNumberFormat="1" applyFont="1" applyBorder="1" applyAlignment="1">
      <alignment/>
    </xf>
    <xf numFmtId="0" fontId="66" fillId="0" borderId="0" xfId="0" applyFont="1" applyAlignment="1">
      <alignment/>
    </xf>
    <xf numFmtId="0" fontId="0" fillId="0" borderId="47" xfId="0" applyBorder="1" applyAlignment="1">
      <alignment horizontal="left" vertical="justify" wrapText="1"/>
    </xf>
    <xf numFmtId="0" fontId="0" fillId="0" borderId="47" xfId="0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3" xfId="60" applyFont="1" applyFill="1" applyBorder="1" applyAlignment="1">
      <alignment horizontal="center" wrapText="1"/>
    </xf>
    <xf numFmtId="0" fontId="3" fillId="0" borderId="26" xfId="60" applyFont="1" applyFill="1" applyBorder="1" applyAlignment="1">
      <alignment horizontal="center" wrapText="1"/>
    </xf>
    <xf numFmtId="0" fontId="3" fillId="0" borderId="17" xfId="6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53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llowed Hyperlink 2" xfId="49"/>
    <cellStyle name="Font: Calibri, 9pt regular" xfId="50"/>
    <cellStyle name="Footnotes: all except top row" xfId="51"/>
    <cellStyle name="Footnotes: top row" xfId="52"/>
    <cellStyle name="Good" xfId="53"/>
    <cellStyle name="Header: bottom row" xfId="54"/>
    <cellStyle name="Header: top rows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te" xfId="65"/>
    <cellStyle name="Output" xfId="66"/>
    <cellStyle name="Parent row" xfId="67"/>
    <cellStyle name="Percent" xfId="68"/>
    <cellStyle name="Section Break" xfId="69"/>
    <cellStyle name="Section Break: parent row" xfId="70"/>
    <cellStyle name="Table title" xfId="71"/>
    <cellStyle name="Title" xfId="72"/>
    <cellStyle name="Total" xfId="73"/>
    <cellStyle name="Warning Text" xfId="74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2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hony.star\AppData\Local\Microsoft\Windows\INetCache\Content.Outlook\3NFA6AMG\Appendix%20E%20-%20Bid%20Evaluation%2020170728%20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E General Information"/>
      <sheetName val="1_ZE Facility Details"/>
      <sheetName val="2_Emissions Factors"/>
      <sheetName val="3_Bid Evaluation"/>
      <sheetName val="4_Wind Distance Summary"/>
      <sheetName val="5_Wind Direction Summary"/>
    </sheetNames>
    <sheetDataSet>
      <sheetData sheetId="1">
        <row r="4">
          <cell r="D4">
            <v>31.4</v>
          </cell>
        </row>
      </sheetData>
    </sheetDataSet>
  </externalBook>
</externalLink>
</file>

<file path=xl/tables/table1.xml><?xml version="1.0" encoding="utf-8"?>
<table xmlns="http://schemas.openxmlformats.org/spreadsheetml/2006/main" id="7" name="Table7" displayName="Table7" ref="B6:F8" comment="" totalsRowShown="0">
  <tableColumns count="5">
    <tableColumn id="1" name="Resource Name*_x000A_(b)"/>
    <tableColumn id="2" name="Resource State*_x000A_(c)"/>
    <tableColumn id="4" name="Merchant Generator (Y/N)*_x000A_(d)"/>
    <tableColumn id="7" name="Utility Reported Costs (e)"/>
    <tableColumn id="5" name="Total Operating Costs ($/MWh)* (f)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28:AB39" comment="" totalsRowShown="0">
  <tableColumns count="27">
    <tableColumn id="1" name="State"/>
    <tableColumn id="2" name="CO2_x000A_(w)"/>
    <tableColumn id="3" name="PM2.5_x000A_(x)"/>
    <tableColumn id="4" name="PM10_x000A_(y)"/>
    <tableColumn id="5" name="NOX_x000A_(z)"/>
    <tableColumn id="6" name="SO2_x000A_(aa)"/>
    <tableColumn id="7" name="PM2.5_x000A_(bb)"/>
    <tableColumn id="8" name="PM10_x000A_(cc)"/>
    <tableColumn id="9" name="NOX_x000A_(dd)"/>
    <tableColumn id="10" name="SO2_x000A_(ee)"/>
    <tableColumn id="11" name="PM2.5_x000A_(ff)"/>
    <tableColumn id="12" name="PM10_x000A_(gg)"/>
    <tableColumn id="13" name="NOX_x000A_(hh)"/>
    <tableColumn id="14" name="SO2_x000A_(ii)"/>
    <tableColumn id="15" name="PM2.5_x000A_(jj)"/>
    <tableColumn id="16" name="PM10_x000A_(kk)"/>
    <tableColumn id="17" name="NOX_x000A_(ll)"/>
    <tableColumn id="18" name="SO2_x000A_(mm)"/>
    <tableColumn id="19" name="PM2.5_x000A_(nn)"/>
    <tableColumn id="20" name="PM10_x000A_(oo)"/>
    <tableColumn id="21" name="NOX_x000A_(pp)"/>
    <tableColumn id="22" name="SO2_x000A_(qq)"/>
    <tableColumn id="23" name="Natural Gas_x000A_(rr)"/>
    <tableColumn id="24" name="Coal_x000A_(ss)"/>
    <tableColumn id="26" name="Total Natural Gas &amp; Coal_x000A_(tt)"/>
    <tableColumn id="27" name="Natural Gas_x000A_(uu)"/>
    <tableColumn id="28" name="Coal_x000A_(vv)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4:T28" comment="" totalsRowShown="0">
  <tableColumns count="19">
    <tableColumn id="1" name="Resource Name*"/>
    <tableColumn id="2" name="State*"/>
    <tableColumn id="3" name="Plant Emissions Total Score_x000A_(xx)"/>
    <tableColumn id="22" name="Economic Stress Multiplier_x000A_(yy)"/>
    <tableColumn id="18" name="CO2 Factor Weighting_x000A_(h)"/>
    <tableColumn id="16" name="Emission Location Factor Weighting (ww)"/>
    <tableColumn id="19" name="CO2 Scoring Weight_x000A_(zz)"/>
    <tableColumn id="14" name="Other Emission Scoring Weight_x000A_(A)"/>
    <tableColumn id="15" name="Maximum Points _x000A_(B)"/>
    <tableColumn id="4" name="CO2 Score_x000A_(C)"/>
    <tableColumn id="5" name="PM2.5 Score_x000A_(D)"/>
    <tableColumn id="6" name="PM10 Score_x000A_(E)"/>
    <tableColumn id="7" name="NOx Score_x000A_(F)"/>
    <tableColumn id="8" name="SO2 Score_x000A_(G)"/>
    <tableColumn id="9" name="CO2 Scoring Metric_x000A_(H)"/>
    <tableColumn id="10" name="PM2.5 Scoring Metric_x000A_(I)"/>
    <tableColumn id="11" name="PM10 Scoring Metric_x000A_(J)"/>
    <tableColumn id="12" name="NOx Scoring Metric_x000A_(K)"/>
    <tableColumn id="13" name="SO2 Scoring Metric_x000A_(L)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B3:E67" comment="" totalsRowShown="0">
  <tableColumns count="4">
    <tableColumn id="1" name="Value Identifier"/>
    <tableColumn id="2" name="Value Description"/>
    <tableColumn id="3" name="Value Derivation"/>
    <tableColumn id="4" name="Data Source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5"/>
  <cols>
    <col min="1" max="1" width="2.140625" style="22" customWidth="1"/>
    <col min="2" max="2" width="105.421875" style="22" customWidth="1"/>
    <col min="3" max="3" width="8.7109375" style="22" customWidth="1"/>
    <col min="4" max="4" width="36.7109375" style="22" bestFit="1" customWidth="1"/>
    <col min="5" max="16384" width="8.7109375" style="22" customWidth="1"/>
  </cols>
  <sheetData>
    <row r="1" ht="15">
      <c r="B1" s="145" t="s">
        <v>282</v>
      </c>
    </row>
    <row r="2" ht="15">
      <c r="B2" s="87"/>
    </row>
    <row r="3" s="31" customFormat="1" ht="15.75" thickBot="1">
      <c r="B3" s="18"/>
    </row>
    <row r="4" ht="150.75" thickBot="1">
      <c r="B4" s="146" t="s">
        <v>281</v>
      </c>
    </row>
    <row r="5" ht="30" customHeight="1" thickBot="1">
      <c r="B5" s="87"/>
    </row>
    <row r="6" spans="2:5" ht="121.5" thickBot="1">
      <c r="B6" s="147" t="s">
        <v>285</v>
      </c>
      <c r="C6" s="2"/>
      <c r="D6" s="24"/>
      <c r="E6" s="25"/>
    </row>
    <row r="7" spans="4:5" ht="15">
      <c r="D7" s="26"/>
      <c r="E7" s="25"/>
    </row>
    <row r="8" ht="15">
      <c r="D8" s="27"/>
    </row>
    <row r="9" ht="15">
      <c r="D9" s="28"/>
    </row>
    <row r="10" spans="4:5" ht="15">
      <c r="D10" s="29"/>
      <c r="E10" s="25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showGridLines="0" zoomScale="90" zoomScaleNormal="90" zoomScalePageLayoutView="0" workbookViewId="0" topLeftCell="A1">
      <selection activeCell="K17" sqref="K17"/>
    </sheetView>
  </sheetViews>
  <sheetFormatPr defaultColWidth="8.7109375" defaultRowHeight="15"/>
  <cols>
    <col min="1" max="1" width="3.421875" style="18" customWidth="1"/>
    <col min="2" max="2" width="27.7109375" style="18" customWidth="1"/>
    <col min="3" max="3" width="10.28125" style="18" customWidth="1"/>
    <col min="4" max="4" width="9.7109375" style="18" customWidth="1"/>
    <col min="5" max="5" width="11.7109375" style="18" customWidth="1"/>
    <col min="6" max="6" width="13.140625" style="18" customWidth="1"/>
    <col min="7" max="7" width="16.421875" style="18" customWidth="1"/>
    <col min="8" max="16384" width="8.7109375" style="18" customWidth="1"/>
  </cols>
  <sheetData>
    <row r="1" ht="15"/>
    <row r="2" ht="18.75">
      <c r="B2" s="17" t="s">
        <v>273</v>
      </c>
    </row>
    <row r="3" ht="18.75">
      <c r="B3" s="17"/>
    </row>
    <row r="4" spans="2:4" ht="15">
      <c r="B4" s="164" t="s">
        <v>261</v>
      </c>
      <c r="C4" s="165"/>
      <c r="D4" s="144">
        <v>30.28</v>
      </c>
    </row>
    <row r="5" spans="3:4" ht="15">
      <c r="C5" s="148"/>
      <c r="D5" s="65"/>
    </row>
    <row r="6" spans="2:6" s="19" customFormat="1" ht="90.75" thickBot="1">
      <c r="B6" s="59" t="s">
        <v>276</v>
      </c>
      <c r="C6" s="59" t="s">
        <v>277</v>
      </c>
      <c r="D6" s="59" t="s">
        <v>263</v>
      </c>
      <c r="E6" s="59" t="s">
        <v>272</v>
      </c>
      <c r="F6" s="59" t="s">
        <v>30</v>
      </c>
    </row>
    <row r="7" spans="2:6" s="19" customFormat="1" ht="15">
      <c r="B7" s="106" t="s">
        <v>21</v>
      </c>
      <c r="C7" s="107" t="s">
        <v>0</v>
      </c>
      <c r="D7" s="108" t="s">
        <v>23</v>
      </c>
      <c r="E7" s="109">
        <v>80</v>
      </c>
      <c r="F7" s="109">
        <v>40</v>
      </c>
    </row>
    <row r="8" spans="2:6" s="19" customFormat="1" ht="15">
      <c r="B8" s="110" t="s">
        <v>22</v>
      </c>
      <c r="C8" s="111" t="s">
        <v>4</v>
      </c>
      <c r="D8" s="112" t="s">
        <v>278</v>
      </c>
      <c r="E8" s="113">
        <v>30</v>
      </c>
      <c r="F8" s="113">
        <v>40</v>
      </c>
    </row>
    <row r="9" s="19" customFormat="1" ht="15"/>
    <row r="10" s="19" customFormat="1" ht="15">
      <c r="B10" s="21" t="s">
        <v>31</v>
      </c>
    </row>
    <row r="11" s="19" customFormat="1" ht="15"/>
    <row r="12" s="19" customFormat="1" ht="15"/>
    <row r="13" s="19" customFormat="1" ht="15"/>
    <row r="14" s="19" customFormat="1" ht="16.5" customHeight="1"/>
    <row r="15" spans="8:9" s="19" customFormat="1" ht="15">
      <c r="H15" s="20"/>
      <c r="I15" s="20"/>
    </row>
    <row r="16" spans="8:9" s="19" customFormat="1" ht="15.75" customHeight="1">
      <c r="H16" s="20"/>
      <c r="I16" s="20"/>
    </row>
    <row r="17" spans="8:9" s="19" customFormat="1" ht="15">
      <c r="H17" s="20"/>
      <c r="I17" s="20"/>
    </row>
    <row r="18" spans="8:9" s="19" customFormat="1" ht="15">
      <c r="H18" s="20"/>
      <c r="I18" s="20"/>
    </row>
    <row r="19" spans="8:9" s="19" customFormat="1" ht="15">
      <c r="H19" s="20"/>
      <c r="I19" s="20"/>
    </row>
    <row r="20" spans="2:9" ht="15">
      <c r="B20" s="19"/>
      <c r="C20" s="19"/>
      <c r="D20" s="19"/>
      <c r="E20" s="19"/>
      <c r="F20" s="19"/>
      <c r="G20" s="19"/>
      <c r="H20" s="21"/>
      <c r="I20" s="21"/>
    </row>
    <row r="21" spans="2:9" ht="15">
      <c r="B21" s="19"/>
      <c r="C21" s="19"/>
      <c r="D21" s="19"/>
      <c r="E21" s="19"/>
      <c r="F21" s="19"/>
      <c r="G21" s="19"/>
      <c r="H21" s="21"/>
      <c r="I21" s="21"/>
    </row>
    <row r="22" spans="2:9" ht="15">
      <c r="B22" s="19"/>
      <c r="C22" s="19"/>
      <c r="D22" s="19"/>
      <c r="E22" s="19"/>
      <c r="F22" s="19"/>
      <c r="G22" s="19"/>
      <c r="H22" s="21"/>
      <c r="I22" s="21"/>
    </row>
    <row r="23" spans="2:9" ht="15">
      <c r="B23" s="19"/>
      <c r="C23" s="19"/>
      <c r="D23" s="19"/>
      <c r="E23" s="19"/>
      <c r="F23" s="19"/>
      <c r="G23" s="19"/>
      <c r="H23" s="21"/>
      <c r="I23" s="21"/>
    </row>
    <row r="24" spans="2:9" ht="15">
      <c r="B24" s="19"/>
      <c r="C24" s="19"/>
      <c r="D24" s="19"/>
      <c r="E24" s="19"/>
      <c r="F24" s="19"/>
      <c r="G24" s="19"/>
      <c r="H24" s="21"/>
      <c r="I24" s="21"/>
    </row>
    <row r="25" spans="2:9" ht="15">
      <c r="B25" s="21"/>
      <c r="C25" s="21"/>
      <c r="D25" s="21"/>
      <c r="E25" s="21"/>
      <c r="F25" s="21"/>
      <c r="G25" s="21"/>
      <c r="H25" s="21"/>
      <c r="I25" s="21"/>
    </row>
    <row r="26" spans="3:9" ht="15">
      <c r="C26" s="21"/>
      <c r="D26" s="21"/>
      <c r="E26" s="21"/>
      <c r="F26" s="21"/>
      <c r="G26" s="21"/>
      <c r="H26" s="21"/>
      <c r="I26" s="21"/>
    </row>
    <row r="27" spans="2:7" ht="15">
      <c r="B27" s="21"/>
      <c r="C27" s="21"/>
      <c r="D27" s="21"/>
      <c r="E27" s="21"/>
      <c r="F27" s="21"/>
      <c r="G27" s="21"/>
    </row>
    <row r="28" spans="2:7" ht="15">
      <c r="B28" s="21"/>
      <c r="C28" s="21"/>
      <c r="D28" s="21"/>
      <c r="E28" s="21"/>
      <c r="F28" s="21"/>
      <c r="G28" s="21"/>
    </row>
    <row r="29" spans="2:7" ht="15">
      <c r="B29" s="21"/>
      <c r="C29" s="21"/>
      <c r="D29" s="21"/>
      <c r="E29" s="21"/>
      <c r="F29" s="21"/>
      <c r="G29" s="21"/>
    </row>
    <row r="30" spans="2:7" ht="15">
      <c r="B30" s="21"/>
      <c r="C30" s="21"/>
      <c r="D30" s="21"/>
      <c r="E30" s="21"/>
      <c r="F30" s="21"/>
      <c r="G30" s="21"/>
    </row>
    <row r="31" spans="2:7" ht="15">
      <c r="B31" s="21"/>
      <c r="C31" s="21"/>
      <c r="D31" s="21"/>
      <c r="E31" s="21"/>
      <c r="F31" s="21"/>
      <c r="G31" s="21"/>
    </row>
    <row r="32" spans="2:7" ht="15">
      <c r="B32" s="21"/>
      <c r="C32" s="21"/>
      <c r="D32" s="21"/>
      <c r="E32" s="21"/>
      <c r="F32" s="21"/>
      <c r="G32" s="21"/>
    </row>
    <row r="33" spans="2:7" ht="15">
      <c r="B33" s="21"/>
      <c r="C33" s="21"/>
      <c r="D33" s="21"/>
      <c r="E33" s="21"/>
      <c r="F33" s="21"/>
      <c r="G33" s="21"/>
    </row>
    <row r="34" spans="2:7" ht="15">
      <c r="B34" s="21"/>
      <c r="C34" s="21"/>
      <c r="D34" s="21"/>
      <c r="E34" s="21"/>
      <c r="F34" s="21"/>
      <c r="G34" s="21"/>
    </row>
    <row r="35" spans="2:7" ht="15">
      <c r="B35" s="21"/>
      <c r="C35" s="21"/>
      <c r="D35" s="21"/>
      <c r="E35" s="21"/>
      <c r="F35" s="21"/>
      <c r="G35" s="21"/>
    </row>
    <row r="36" spans="2:7" ht="15">
      <c r="B36" s="21"/>
      <c r="C36" s="21"/>
      <c r="D36" s="21"/>
      <c r="E36" s="21"/>
      <c r="F36" s="21"/>
      <c r="G36" s="21"/>
    </row>
    <row r="37" spans="2:7" ht="15">
      <c r="B37" s="21"/>
      <c r="C37" s="21"/>
      <c r="D37" s="21"/>
      <c r="E37" s="21"/>
      <c r="F37" s="21"/>
      <c r="G37" s="21"/>
    </row>
    <row r="38" spans="2:7" ht="15">
      <c r="B38" s="21"/>
      <c r="C38" s="21"/>
      <c r="D38" s="21"/>
      <c r="E38" s="21"/>
      <c r="F38" s="21"/>
      <c r="G38" s="21"/>
    </row>
    <row r="39" spans="2:7" ht="15">
      <c r="B39" s="21"/>
      <c r="C39" s="21"/>
      <c r="D39" s="21"/>
      <c r="E39" s="21"/>
      <c r="F39" s="21"/>
      <c r="G39" s="21"/>
    </row>
    <row r="40" spans="2:7" ht="15">
      <c r="B40" s="21"/>
      <c r="C40" s="21"/>
      <c r="D40" s="21"/>
      <c r="E40" s="21"/>
      <c r="F40" s="21"/>
      <c r="G40" s="21"/>
    </row>
    <row r="41" spans="2:7" ht="15">
      <c r="B41" s="21"/>
      <c r="C41" s="21"/>
      <c r="D41" s="21"/>
      <c r="E41" s="21"/>
      <c r="F41" s="21"/>
      <c r="G41" s="21"/>
    </row>
    <row r="42" spans="2:7" ht="15">
      <c r="B42" s="21"/>
      <c r="C42" s="21"/>
      <c r="D42" s="21"/>
      <c r="E42" s="21"/>
      <c r="F42" s="21"/>
      <c r="G42" s="21"/>
    </row>
    <row r="43" spans="2:7" ht="15">
      <c r="B43" s="21"/>
      <c r="C43" s="21"/>
      <c r="D43" s="21"/>
      <c r="E43" s="21"/>
      <c r="F43" s="21"/>
      <c r="G43" s="21"/>
    </row>
    <row r="44" spans="2:7" ht="15">
      <c r="B44" s="21"/>
      <c r="C44" s="21"/>
      <c r="D44" s="21"/>
      <c r="E44" s="21"/>
      <c r="F44" s="21"/>
      <c r="G44" s="21"/>
    </row>
    <row r="45" spans="2:7" ht="15">
      <c r="B45" s="21"/>
      <c r="C45" s="21"/>
      <c r="D45" s="21"/>
      <c r="E45" s="21"/>
      <c r="F45" s="21"/>
      <c r="G45" s="21"/>
    </row>
    <row r="46" spans="2:7" ht="15">
      <c r="B46" s="21"/>
      <c r="C46" s="21"/>
      <c r="D46" s="21"/>
      <c r="E46" s="21"/>
      <c r="F46" s="21"/>
      <c r="G46" s="21"/>
    </row>
    <row r="47" spans="2:7" ht="15">
      <c r="B47" s="21"/>
      <c r="C47" s="21"/>
      <c r="D47" s="21"/>
      <c r="E47" s="21"/>
      <c r="F47" s="21"/>
      <c r="G47" s="21"/>
    </row>
    <row r="48" spans="2:7" ht="15">
      <c r="B48" s="21"/>
      <c r="C48" s="21"/>
      <c r="D48" s="21"/>
      <c r="E48" s="21"/>
      <c r="F48" s="21"/>
      <c r="G48" s="21"/>
    </row>
    <row r="49" spans="2:7" ht="15">
      <c r="B49" s="21"/>
      <c r="C49" s="21"/>
      <c r="D49" s="21"/>
      <c r="E49" s="21"/>
      <c r="F49" s="21"/>
      <c r="G49" s="21"/>
    </row>
  </sheetData>
  <sheetProtection/>
  <mergeCells count="1">
    <mergeCell ref="B4:C4"/>
  </mergeCells>
  <printOptions/>
  <pageMargins left="0.7" right="0.7" top="0.75" bottom="0.75" header="0.3" footer="0.3"/>
  <pageSetup fitToHeight="1" fitToWidth="1" horizontalDpi="600" verticalDpi="600" orientation="landscape" paperSize="8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56"/>
  <sheetViews>
    <sheetView showGridLines="0" zoomScale="110" zoomScaleNormal="110" zoomScalePageLayoutView="0" workbookViewId="0" topLeftCell="A1">
      <selection activeCell="A1" sqref="A1"/>
    </sheetView>
  </sheetViews>
  <sheetFormatPr defaultColWidth="8.7109375" defaultRowHeight="15"/>
  <cols>
    <col min="1" max="1" width="3.421875" style="31" customWidth="1"/>
    <col min="2" max="2" width="8.7109375" style="31" customWidth="1"/>
    <col min="3" max="3" width="18.421875" style="31" customWidth="1"/>
    <col min="4" max="4" width="13.28125" style="31" bestFit="1" customWidth="1"/>
    <col min="5" max="5" width="11.7109375" style="31" bestFit="1" customWidth="1"/>
    <col min="6" max="7" width="10.00390625" style="31" customWidth="1"/>
    <col min="8" max="9" width="6.140625" style="31" bestFit="1" customWidth="1"/>
    <col min="10" max="10" width="8.421875" style="31" bestFit="1" customWidth="1"/>
    <col min="11" max="14" width="6.140625" style="31" bestFit="1" customWidth="1"/>
    <col min="15" max="15" width="7.140625" style="31" customWidth="1"/>
    <col min="16" max="17" width="7.421875" style="31" bestFit="1" customWidth="1"/>
    <col min="18" max="18" width="8.421875" style="31" bestFit="1" customWidth="1"/>
    <col min="19" max="19" width="6.140625" style="31" bestFit="1" customWidth="1"/>
    <col min="20" max="21" width="8.7109375" style="31" bestFit="1" customWidth="1"/>
    <col min="22" max="23" width="9.7109375" style="31" bestFit="1" customWidth="1"/>
    <col min="24" max="24" width="12.140625" style="31" bestFit="1" customWidth="1"/>
    <col min="25" max="26" width="13.28125" style="31" bestFit="1" customWidth="1"/>
    <col min="27" max="27" width="11.28125" style="31" bestFit="1" customWidth="1"/>
    <col min="28" max="28" width="12.421875" style="31" customWidth="1"/>
    <col min="29" max="29" width="10.28125" style="31" bestFit="1" customWidth="1"/>
    <col min="30" max="30" width="11.7109375" style="31" bestFit="1" customWidth="1"/>
    <col min="31" max="31" width="11.28125" style="31" bestFit="1" customWidth="1"/>
    <col min="32" max="16384" width="8.7109375" style="31" customWidth="1"/>
  </cols>
  <sheetData>
    <row r="2" ht="18.75" customHeight="1">
      <c r="B2" s="30" t="s">
        <v>17</v>
      </c>
    </row>
    <row r="4" spans="3:37" ht="30" customHeight="1">
      <c r="C4" s="64" t="s">
        <v>28</v>
      </c>
      <c r="D4" s="32">
        <v>25</v>
      </c>
      <c r="E4" s="104"/>
      <c r="F4" s="104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96"/>
      <c r="AF4" s="96"/>
      <c r="AG4" s="96"/>
      <c r="AH4" s="96"/>
      <c r="AI4" s="96"/>
      <c r="AJ4" s="96"/>
      <c r="AK4" s="96"/>
    </row>
    <row r="5" spans="2:17" ht="33" customHeight="1" thickBot="1">
      <c r="B5" s="74"/>
      <c r="G5" s="169" t="s">
        <v>86</v>
      </c>
      <c r="H5" s="170"/>
      <c r="I5" s="170"/>
      <c r="J5" s="170"/>
      <c r="K5" s="170"/>
      <c r="L5" s="170"/>
      <c r="M5" s="170"/>
      <c r="N5" s="170"/>
      <c r="O5" s="170"/>
      <c r="P5" s="170"/>
      <c r="Q5" s="171"/>
    </row>
    <row r="6" spans="2:23" ht="105">
      <c r="B6" s="131" t="s">
        <v>9</v>
      </c>
      <c r="C6" s="132" t="s">
        <v>29</v>
      </c>
      <c r="D6" s="132" t="s">
        <v>35</v>
      </c>
      <c r="E6" s="132" t="s">
        <v>36</v>
      </c>
      <c r="F6" s="132" t="s">
        <v>37</v>
      </c>
      <c r="G6" s="133" t="s">
        <v>8</v>
      </c>
      <c r="H6" s="132" t="s">
        <v>1</v>
      </c>
      <c r="I6" s="132" t="s">
        <v>3</v>
      </c>
      <c r="J6" s="132" t="s">
        <v>4</v>
      </c>
      <c r="K6" s="132" t="s">
        <v>2</v>
      </c>
      <c r="L6" s="132" t="s">
        <v>0</v>
      </c>
      <c r="M6" s="132" t="s">
        <v>5</v>
      </c>
      <c r="N6" s="132" t="s">
        <v>24</v>
      </c>
      <c r="O6" s="132" t="s">
        <v>25</v>
      </c>
      <c r="P6" s="132" t="s">
        <v>27</v>
      </c>
      <c r="Q6" s="134" t="s">
        <v>26</v>
      </c>
      <c r="R6" s="132" t="s">
        <v>38</v>
      </c>
      <c r="S6" s="132" t="s">
        <v>39</v>
      </c>
      <c r="T6" s="132" t="s">
        <v>40</v>
      </c>
      <c r="U6" s="132" t="s">
        <v>41</v>
      </c>
      <c r="V6" s="135" t="s">
        <v>42</v>
      </c>
      <c r="W6" s="84"/>
    </row>
    <row r="7" spans="2:23" ht="15">
      <c r="B7" s="136" t="s">
        <v>8</v>
      </c>
      <c r="C7" s="89">
        <v>0.778</v>
      </c>
      <c r="D7" s="89">
        <v>1</v>
      </c>
      <c r="E7" s="105">
        <v>1</v>
      </c>
      <c r="F7" s="130">
        <v>1</v>
      </c>
      <c r="G7" s="98">
        <f>INDEX($B$45:$O$57,MATCH('2_Emissions Factors'!$B7,$B$45:$B$56,0),MATCH(G$6,$B$45:$N$45,0))*'2_Emissions Factors'!$F7</f>
        <v>0.33</v>
      </c>
      <c r="H7" s="89">
        <f>INDEX($B$45:$O$57,MATCH('2_Emissions Factors'!$B7,$B$45:$B$56,0),MATCH(H$6,$B$45:$N$45,0))*'2_Emissions Factors'!$F7</f>
        <v>0.0711362772534909</v>
      </c>
      <c r="I7" s="89">
        <f>INDEX($B$45:$O$57,MATCH('2_Emissions Factors'!$B7,$B$45:$B$56,0),MATCH(I$6,$B$45:$N$45,0))*'2_Emissions Factors'!$F7</f>
        <v>0.07706696731842881</v>
      </c>
      <c r="J7" s="89">
        <f>INDEX($B$45:$O$57,MATCH('2_Emissions Factors'!$B7,$B$45:$B$56,0),MATCH(J$6,$B$45:$N$45,0))*'2_Emissions Factors'!$F7</f>
        <v>0.07367389369448292</v>
      </c>
      <c r="K7" s="89">
        <f>INDEX($B$45:$O$57,MATCH('2_Emissions Factors'!$B7,$B$45:$B$56,0),MATCH(K$6,$B$45:$N$45,0))*'2_Emissions Factors'!$F7</f>
        <v>0.08075627644593665</v>
      </c>
      <c r="L7" s="89">
        <f>INDEX($B$45:$O$57,MATCH('2_Emissions Factors'!$B7,$B$45:$B$56,0),MATCH(L$6,$B$45:$N$45,0))*'2_Emissions Factors'!$F7</f>
        <v>0.08394349487501394</v>
      </c>
      <c r="M7" s="89">
        <f>INDEX($B$45:$O$57,MATCH('2_Emissions Factors'!$B7,$B$45:$B$56,0),MATCH(M$6,$B$45:$N$45,0))*'2_Emissions Factors'!$F7</f>
        <v>0.07552952062756713</v>
      </c>
      <c r="N7" s="89">
        <f>INDEX($B$45:$O$57,MATCH('2_Emissions Factors'!$B7,$B$45:$B$56,0),MATCH(N$6,$B$45:$N$45,0))*'2_Emissions Factors'!$F7</f>
        <v>0.07700204358370896</v>
      </c>
      <c r="O7" s="89">
        <f>INDEX($B$45:$O$57,MATCH('2_Emissions Factors'!$B7,$B$45:$B$56,0),MATCH(O$6,$B$45:$N$45,0))*'2_Emissions Factors'!$F7</f>
        <v>0.07030177533325659</v>
      </c>
      <c r="P7" s="89">
        <f>INDEX($B$45:$O$57,MATCH('2_Emissions Factors'!$B7,$B$45:$B$56,0),MATCH(P$6,$B$45:$N$45,0))*'2_Emissions Factors'!$F7</f>
        <v>0.07986191204421197</v>
      </c>
      <c r="Q7" s="99">
        <f>INDEX($B$45:$O$57,MATCH('2_Emissions Factors'!$B7,$B$45:$B$56,0),MATCH(Q$6,$B$45:$N$45,0))*'2_Emissions Factors'!$F7</f>
        <v>0.0772769640379529</v>
      </c>
      <c r="R7" s="105">
        <f>VLOOKUP($B7,'2_Emissions Factors'!$B$28:$G$39,2,0)/C$23</f>
        <v>0.7077098366881884</v>
      </c>
      <c r="S7" s="105">
        <f>VLOOKUP($B7,'2_Emissions Factors'!$B$28:$G$39,3,0)/D$23</f>
        <v>0.8991265273878117</v>
      </c>
      <c r="T7" s="105">
        <f>VLOOKUP($B7,'2_Emissions Factors'!$B$28:$G$39,4,0)/E$23</f>
        <v>0.9631343006366454</v>
      </c>
      <c r="U7" s="105">
        <f>VLOOKUP($B7,'2_Emissions Factors'!$B$28:$G$39,5,0)/F$23</f>
        <v>0.977072512564963</v>
      </c>
      <c r="V7" s="142">
        <f>VLOOKUP($B7,'2_Emissions Factors'!$B$28:$G$39,6,0)/G$23</f>
        <v>1.3614233977697674</v>
      </c>
      <c r="W7" s="85"/>
    </row>
    <row r="8" spans="2:23" ht="15">
      <c r="B8" s="136" t="s">
        <v>25</v>
      </c>
      <c r="C8" s="89">
        <v>0.222</v>
      </c>
      <c r="D8" s="89">
        <v>0.27987</v>
      </c>
      <c r="E8" s="105">
        <v>0.12033247991148999</v>
      </c>
      <c r="F8" s="89">
        <v>0.033677451152828705</v>
      </c>
      <c r="G8" s="98">
        <f>INDEX($B$45:$O$57,MATCH('2_Emissions Factors'!$B8,$B$45:$B$56,0),MATCH(G$6,$B$45:$N$45,0))*'2_Emissions Factors'!$F8</f>
        <v>0.0002537400677404694</v>
      </c>
      <c r="H8" s="89">
        <f>INDEX($B$45:$O$57,MATCH('2_Emissions Factors'!$B8,$B$45:$B$56,0),MATCH(H$6,$B$45:$N$45,0))*'2_Emissions Factors'!$F8</f>
        <v>0.00023242526653140694</v>
      </c>
      <c r="I8" s="89">
        <f>INDEX($B$45:$O$57,MATCH('2_Emissions Factors'!$B8,$B$45:$B$56,0),MATCH(I$6,$B$45:$N$45,0))*'2_Emissions Factors'!$F8</f>
        <v>0.00025180275256636407</v>
      </c>
      <c r="J8" s="89">
        <f>INDEX($B$45:$O$57,MATCH('2_Emissions Factors'!$B8,$B$45:$B$56,0),MATCH(J$6,$B$45:$N$45,0))*'2_Emissions Factors'!$F8</f>
        <v>0.0002407164816529166</v>
      </c>
      <c r="K8" s="89">
        <f>INDEX($B$45:$O$57,MATCH('2_Emissions Factors'!$B8,$B$45:$B$56,0),MATCH(K$6,$B$45:$N$45,0))*'2_Emissions Factors'!$F8</f>
        <v>0.0002638569208527103</v>
      </c>
      <c r="L8" s="89">
        <f>INDEX($B$45:$O$57,MATCH('2_Emissions Factors'!$B8,$B$45:$B$56,0),MATCH(L$6,$B$45:$N$45,0))*'2_Emissions Factors'!$F8</f>
        <v>0.0002742705961457303</v>
      </c>
      <c r="M8" s="89">
        <f>INDEX($B$45:$O$57,MATCH('2_Emissions Factors'!$B8,$B$45:$B$56,0),MATCH(M$6,$B$45:$N$45,0))*'2_Emissions Factors'!$F8</f>
        <v>0.0002467794160818305</v>
      </c>
      <c r="N8" s="89">
        <f>INDEX($B$45:$O$57,MATCH('2_Emissions Factors'!$B8,$B$45:$B$56,0),MATCH(N$6,$B$45:$N$45,0))*'2_Emissions Factors'!$F8</f>
        <v>0.00025159062568920547</v>
      </c>
      <c r="O8" s="89">
        <f>INDEX($B$45:$O$57,MATCH('2_Emissions Factors'!$B8,$B$45:$B$56,0),MATCH(O$6,$B$45:$N$45,0))*'2_Emissions Factors'!$F8</f>
        <v>0.011113558880433473</v>
      </c>
      <c r="P8" s="89">
        <f>INDEX($B$45:$O$57,MATCH('2_Emissions Factors'!$B8,$B$45:$B$56,0),MATCH(P$6,$B$45:$N$45,0))*'2_Emissions Factors'!$F8</f>
        <v>0.00026093474257078654</v>
      </c>
      <c r="Q8" s="99">
        <f>INDEX($B$45:$O$57,MATCH('2_Emissions Factors'!$B8,$B$45:$B$56,0),MATCH(Q$6,$B$45:$N$45,0))*'2_Emissions Factors'!$F8</f>
        <v>0.00025248887988972937</v>
      </c>
      <c r="R8" s="105">
        <f>VLOOKUP($B8,'2_Emissions Factors'!$B$28:$G$39,2,0)/C$23</f>
        <v>0.8898594758830232</v>
      </c>
      <c r="S8" s="105">
        <f>VLOOKUP($B8,'2_Emissions Factors'!$B$28:$G$39,3,0)/D$23</f>
        <v>0.4343148886367631</v>
      </c>
      <c r="T8" s="105">
        <f>VLOOKUP($B8,'2_Emissions Factors'!$B$28:$G$39,4,0)/E$23</f>
        <v>0.3602449940387847</v>
      </c>
      <c r="U8" s="105">
        <f>VLOOKUP($B8,'2_Emissions Factors'!$B$28:$G$39,5,0)/F$23</f>
        <v>0.28268706789337356</v>
      </c>
      <c r="V8" s="142">
        <f>VLOOKUP($B8,'2_Emissions Factors'!$B$28:$G$39,6,0)/G$23</f>
        <v>0.13836520133286948</v>
      </c>
      <c r="W8" s="85"/>
    </row>
    <row r="9" spans="2:23" ht="15">
      <c r="B9" s="136" t="s">
        <v>27</v>
      </c>
      <c r="C9" s="89">
        <v>0.222</v>
      </c>
      <c r="D9" s="89">
        <v>0.84781</v>
      </c>
      <c r="E9" s="105">
        <v>0.12033247991148999</v>
      </c>
      <c r="F9" s="89">
        <v>0.10201907979376032</v>
      </c>
      <c r="G9" s="98">
        <f>INDEX($B$45:$O$57,MATCH('2_Emissions Factors'!$B9,$B$45:$B$56,0),MATCH(G$6,$B$45:$N$45,0))*'2_Emissions Factors'!$F9</f>
        <v>0.009807462558686772</v>
      </c>
      <c r="H9" s="89">
        <f>INDEX($B$45:$O$57,MATCH('2_Emissions Factors'!$B9,$B$45:$B$56,0),MATCH(H$6,$B$45:$N$45,0))*'2_Emissions Factors'!$F9</f>
        <v>0.008983611139928793</v>
      </c>
      <c r="I9" s="89">
        <f>INDEX($B$45:$O$57,MATCH('2_Emissions Factors'!$B9,$B$45:$B$56,0),MATCH(I$6,$B$45:$N$45,0))*'2_Emissions Factors'!$F9</f>
        <v>0.009732582204931027</v>
      </c>
      <c r="J9" s="89">
        <f>INDEX($B$45:$O$57,MATCH('2_Emissions Factors'!$B9,$B$45:$B$56,0),MATCH(J$6,$B$45:$N$45,0))*'2_Emissions Factors'!$F9</f>
        <v>0.00930407996692302</v>
      </c>
      <c r="K9" s="89">
        <f>INDEX($B$45:$O$57,MATCH('2_Emissions Factors'!$B9,$B$45:$B$56,0),MATCH(K$6,$B$45:$N$45,0))*'2_Emissions Factors'!$F9</f>
        <v>0.010198495236314657</v>
      </c>
      <c r="L9" s="89">
        <f>INDEX($B$45:$O$57,MATCH('2_Emissions Factors'!$B9,$B$45:$B$56,0),MATCH(L$6,$B$45:$N$45,0))*'2_Emissions Factors'!$F9</f>
        <v>0.010601000569603516</v>
      </c>
      <c r="M9" s="89">
        <f>INDEX($B$45:$O$57,MATCH('2_Emissions Factors'!$B9,$B$45:$B$56,0),MATCH(M$6,$B$45:$N$45,0))*'2_Emissions Factors'!$F9</f>
        <v>0.009538422153936877</v>
      </c>
      <c r="N9" s="89">
        <f>INDEX($B$45:$O$57,MATCH('2_Emissions Factors'!$B9,$B$45:$B$56,0),MATCH(N$6,$B$45:$N$45,0))*'2_Emissions Factors'!$F9</f>
        <v>0.00972438315925428</v>
      </c>
      <c r="O9" s="89">
        <f>INDEX($B$45:$O$57,MATCH('2_Emissions Factors'!$B9,$B$45:$B$56,0),MATCH(O$6,$B$45:$N$45,0))*'2_Emissions Factors'!$F9</f>
        <v>0.00887822411327579</v>
      </c>
      <c r="P9" s="89">
        <f>INDEX($B$45:$O$57,MATCH('2_Emissions Factors'!$B9,$B$45:$B$56,0),MATCH(P$6,$B$45:$N$45,0))*'2_Emissions Factors'!$F9</f>
        <v>0.03366629633194091</v>
      </c>
      <c r="Q9" s="99">
        <f>INDEX($B$45:$O$57,MATCH('2_Emissions Factors'!$B9,$B$45:$B$56,0),MATCH(Q$6,$B$45:$N$45,0))*'2_Emissions Factors'!$F9</f>
        <v>0.009759102131777105</v>
      </c>
      <c r="R9" s="105">
        <f>VLOOKUP($B9,'2_Emissions Factors'!$B$28:$G$39,2,0)/C$23</f>
        <v>1.5223699202430687</v>
      </c>
      <c r="S9" s="105">
        <f>VLOOKUP($B9,'2_Emissions Factors'!$B$28:$G$39,3,0)/D$23</f>
        <v>1.801982683352406</v>
      </c>
      <c r="T9" s="105">
        <f>VLOOKUP($B9,'2_Emissions Factors'!$B$28:$G$39,4,0)/E$23</f>
        <v>1.6382190473569251</v>
      </c>
      <c r="U9" s="105">
        <f>VLOOKUP($B9,'2_Emissions Factors'!$B$28:$G$39,5,0)/F$23</f>
        <v>1.7115555229955575</v>
      </c>
      <c r="V9" s="142">
        <f>VLOOKUP($B9,'2_Emissions Factors'!$B$28:$G$39,6,0)/G$23</f>
        <v>1.3014782680983839</v>
      </c>
      <c r="W9" s="85"/>
    </row>
    <row r="10" spans="2:23" ht="15">
      <c r="B10" s="136" t="s">
        <v>24</v>
      </c>
      <c r="C10" s="89">
        <v>0.222</v>
      </c>
      <c r="D10" s="89">
        <v>0.7122</v>
      </c>
      <c r="E10" s="105">
        <v>0.1539208941780555</v>
      </c>
      <c r="F10" s="89">
        <v>0.10962246083361113</v>
      </c>
      <c r="G10" s="98">
        <f>INDEX($B$45:$O$57,MATCH('2_Emissions Factors'!$B10,$B$45:$B$56,0),MATCH(G$6,$B$45:$N$45,0))*'2_Emissions Factors'!$F10</f>
        <v>0.007885781443809515</v>
      </c>
      <c r="H10" s="89">
        <f>INDEX($B$45:$O$57,MATCH('2_Emissions Factors'!$B10,$B$45:$B$56,0),MATCH(H$6,$B$45:$N$45,0))*'2_Emissions Factors'!$F10</f>
        <v>0.007223356051755025</v>
      </c>
      <c r="I10" s="89">
        <f>INDEX($B$45:$O$57,MATCH('2_Emissions Factors'!$B10,$B$45:$B$56,0),MATCH(I$6,$B$45:$N$45,0))*'2_Emissions Factors'!$F10</f>
        <v>0.007825573199259049</v>
      </c>
      <c r="J10" s="89">
        <f>INDEX($B$45:$O$57,MATCH('2_Emissions Factors'!$B10,$B$45:$B$56,0),MATCH(J$6,$B$45:$N$45,0))*'2_Emissions Factors'!$F10</f>
        <v>0.007481031991286611</v>
      </c>
      <c r="K10" s="89">
        <f>INDEX($B$45:$O$57,MATCH('2_Emissions Factors'!$B10,$B$45:$B$56,0),MATCH(K$6,$B$45:$N$45,0))*'2_Emissions Factors'!$F10</f>
        <v>0.008200194903428576</v>
      </c>
      <c r="L10" s="89">
        <f>INDEX($B$45:$O$57,MATCH('2_Emissions Factors'!$B10,$B$45:$B$56,0),MATCH(L$6,$B$45:$N$45,0))*'2_Emissions Factors'!$F10</f>
        <v>0.00852383305848554</v>
      </c>
      <c r="M10" s="89">
        <f>INDEX($B$45:$O$57,MATCH('2_Emissions Factors'!$B10,$B$45:$B$56,0),MATCH(M$6,$B$45:$N$45,0))*'2_Emissions Factors'!$F10</f>
        <v>0.007669457005279535</v>
      </c>
      <c r="N10" s="89">
        <f>INDEX($B$45:$O$57,MATCH('2_Emissions Factors'!$B10,$B$45:$B$56,0),MATCH(N$6,$B$45:$N$45,0))*'2_Emissions Factors'!$F10</f>
        <v>0.03617541207509167</v>
      </c>
      <c r="O10" s="89">
        <f>INDEX($B$45:$O$57,MATCH('2_Emissions Factors'!$B10,$B$45:$B$56,0),MATCH(O$6,$B$45:$N$45,0))*'2_Emissions Factors'!$F10</f>
        <v>0.007138618633261145</v>
      </c>
      <c r="P10" s="89">
        <f>INDEX($B$45:$O$57,MATCH('2_Emissions Factors'!$B10,$B$45:$B$56,0),MATCH(P$6,$B$45:$N$45,0))*'2_Emissions Factors'!$F10</f>
        <v>0.00810937889838728</v>
      </c>
      <c r="Q10" s="99">
        <f>INDEX($B$45:$O$57,MATCH('2_Emissions Factors'!$B10,$B$45:$B$56,0),MATCH(Q$6,$B$45:$N$45,0))*'2_Emissions Factors'!$F10</f>
        <v>0.007846896792977872</v>
      </c>
      <c r="R10" s="105">
        <f>VLOOKUP($B10,'2_Emissions Factors'!$B$28:$G$39,2,0)/C$23</f>
        <v>1.5892138245347514</v>
      </c>
      <c r="S10" s="105">
        <f>VLOOKUP($B10,'2_Emissions Factors'!$B$28:$G$39,3,0)/D$23</f>
        <v>0.8135588424527642</v>
      </c>
      <c r="T10" s="105">
        <f>VLOOKUP($B10,'2_Emissions Factors'!$B$28:$G$39,4,0)/E$23</f>
        <v>0.9530771847979828</v>
      </c>
      <c r="U10" s="105">
        <f>VLOOKUP($B10,'2_Emissions Factors'!$B$28:$G$39,5,0)/F$23</f>
        <v>1.6823966270689126</v>
      </c>
      <c r="V10" s="142">
        <f>VLOOKUP($B10,'2_Emissions Factors'!$B$28:$G$39,6,0)/G$23</f>
        <v>1.5539663608313277</v>
      </c>
      <c r="W10" s="85"/>
    </row>
    <row r="11" spans="2:23" ht="15">
      <c r="B11" s="136" t="s">
        <v>1</v>
      </c>
      <c r="C11" s="89">
        <v>0.222</v>
      </c>
      <c r="D11" s="89">
        <v>0.33941</v>
      </c>
      <c r="E11" s="105">
        <v>0.1539208941780555</v>
      </c>
      <c r="F11" s="89">
        <v>0.052242290692973814</v>
      </c>
      <c r="G11" s="98">
        <f>INDEX($B$45:$O$57,MATCH('2_Emissions Factors'!$B11,$B$45:$B$56,0),MATCH(G$6,$B$45:$N$45,0))*'2_Emissions Factors'!$F11</f>
        <v>0.0008472056875060297</v>
      </c>
      <c r="H11" s="89">
        <f>INDEX($B$45:$O$57,MATCH('2_Emissions Factors'!$B11,$B$45:$B$56,0),MATCH(H$6,$B$45:$N$45,0))*'2_Emissions Factors'!$F11</f>
        <v>0.01723995592868136</v>
      </c>
      <c r="I11" s="89">
        <f>INDEX($B$45:$O$57,MATCH('2_Emissions Factors'!$B11,$B$45:$B$56,0),MATCH(I$6,$B$45:$N$45,0))*'2_Emissions Factors'!$F11</f>
        <v>0.0008407372395048552</v>
      </c>
      <c r="J11" s="89">
        <f>INDEX($B$45:$O$57,MATCH('2_Emissions Factors'!$B11,$B$45:$B$56,0),MATCH(J$6,$B$45:$N$45,0))*'2_Emissions Factors'!$F11</f>
        <v>0.0008037215964700623</v>
      </c>
      <c r="K11" s="89">
        <f>INDEX($B$45:$O$57,MATCH('2_Emissions Factors'!$B11,$B$45:$B$56,0),MATCH(K$6,$B$45:$N$45,0))*'2_Emissions Factors'!$F11</f>
        <v>0.000880984568282243</v>
      </c>
      <c r="L11" s="89">
        <f>INDEX($B$45:$O$57,MATCH('2_Emissions Factors'!$B11,$B$45:$B$56,0),MATCH(L$6,$B$45:$N$45,0))*'2_Emissions Factors'!$F11</f>
        <v>0.0009157545004204792</v>
      </c>
      <c r="M11" s="89">
        <f>INDEX($B$45:$O$57,MATCH('2_Emissions Factors'!$B11,$B$45:$B$56,0),MATCH(M$6,$B$45:$N$45,0))*'2_Emissions Factors'!$F11</f>
        <v>0.0008239649603853181</v>
      </c>
      <c r="N11" s="89">
        <f>INDEX($B$45:$O$57,MATCH('2_Emissions Factors'!$B11,$B$45:$B$56,0),MATCH(N$6,$B$45:$N$45,0))*'2_Emissions Factors'!$F11</f>
        <v>0.0008400289749473414</v>
      </c>
      <c r="O11" s="89">
        <f>INDEX($B$45:$O$57,MATCH('2_Emissions Factors'!$B11,$B$45:$B$56,0),MATCH(O$6,$B$45:$N$45,0))*'2_Emissions Factors'!$F11</f>
        <v>0.0007669345581195455</v>
      </c>
      <c r="P11" s="89">
        <f>INDEX($B$45:$O$57,MATCH('2_Emissions Factors'!$B11,$B$45:$B$56,0),MATCH(P$6,$B$45:$N$45,0))*'2_Emissions Factors'!$F11</f>
        <v>0.0008712277881158383</v>
      </c>
      <c r="Q11" s="99">
        <f>INDEX($B$45:$O$57,MATCH('2_Emissions Factors'!$B11,$B$45:$B$56,0),MATCH(Q$6,$B$45:$N$45,0))*'2_Emissions Factors'!$F11</f>
        <v>0.000843028131029732</v>
      </c>
      <c r="R11" s="105">
        <f>VLOOKUP($B11,'2_Emissions Factors'!$B$28:$G$39,2,0)/C$23</f>
        <v>0.7210786175465249</v>
      </c>
      <c r="S11" s="105">
        <f>VLOOKUP($B11,'2_Emissions Factors'!$B$28:$G$39,3,0)/D$23</f>
        <v>0.8102425632813889</v>
      </c>
      <c r="T11" s="105">
        <f>VLOOKUP($B11,'2_Emissions Factors'!$B$28:$G$39,4,0)/E$23</f>
        <v>0.8253579945055722</v>
      </c>
      <c r="U11" s="105">
        <f>VLOOKUP($B11,'2_Emissions Factors'!$B$28:$G$39,5,0)/F$23</f>
        <v>0.7656295090344695</v>
      </c>
      <c r="V11" s="142">
        <f>VLOOKUP($B11,'2_Emissions Factors'!$B$28:$G$39,6,0)/G$23</f>
        <v>0.9566917320321239</v>
      </c>
      <c r="W11" s="85"/>
    </row>
    <row r="12" spans="2:23" ht="15">
      <c r="B12" s="136" t="s">
        <v>3</v>
      </c>
      <c r="C12" s="89">
        <v>0.222</v>
      </c>
      <c r="D12" s="89">
        <v>0.6459900000000001</v>
      </c>
      <c r="E12" s="105">
        <v>0.12133956496762432</v>
      </c>
      <c r="F12" s="89">
        <v>0.07838414557343565</v>
      </c>
      <c r="G12" s="98">
        <f>INDEX($B$45:$O$57,MATCH('2_Emissions Factors'!$B12,$B$45:$B$56,0),MATCH(G$6,$B$45:$N$45,0))*'2_Emissions Factors'!$F12</f>
        <v>0.00568324800535494</v>
      </c>
      <c r="H12" s="89">
        <f>INDEX($B$45:$O$57,MATCH('2_Emissions Factors'!$B12,$B$45:$B$56,0),MATCH(H$6,$B$45:$N$45,0))*'2_Emissions Factors'!$F12</f>
        <v>0.005205840938608812</v>
      </c>
      <c r="I12" s="89">
        <f>INDEX($B$45:$O$57,MATCH('2_Emissions Factors'!$B12,$B$45:$B$56,0),MATCH(I$6,$B$45:$N$45,0))*'2_Emissions Factors'!$F12</f>
        <v>0.025866768039233764</v>
      </c>
      <c r="J12" s="89">
        <f>INDEX($B$45:$O$57,MATCH('2_Emissions Factors'!$B12,$B$45:$B$56,0),MATCH(J$6,$B$45:$N$45,0))*'2_Emissions Factors'!$F12</f>
        <v>0.005391546854985744</v>
      </c>
      <c r="K12" s="89">
        <f>INDEX($B$45:$O$57,MATCH('2_Emissions Factors'!$B12,$B$45:$B$56,0),MATCH(K$6,$B$45:$N$45,0))*'2_Emissions Factors'!$F12</f>
        <v>0.005909844402930671</v>
      </c>
      <c r="L12" s="89">
        <f>INDEX($B$45:$O$57,MATCH('2_Emissions Factors'!$B12,$B$45:$B$56,0),MATCH(L$6,$B$45:$N$45,0))*'2_Emissions Factors'!$F12</f>
        <v>0.0061430889979388345</v>
      </c>
      <c r="M12" s="89">
        <f>INDEX($B$45:$O$57,MATCH('2_Emissions Factors'!$B12,$B$45:$B$56,0),MATCH(M$6,$B$45:$N$45,0))*'2_Emissions Factors'!$F12</f>
        <v>0.005527343933888419</v>
      </c>
      <c r="N12" s="89">
        <f>INDEX($B$45:$O$57,MATCH('2_Emissions Factors'!$B12,$B$45:$B$56,0),MATCH(N$6,$B$45:$N$45,0))*'2_Emissions Factors'!$F12</f>
        <v>0.005635104988923785</v>
      </c>
      <c r="O12" s="89">
        <f>INDEX($B$45:$O$57,MATCH('2_Emissions Factors'!$B12,$B$45:$B$56,0),MATCH(O$6,$B$45:$N$45,0))*'2_Emissions Factors'!$F12</f>
        <v>0.005144771053770408</v>
      </c>
      <c r="P12" s="89">
        <f>INDEX($B$45:$O$57,MATCH('2_Emissions Factors'!$B12,$B$45:$B$56,0),MATCH(P$6,$B$45:$N$45,0))*'2_Emissions Factors'!$F12</f>
        <v>0.005844393707500805</v>
      </c>
      <c r="Q12" s="99">
        <f>INDEX($B$45:$O$57,MATCH('2_Emissions Factors'!$B12,$B$45:$B$56,0),MATCH(Q$6,$B$45:$N$45,0))*'2_Emissions Factors'!$F12</f>
        <v>0.00565522400851296</v>
      </c>
      <c r="R12" s="105">
        <f>VLOOKUP($B12,'2_Emissions Factors'!$B$28:$G$39,2,0)/C$23</f>
        <v>0.9558678313710597</v>
      </c>
      <c r="S12" s="105">
        <f>VLOOKUP($B12,'2_Emissions Factors'!$B$28:$G$39,3,0)/D$23</f>
        <v>0.4520159987096136</v>
      </c>
      <c r="T12" s="105">
        <f>VLOOKUP($B12,'2_Emissions Factors'!$B$28:$G$39,4,0)/E$23</f>
        <v>0.6535431704203382</v>
      </c>
      <c r="U12" s="105">
        <f>VLOOKUP($B12,'2_Emissions Factors'!$B$28:$G$39,5,0)/F$23</f>
        <v>1.3339261739660635</v>
      </c>
      <c r="V12" s="142">
        <f>VLOOKUP($B12,'2_Emissions Factors'!$B$28:$G$39,6,0)/G$23</f>
        <v>1.7419046178669557</v>
      </c>
      <c r="W12" s="85"/>
    </row>
    <row r="13" spans="2:23" ht="15">
      <c r="B13" s="136" t="s">
        <v>4</v>
      </c>
      <c r="C13" s="89">
        <v>0.222</v>
      </c>
      <c r="D13" s="89">
        <v>0.23182000000000005</v>
      </c>
      <c r="E13" s="105">
        <v>0.12033247991148999</v>
      </c>
      <c r="F13" s="89">
        <v>0.027895475493081617</v>
      </c>
      <c r="G13" s="98">
        <f>INDEX($B$45:$O$57,MATCH('2_Emissions Factors'!$B13,$B$45:$B$56,0),MATCH(G$6,$B$45:$N$45,0))*'2_Emissions Factors'!$F13</f>
        <v>0.0011551686281071711</v>
      </c>
      <c r="H13" s="89">
        <f>INDEX($B$45:$O$57,MATCH('2_Emissions Factors'!$B13,$B$45:$B$56,0),MATCH(H$6,$B$45:$N$45,0))*'2_Emissions Factors'!$F13</f>
        <v>0.0010581315701040422</v>
      </c>
      <c r="I13" s="89">
        <f>INDEX($B$45:$O$57,MATCH('2_Emissions Factors'!$B13,$B$45:$B$56,0),MATCH(I$6,$B$45:$N$45,0))*'2_Emissions Factors'!$F13</f>
        <v>0.001146348871212602</v>
      </c>
      <c r="J13" s="89">
        <f>INDEX($B$45:$O$57,MATCH('2_Emissions Factors'!$B13,$B$45:$B$56,0),MATCH(J$6,$B$45:$N$45,0))*'2_Emissions Factors'!$F13</f>
        <v>0.009205506912716934</v>
      </c>
      <c r="K13" s="89">
        <f>INDEX($B$45:$O$57,MATCH('2_Emissions Factors'!$B13,$B$45:$B$56,0),MATCH(K$6,$B$45:$N$45,0))*'2_Emissions Factors'!$F13</f>
        <v>0.001201226278499156</v>
      </c>
      <c r="L13" s="89">
        <f>INDEX($B$45:$O$57,MATCH('2_Emissions Factors'!$B13,$B$45:$B$56,0),MATCH(L$6,$B$45:$N$45,0))*'2_Emissions Factors'!$F13</f>
        <v>0.0012486352317201174</v>
      </c>
      <c r="M13" s="89">
        <f>INDEX($B$45:$O$57,MATCH('2_Emissions Factors'!$B13,$B$45:$B$56,0),MATCH(M$6,$B$45:$N$45,0))*'2_Emissions Factors'!$F13</f>
        <v>0.0011234797959142752</v>
      </c>
      <c r="N13" s="89">
        <f>INDEX($B$45:$O$57,MATCH('2_Emissions Factors'!$B13,$B$45:$B$56,0),MATCH(N$6,$B$45:$N$45,0))*'2_Emissions Factors'!$F13</f>
        <v>0.0011453831494176404</v>
      </c>
      <c r="O13" s="89">
        <f>INDEX($B$45:$O$57,MATCH('2_Emissions Factors'!$B13,$B$45:$B$56,0),MATCH(O$6,$B$45:$N$45,0))*'2_Emissions Factors'!$F13</f>
        <v>0.0010457185951606698</v>
      </c>
      <c r="P13" s="89">
        <f>INDEX($B$45:$O$57,MATCH('2_Emissions Factors'!$B13,$B$45:$B$56,0),MATCH(P$6,$B$45:$N$45,0))*'2_Emissions Factors'!$F13</f>
        <v>0.0011879228664402174</v>
      </c>
      <c r="Q13" s="99">
        <f>INDEX($B$45:$O$57,MATCH('2_Emissions Factors'!$B13,$B$45:$B$56,0),MATCH(Q$6,$B$45:$N$45,0))*'2_Emissions Factors'!$F13</f>
        <v>0.00114947251173929</v>
      </c>
      <c r="R13" s="105">
        <f>VLOOKUP($B13,'2_Emissions Factors'!$B$28:$G$39,2,0)/C$23</f>
        <v>0.44033421952145846</v>
      </c>
      <c r="S13" s="105">
        <f>VLOOKUP($B13,'2_Emissions Factors'!$B$28:$G$39,3,0)/D$23</f>
        <v>0.3306728086897118</v>
      </c>
      <c r="T13" s="105">
        <f>VLOOKUP($B13,'2_Emissions Factors'!$B$28:$G$39,4,0)/E$23</f>
        <v>0.30720851524038856</v>
      </c>
      <c r="U13" s="105">
        <f>VLOOKUP($B13,'2_Emissions Factors'!$B$28:$G$39,5,0)/F$23</f>
        <v>0.19257719939569864</v>
      </c>
      <c r="V13" s="142">
        <f>VLOOKUP($B13,'2_Emissions Factors'!$B$28:$G$39,6,0)/G$23</f>
        <v>0.059495373670574614</v>
      </c>
      <c r="W13" s="85"/>
    </row>
    <row r="14" spans="2:23" ht="15">
      <c r="B14" s="136" t="s">
        <v>2</v>
      </c>
      <c r="C14" s="89">
        <v>0.222</v>
      </c>
      <c r="D14" s="89">
        <v>0.66158</v>
      </c>
      <c r="E14" s="105">
        <v>0.12033247991148999</v>
      </c>
      <c r="F14" s="89">
        <v>0.07960956205984354</v>
      </c>
      <c r="G14" s="98">
        <f>INDEX($B$45:$O$57,MATCH('2_Emissions Factors'!$B14,$B$45:$B$56,0),MATCH(G$6,$B$45:$N$45,0))*'2_Emissions Factors'!$F14</f>
        <v>0.008227582426097457</v>
      </c>
      <c r="H14" s="89">
        <f>INDEX($B$45:$O$57,MATCH('2_Emissions Factors'!$B14,$B$45:$B$56,0),MATCH(H$6,$B$45:$N$45,0))*'2_Emissions Factors'!$F14</f>
        <v>0.007536444895454033</v>
      </c>
      <c r="I14" s="89">
        <f>INDEX($B$45:$O$57,MATCH('2_Emissions Factors'!$B14,$B$45:$B$56,0),MATCH(I$6,$B$45:$N$45,0))*'2_Emissions Factors'!$F14</f>
        <v>0.008164764517904164</v>
      </c>
      <c r="J14" s="89">
        <f>INDEX($B$45:$O$57,MATCH('2_Emissions Factors'!$B14,$B$45:$B$56,0),MATCH(J$6,$B$45:$N$45,0))*'2_Emissions Factors'!$F14</f>
        <v>0.007805289530170927</v>
      </c>
      <c r="K14" s="89">
        <f>INDEX($B$45:$O$57,MATCH('2_Emissions Factors'!$B14,$B$45:$B$56,0),MATCH(K$6,$B$45:$N$45,0))*'2_Emissions Factors'!$F14</f>
        <v>0.02627115547974837</v>
      </c>
      <c r="L14" s="89">
        <f>INDEX($B$45:$O$57,MATCH('2_Emissions Factors'!$B14,$B$45:$B$56,0),MATCH(L$6,$B$45:$N$45,0))*'2_Emissions Factors'!$F14</f>
        <v>0.008893289723371417</v>
      </c>
      <c r="M14" s="89">
        <f>INDEX($B$45:$O$57,MATCH('2_Emissions Factors'!$B14,$B$45:$B$56,0),MATCH(M$6,$B$45:$N$45,0))*'2_Emissions Factors'!$F14</f>
        <v>0.0080018816301184</v>
      </c>
      <c r="N14" s="89">
        <f>INDEX($B$45:$O$57,MATCH('2_Emissions Factors'!$B14,$B$45:$B$56,0),MATCH(N$6,$B$45:$N$45,0))*'2_Emissions Factors'!$F14</f>
        <v>0.008157886253142295</v>
      </c>
      <c r="O14" s="89">
        <f>INDEX($B$45:$O$57,MATCH('2_Emissions Factors'!$B14,$B$45:$B$56,0),MATCH(O$6,$B$45:$N$45,0))*'2_Emissions Factors'!$F14</f>
        <v>0.007448034621824091</v>
      </c>
      <c r="P14" s="89">
        <f>INDEX($B$45:$O$57,MATCH('2_Emissions Factors'!$B14,$B$45:$B$56,0),MATCH(P$6,$B$45:$N$45,0))*'2_Emissions Factors'!$F14</f>
        <v>0.008460871479428792</v>
      </c>
      <c r="Q14" s="99">
        <f>INDEX($B$45:$O$57,MATCH('2_Emissions Factors'!$B14,$B$45:$B$56,0),MATCH(Q$6,$B$45:$N$45,0))*'2_Emissions Factors'!$F14</f>
        <v>0.008187012360580549</v>
      </c>
      <c r="R14" s="105">
        <f>VLOOKUP($B14,'2_Emissions Factors'!$B$28:$G$39,2,0)/C$23</f>
        <v>1.229092290163312</v>
      </c>
      <c r="S14" s="105">
        <f>VLOOKUP($B14,'2_Emissions Factors'!$B$28:$G$39,3,0)/D$23</f>
        <v>1.7945427637608342</v>
      </c>
      <c r="T14" s="105">
        <f>VLOOKUP($B14,'2_Emissions Factors'!$B$28:$G$39,4,0)/E$23</f>
        <v>1.6583645832964495</v>
      </c>
      <c r="U14" s="105">
        <f>VLOOKUP($B14,'2_Emissions Factors'!$B$28:$G$39,5,0)/F$23</f>
        <v>1.4354740094114986</v>
      </c>
      <c r="V14" s="142">
        <f>VLOOKUP($B14,'2_Emissions Factors'!$B$28:$G$39,6,0)/G$23</f>
        <v>1.7136491857133502</v>
      </c>
      <c r="W14" s="85"/>
    </row>
    <row r="15" spans="2:24" ht="15">
      <c r="B15" s="136" t="s">
        <v>0</v>
      </c>
      <c r="C15" s="89">
        <v>0.222</v>
      </c>
      <c r="D15" s="89">
        <v>0.39841999999999994</v>
      </c>
      <c r="E15" s="105">
        <v>0.12033247991148999</v>
      </c>
      <c r="F15" s="89">
        <v>0.04794286664633583</v>
      </c>
      <c r="G15" s="98">
        <f>INDEX($B$45:$O$57,MATCH('2_Emissions Factors'!$B15,$B$45:$B$56,0),MATCH(G$6,$B$45:$N$45,0))*'2_Emissions Factors'!$F15</f>
        <v>0.006127710148103986</v>
      </c>
      <c r="H15" s="89">
        <f>INDEX($B$45:$O$57,MATCH('2_Emissions Factors'!$B15,$B$45:$B$56,0),MATCH(H$6,$B$45:$N$45,0))*'2_Emissions Factors'!$F15</f>
        <v>0.005612967148164447</v>
      </c>
      <c r="I15" s="89">
        <f>INDEX($B$45:$O$57,MATCH('2_Emissions Factors'!$B15,$B$45:$B$56,0),MATCH(I$6,$B$45:$N$45,0))*'2_Emissions Factors'!$F15</f>
        <v>0.006080924845498238</v>
      </c>
      <c r="J15" s="89">
        <f>INDEX($B$45:$O$57,MATCH('2_Emissions Factors'!$B15,$B$45:$B$56,0),MATCH(J$6,$B$45:$N$45,0))*'2_Emissions Factors'!$F15</f>
        <v>0.005813196317694557</v>
      </c>
      <c r="K15" s="89">
        <f>INDEX($B$45:$O$57,MATCH('2_Emissions Factors'!$B15,$B$45:$B$56,0),MATCH(K$6,$B$45:$N$45,0))*'2_Emissions Factors'!$F15</f>
        <v>0.0063720276657699935</v>
      </c>
      <c r="L15" s="89">
        <f>INDEX($B$45:$O$57,MATCH('2_Emissions Factors'!$B15,$B$45:$B$56,0),MATCH(L$6,$B$45:$N$45,0))*'2_Emissions Factors'!$F15</f>
        <v>0.015821145993290826</v>
      </c>
      <c r="M15" s="89">
        <f>INDEX($B$45:$O$57,MATCH('2_Emissions Factors'!$B15,$B$45:$B$56,0),MATCH(M$6,$B$45:$N$45,0))*'2_Emissions Factors'!$F15</f>
        <v>0.005959613496337957</v>
      </c>
      <c r="N15" s="89">
        <f>INDEX($B$45:$O$57,MATCH('2_Emissions Factors'!$B15,$B$45:$B$56,0),MATCH(N$6,$B$45:$N$45,0))*'2_Emissions Factors'!$F15</f>
        <v>0.006075802075454761</v>
      </c>
      <c r="O15" s="89">
        <f>INDEX($B$45:$O$57,MATCH('2_Emissions Factors'!$B15,$B$45:$B$56,0),MATCH(O$6,$B$45:$N$45,0))*'2_Emissions Factors'!$F15</f>
        <v>0.005547121252874424</v>
      </c>
      <c r="P15" s="89">
        <f>INDEX($B$45:$O$57,MATCH('2_Emissions Factors'!$B15,$B$45:$B$56,0),MATCH(P$6,$B$45:$N$45,0))*'2_Emissions Factors'!$F15</f>
        <v>0.006301458355719095</v>
      </c>
      <c r="Q15" s="99">
        <f>INDEX($B$45:$O$57,MATCH('2_Emissions Factors'!$B15,$B$45:$B$56,0),MATCH(Q$6,$B$45:$N$45,0))*'2_Emissions Factors'!$F15</f>
        <v>0.0060974945161841355</v>
      </c>
      <c r="R15" s="105">
        <f>VLOOKUP($B15,'2_Emissions Factors'!$B$28:$G$39,2,0)/C$23</f>
        <v>0.6818078237751615</v>
      </c>
      <c r="S15" s="105">
        <f>VLOOKUP($B15,'2_Emissions Factors'!$B$28:$G$39,3,0)/D$23</f>
        <v>0.956347361338917</v>
      </c>
      <c r="T15" s="105">
        <f>VLOOKUP($B15,'2_Emissions Factors'!$B$28:$G$39,4,0)/E$23</f>
        <v>1.0029571887972475</v>
      </c>
      <c r="U15" s="105">
        <f>VLOOKUP($B15,'2_Emissions Factors'!$B$28:$G$39,5,0)/F$23</f>
        <v>0.7109740437405747</v>
      </c>
      <c r="V15" s="142">
        <f>VLOOKUP($B15,'2_Emissions Factors'!$B$28:$G$39,6,0)/G$23</f>
        <v>0.9052006881231314</v>
      </c>
      <c r="W15" s="85"/>
      <c r="X15"/>
    </row>
    <row r="16" spans="2:24" ht="15">
      <c r="B16" s="136" t="s">
        <v>5</v>
      </c>
      <c r="C16" s="89">
        <v>0.222</v>
      </c>
      <c r="D16" s="89">
        <v>0.41636</v>
      </c>
      <c r="E16" s="105">
        <v>0.1539208941780555</v>
      </c>
      <c r="F16" s="89">
        <v>0.06408650349997519</v>
      </c>
      <c r="G16" s="98">
        <f>INDEX($B$45:$O$57,MATCH('2_Emissions Factors'!$B16,$B$45:$B$56,0),MATCH(G$6,$B$45:$N$45,0))*'2_Emissions Factors'!$F16</f>
        <v>0.003765845151308114</v>
      </c>
      <c r="H16" s="89">
        <f>INDEX($B$45:$O$57,MATCH('2_Emissions Factors'!$B16,$B$45:$B$56,0),MATCH(H$6,$B$45:$N$45,0))*'2_Emissions Factors'!$F16</f>
        <v>0.0034495047266403624</v>
      </c>
      <c r="I16" s="89">
        <f>INDEX($B$45:$O$57,MATCH('2_Emissions Factors'!$B16,$B$45:$B$56,0),MATCH(I$6,$B$45:$N$45,0))*'2_Emissions Factors'!$F16</f>
        <v>0.003737092778772208</v>
      </c>
      <c r="J16" s="89">
        <f>INDEX($B$45:$O$57,MATCH('2_Emissions Factors'!$B16,$B$45:$B$56,0),MATCH(J$6,$B$45:$N$45,0))*'2_Emissions Factors'!$F16</f>
        <v>0.003572557552084256</v>
      </c>
      <c r="K16" s="89">
        <f>INDEX($B$45:$O$57,MATCH('2_Emissions Factors'!$B16,$B$45:$B$56,0),MATCH(K$6,$B$45:$N$45,0))*'2_Emissions Factors'!$F16</f>
        <v>0.0039159929091237885</v>
      </c>
      <c r="L16" s="89">
        <f>INDEX($B$45:$O$57,MATCH('2_Emissions Factors'!$B16,$B$45:$B$56,0),MATCH(L$6,$B$45:$N$45,0))*'2_Emissions Factors'!$F16</f>
        <v>0.004070545908808599</v>
      </c>
      <c r="M16" s="89">
        <f>INDEX($B$45:$O$57,MATCH('2_Emissions Factors'!$B16,$B$45:$B$56,0),MATCH(M$6,$B$45:$N$45,0))*'2_Emissions Factors'!$F16</f>
        <v>0.021148546154991812</v>
      </c>
      <c r="N16" s="89">
        <f>INDEX($B$45:$O$57,MATCH('2_Emissions Factors'!$B16,$B$45:$B$56,0),MATCH(N$6,$B$45:$N$45,0))*'2_Emissions Factors'!$F16</f>
        <v>0.003733944529546441</v>
      </c>
      <c r="O16" s="89">
        <f>INDEX($B$45:$O$57,MATCH('2_Emissions Factors'!$B16,$B$45:$B$56,0),MATCH(O$6,$B$45:$N$45,0))*'2_Emissions Factors'!$F16</f>
        <v>0.003409038477500266</v>
      </c>
      <c r="P16" s="89">
        <f>INDEX($B$45:$O$57,MATCH('2_Emissions Factors'!$B16,$B$45:$B$56,0),MATCH(P$6,$B$45:$N$45,0))*'2_Emissions Factors'!$F16</f>
        <v>0.003872623838514506</v>
      </c>
      <c r="Q16" s="99">
        <f>INDEX($B$45:$O$57,MATCH('2_Emissions Factors'!$B16,$B$45:$B$56,0),MATCH(Q$6,$B$45:$N$45,0))*'2_Emissions Factors'!$F16</f>
        <v>0.003747275834514582</v>
      </c>
      <c r="R16" s="105">
        <f>VLOOKUP($B16,'2_Emissions Factors'!$B$28:$G$39,2,0)/C$23</f>
        <v>0.6341815419673377</v>
      </c>
      <c r="S16" s="105">
        <f>VLOOKUP($B16,'2_Emissions Factors'!$B$28:$G$39,3,0)/D$23</f>
        <v>0.7646338878299501</v>
      </c>
      <c r="T16" s="105">
        <f>VLOOKUP($B16,'2_Emissions Factors'!$B$28:$G$39,4,0)/E$23</f>
        <v>0.8427107146395282</v>
      </c>
      <c r="U16" s="105">
        <f>VLOOKUP($B16,'2_Emissions Factors'!$B$28:$G$39,5,0)/F$23</f>
        <v>0.38775697867917785</v>
      </c>
      <c r="V16" s="142">
        <f>VLOOKUP($B16,'2_Emissions Factors'!$B$28:$G$39,6,0)/G$23</f>
        <v>0.2035908871776352</v>
      </c>
      <c r="W16" s="85"/>
      <c r="X16" s="87"/>
    </row>
    <row r="17" spans="2:24" ht="15.75" thickBot="1">
      <c r="B17" s="137" t="s">
        <v>26</v>
      </c>
      <c r="C17" s="138">
        <v>0.222</v>
      </c>
      <c r="D17" s="138">
        <v>0.53665</v>
      </c>
      <c r="E17" s="139">
        <v>0.12033247991148999</v>
      </c>
      <c r="F17" s="138">
        <v>0.0645764253445011</v>
      </c>
      <c r="G17" s="140">
        <f>INDEX($B$45:$O$57,MATCH('2_Emissions Factors'!$B17,$B$45:$B$56,0),MATCH(G$6,$B$45:$N$45,0))*'2_Emissions Factors'!$F17</f>
        <v>0.004800596855929073</v>
      </c>
      <c r="H17" s="138">
        <f>INDEX($B$45:$O$57,MATCH('2_Emissions Factors'!$B17,$B$45:$B$56,0),MATCH(H$6,$B$45:$N$45,0))*'2_Emissions Factors'!$F17</f>
        <v>0.004397334696427968</v>
      </c>
      <c r="I17" s="138">
        <f>INDEX($B$45:$O$57,MATCH('2_Emissions Factors'!$B17,$B$45:$B$56,0),MATCH(I$6,$B$45:$N$45,0))*'2_Emissions Factors'!$F17</f>
        <v>0.004763944114339732</v>
      </c>
      <c r="J17" s="138">
        <f>INDEX($B$45:$O$57,MATCH('2_Emissions Factors'!$B17,$B$45:$B$56,0),MATCH(J$6,$B$45:$N$45,0))*'2_Emissions Factors'!$F17</f>
        <v>0.004554199087608245</v>
      </c>
      <c r="K17" s="138">
        <f>INDEX($B$45:$O$57,MATCH('2_Emissions Factors'!$B17,$B$45:$B$56,0),MATCH(K$6,$B$45:$N$45,0))*'2_Emissions Factors'!$F17</f>
        <v>0.004992001129109119</v>
      </c>
      <c r="L17" s="138">
        <f>INDEX($B$45:$O$57,MATCH('2_Emissions Factors'!$B17,$B$45:$B$56,0),MATCH(L$6,$B$45:$N$45,0))*'2_Emissions Factors'!$F17</f>
        <v>0.005189021084670379</v>
      </c>
      <c r="M17" s="138">
        <f>INDEX($B$45:$O$57,MATCH('2_Emissions Factors'!$B17,$B$45:$B$56,0),MATCH(M$6,$B$45:$N$45,0))*'2_Emissions Factors'!$F17</f>
        <v>0.004668905859054835</v>
      </c>
      <c r="N17" s="138">
        <f>INDEX($B$45:$O$57,MATCH('2_Emissions Factors'!$B17,$B$45:$B$56,0),MATCH(N$6,$B$45:$N$45,0))*'2_Emissions Factors'!$F17</f>
        <v>0.00475993081195271</v>
      </c>
      <c r="O17" s="138">
        <f>INDEX($B$45:$O$57,MATCH('2_Emissions Factors'!$B17,$B$45:$B$56,0),MATCH(O$6,$B$45:$N$45,0))*'2_Emissions Factors'!$F17</f>
        <v>0.0043457494239093385</v>
      </c>
      <c r="P17" s="138">
        <f>INDEX($B$45:$O$57,MATCH('2_Emissions Factors'!$B17,$B$45:$B$56,0),MATCH(P$6,$B$45:$N$45,0))*'2_Emissions Factors'!$F17</f>
        <v>0.004936715418824625</v>
      </c>
      <c r="Q17" s="143">
        <f>INDEX($B$45:$O$57,MATCH('2_Emissions Factors'!$B17,$B$45:$B$56,0),MATCH(Q$6,$B$45:$N$45,0))*'2_Emissions Factors'!$F17</f>
        <v>0.021310220363685364</v>
      </c>
      <c r="R17" s="139">
        <f>VLOOKUP($B17,'2_Emissions Factors'!$B$28:$G$39,2,0)/C$23</f>
        <v>1.6284846183061148</v>
      </c>
      <c r="S17" s="139">
        <f>VLOOKUP($B17,'2_Emissions Factors'!$B$28:$G$39,3,0)/D$23</f>
        <v>1.9425616745598389</v>
      </c>
      <c r="T17" s="139">
        <f>VLOOKUP($B17,'2_Emissions Factors'!$B$28:$G$39,4,0)/E$23</f>
        <v>1.7951823062701364</v>
      </c>
      <c r="U17" s="139">
        <f>VLOOKUP($B17,'2_Emissions Factors'!$B$28:$G$39,5,0)/F$23</f>
        <v>1.51995035524971</v>
      </c>
      <c r="V17" s="141">
        <f>VLOOKUP($B17,'2_Emissions Factors'!$B$28:$G$39,6,0)/G$23</f>
        <v>1.0642342873838786</v>
      </c>
      <c r="W17" s="85"/>
      <c r="X17"/>
    </row>
    <row r="21" spans="2:7" ht="15">
      <c r="B21" s="172" t="s">
        <v>19</v>
      </c>
      <c r="C21" s="173"/>
      <c r="D21" s="173"/>
      <c r="E21" s="173"/>
      <c r="F21" s="173"/>
      <c r="G21" s="174"/>
    </row>
    <row r="22" spans="2:7" ht="48">
      <c r="B22" s="153" t="s">
        <v>10</v>
      </c>
      <c r="C22" s="153" t="s">
        <v>43</v>
      </c>
      <c r="D22" s="154" t="s">
        <v>44</v>
      </c>
      <c r="E22" s="154" t="s">
        <v>45</v>
      </c>
      <c r="F22" s="154" t="s">
        <v>46</v>
      </c>
      <c r="G22" s="155" t="s">
        <v>47</v>
      </c>
    </row>
    <row r="23" spans="2:7" ht="15">
      <c r="B23" s="34" t="s">
        <v>7</v>
      </c>
      <c r="C23" s="35">
        <f>AVERAGE('2_Emissions Factors'!$C$29:$C$39)</f>
        <v>1196.8181818181818</v>
      </c>
      <c r="D23" s="36">
        <f>AVERAGE('2_Emissions Factors'!$D$29:$D$39)</f>
        <v>0.08453053698228889</v>
      </c>
      <c r="E23" s="36">
        <f>AVERAGE('2_Emissions Factors'!$E$29:$E$39)</f>
        <v>0.10269477179746088</v>
      </c>
      <c r="F23" s="36">
        <f>AVERAGE('2_Emissions Factors'!$F$29:$F$39)</f>
        <v>0.8201857300584748</v>
      </c>
      <c r="G23" s="37">
        <f>AVERAGE('2_Emissions Factors'!$G$29:$G$39)</f>
        <v>1.0899068215453</v>
      </c>
    </row>
    <row r="27" spans="2:29" s="38" customFormat="1" ht="30" customHeight="1">
      <c r="B27" s="61"/>
      <c r="C27" s="62" t="s">
        <v>20</v>
      </c>
      <c r="D27" s="175" t="s">
        <v>12</v>
      </c>
      <c r="E27" s="176"/>
      <c r="F27" s="176"/>
      <c r="G27" s="177"/>
      <c r="H27" s="178" t="s">
        <v>13</v>
      </c>
      <c r="I27" s="179"/>
      <c r="J27" s="179"/>
      <c r="K27" s="180"/>
      <c r="L27" s="178" t="s">
        <v>14</v>
      </c>
      <c r="M27" s="179"/>
      <c r="N27" s="179"/>
      <c r="O27" s="180"/>
      <c r="P27" s="178" t="s">
        <v>15</v>
      </c>
      <c r="Q27" s="179"/>
      <c r="R27" s="179"/>
      <c r="S27" s="179"/>
      <c r="T27" s="178" t="s">
        <v>11</v>
      </c>
      <c r="U27" s="179"/>
      <c r="V27" s="179"/>
      <c r="W27" s="180"/>
      <c r="X27" s="178" t="s">
        <v>6</v>
      </c>
      <c r="Y27" s="179"/>
      <c r="Z27" s="180"/>
      <c r="AA27" s="179" t="s">
        <v>16</v>
      </c>
      <c r="AB27" s="180"/>
      <c r="AC27" s="39"/>
    </row>
    <row r="28" spans="2:28" s="23" customFormat="1" ht="45" customHeight="1">
      <c r="B28" s="66" t="s">
        <v>9</v>
      </c>
      <c r="C28" s="67" t="s">
        <v>48</v>
      </c>
      <c r="D28" s="162" t="s">
        <v>49</v>
      </c>
      <c r="E28" s="66" t="s">
        <v>50</v>
      </c>
      <c r="F28" s="66" t="s">
        <v>51</v>
      </c>
      <c r="G28" s="163" t="s">
        <v>52</v>
      </c>
      <c r="H28" s="68" t="s">
        <v>53</v>
      </c>
      <c r="I28" s="69" t="s">
        <v>54</v>
      </c>
      <c r="J28" s="69" t="s">
        <v>55</v>
      </c>
      <c r="K28" s="70" t="s">
        <v>56</v>
      </c>
      <c r="L28" s="68" t="s">
        <v>57</v>
      </c>
      <c r="M28" s="69" t="s">
        <v>58</v>
      </c>
      <c r="N28" s="69" t="s">
        <v>59</v>
      </c>
      <c r="O28" s="70" t="s">
        <v>60</v>
      </c>
      <c r="P28" s="68" t="s">
        <v>61</v>
      </c>
      <c r="Q28" s="69" t="s">
        <v>62</v>
      </c>
      <c r="R28" s="69" t="s">
        <v>63</v>
      </c>
      <c r="S28" s="69" t="s">
        <v>64</v>
      </c>
      <c r="T28" s="68" t="s">
        <v>65</v>
      </c>
      <c r="U28" s="69" t="s">
        <v>66</v>
      </c>
      <c r="V28" s="69" t="s">
        <v>67</v>
      </c>
      <c r="W28" s="70" t="s">
        <v>68</v>
      </c>
      <c r="X28" s="68" t="s">
        <v>70</v>
      </c>
      <c r="Y28" s="69" t="s">
        <v>71</v>
      </c>
      <c r="Z28" s="70" t="s">
        <v>72</v>
      </c>
      <c r="AA28" s="69" t="s">
        <v>69</v>
      </c>
      <c r="AB28" s="70" t="s">
        <v>73</v>
      </c>
    </row>
    <row r="29" spans="2:28" ht="15">
      <c r="B29" s="44" t="s">
        <v>25</v>
      </c>
      <c r="C29" s="159">
        <v>1065</v>
      </c>
      <c r="D29" s="42">
        <f>('2_Emissions Factors'!$P29+'2_Emissions Factors'!$T29)*2000/'2_Emissions Factors'!$Z29</f>
        <v>0.036712870755868585</v>
      </c>
      <c r="E29" s="40">
        <f>('2_Emissions Factors'!$Q29+'2_Emissions Factors'!$U29)*2000/'2_Emissions Factors'!$Z29</f>
        <v>0.03699527745399065</v>
      </c>
      <c r="F29" s="40">
        <f>('2_Emissions Factors'!$R29+'2_Emissions Factors'!$V29)*2000/'2_Emissions Factors'!$Z29</f>
        <v>0.23185589915821622</v>
      </c>
      <c r="G29" s="41">
        <f>('2_Emissions Factors'!$S29+'2_Emissions Factors'!$W29)*2000/'2_Emissions Factors'!$Z29</f>
        <v>0.15080517679718328</v>
      </c>
      <c r="H29" s="45">
        <f aca="true" t="shared" si="0" ref="H29:H39">P29*2000/$X29</f>
        <v>0.030937703958300734</v>
      </c>
      <c r="I29" s="45">
        <f aca="true" t="shared" si="1" ref="I29:I39">Q29*2000/$X29</f>
        <v>0.031235181880976702</v>
      </c>
      <c r="J29" s="45">
        <f aca="true" t="shared" si="2" ref="J29:J39">R29*2000/$X29</f>
        <v>0.19574047312078735</v>
      </c>
      <c r="K29" s="46">
        <f aca="true" t="shared" si="3" ref="K29:K39">S29*2000/$X29</f>
        <v>0.017551197437882148</v>
      </c>
      <c r="L29" s="47">
        <f aca="true" t="shared" si="4" ref="L29:L39">T29*2000/$Y29</f>
        <v>0.1449287480107136</v>
      </c>
      <c r="M29" s="45">
        <f aca="true" t="shared" si="5" ref="M29:M39">U29*2000/$Y29</f>
        <v>0.1449287480107136</v>
      </c>
      <c r="N29" s="45">
        <f aca="true" t="shared" si="6" ref="N29:N39">V29*2000/$Y29</f>
        <v>0.9085917663748582</v>
      </c>
      <c r="O29" s="46">
        <f aca="true" t="shared" si="7" ref="O29:O39">W29*2000/$Y29</f>
        <v>2.647736742503421</v>
      </c>
      <c r="P29" s="49">
        <v>104</v>
      </c>
      <c r="Q29" s="48">
        <v>105</v>
      </c>
      <c r="R29" s="48">
        <v>658</v>
      </c>
      <c r="S29" s="48">
        <v>59</v>
      </c>
      <c r="T29" s="49">
        <v>26</v>
      </c>
      <c r="U29" s="48">
        <v>26</v>
      </c>
      <c r="V29" s="48">
        <v>163</v>
      </c>
      <c r="W29" s="63">
        <v>475</v>
      </c>
      <c r="X29" s="50">
        <v>6723188</v>
      </c>
      <c r="Y29" s="51">
        <v>358797</v>
      </c>
      <c r="Z29" s="52">
        <f>'2_Emissions Factors'!$X29+'2_Emissions Factors'!$Y29</f>
        <v>7081985</v>
      </c>
      <c r="AA29" s="56">
        <f>X29/'2_Emissions Factors'!$Z29</f>
        <v>0.9493366619669485</v>
      </c>
      <c r="AB29" s="53">
        <f>Y29/'2_Emissions Factors'!$Z29</f>
        <v>0.05066333803305147</v>
      </c>
    </row>
    <row r="30" spans="2:28" ht="15">
      <c r="B30" s="60" t="s">
        <v>8</v>
      </c>
      <c r="C30" s="160">
        <v>847</v>
      </c>
      <c r="D30" s="42">
        <f>('2_Emissions Factors'!$P30+'2_Emissions Factors'!$T30)*2000/'2_Emissions Factors'!$Z30</f>
        <v>0.0760036481751124</v>
      </c>
      <c r="E30" s="40">
        <f>('2_Emissions Factors'!$Q30+'2_Emissions Factors'!$U30)*2000/'2_Emissions Factors'!$Z30</f>
        <v>0.09890885721418738</v>
      </c>
      <c r="F30" s="40">
        <f>('2_Emissions Factors'!$R30+'2_Emissions Factors'!$V30)*2000/'2_Emissions Factors'!$Z30</f>
        <v>0.8013809320381625</v>
      </c>
      <c r="G30" s="41">
        <f>('2_Emissions Factors'!$S30+'2_Emissions Factors'!$W30)*2000/'2_Emissions Factors'!$Z30</f>
        <v>1.4838246482406499</v>
      </c>
      <c r="H30" s="45">
        <f t="shared" si="0"/>
        <v>0.04168828219637312</v>
      </c>
      <c r="I30" s="45">
        <f t="shared" si="1"/>
        <v>0.04168828219637312</v>
      </c>
      <c r="J30" s="45">
        <f t="shared" si="2"/>
        <v>0.153034620586686</v>
      </c>
      <c r="K30" s="46">
        <f t="shared" si="3"/>
        <v>0.006259901799455388</v>
      </c>
      <c r="L30" s="47">
        <f t="shared" si="4"/>
        <v>0.08489092309755078</v>
      </c>
      <c r="M30" s="45">
        <f t="shared" si="5"/>
        <v>0.11372831103316737</v>
      </c>
      <c r="N30" s="45">
        <f t="shared" si="6"/>
        <v>0.9692949772617541</v>
      </c>
      <c r="O30" s="46">
        <f t="shared" si="7"/>
        <v>1.8664964846844667</v>
      </c>
      <c r="P30" s="49">
        <v>313</v>
      </c>
      <c r="Q30" s="48">
        <v>313</v>
      </c>
      <c r="R30" s="48">
        <v>1149</v>
      </c>
      <c r="S30" s="48">
        <v>47</v>
      </c>
      <c r="T30" s="49">
        <v>2461</v>
      </c>
      <c r="U30" s="48">
        <v>3297</v>
      </c>
      <c r="V30" s="48">
        <v>28100</v>
      </c>
      <c r="W30" s="63">
        <v>54110</v>
      </c>
      <c r="X30" s="54">
        <v>15016210</v>
      </c>
      <c r="Y30" s="55">
        <v>57980286</v>
      </c>
      <c r="Z30" s="52">
        <f>'2_Emissions Factors'!$X30+'2_Emissions Factors'!$Y30</f>
        <v>72996496</v>
      </c>
      <c r="AA30" s="56">
        <f>X30/'2_Emissions Factors'!$Z30</f>
        <v>0.20571138099560285</v>
      </c>
      <c r="AB30" s="53">
        <f>Y30/'2_Emissions Factors'!$Z30</f>
        <v>0.7942886190043972</v>
      </c>
    </row>
    <row r="31" spans="2:28" ht="15">
      <c r="B31" s="44" t="s">
        <v>27</v>
      </c>
      <c r="C31" s="160">
        <v>1822</v>
      </c>
      <c r="D31" s="42">
        <f>('2_Emissions Factors'!$P31+'2_Emissions Factors'!$T31)*2000/'2_Emissions Factors'!$Z31</f>
        <v>0.15232256385656473</v>
      </c>
      <c r="E31" s="40">
        <f>('2_Emissions Factors'!$Q31+'2_Emissions Factors'!$U31)*2000/'2_Emissions Factors'!$Z31</f>
        <v>0.16823653122257318</v>
      </c>
      <c r="F31" s="40">
        <f>('2_Emissions Factors'!$R31+'2_Emissions Factors'!$V31)*2000/'2_Emissions Factors'!$Z31</f>
        <v>1.403793416163726</v>
      </c>
      <c r="G31" s="41">
        <f>('2_Emissions Factors'!$S31+'2_Emissions Factors'!$W31)*2000/'2_Emissions Factors'!$Z31</f>
        <v>1.4184900424933915</v>
      </c>
      <c r="H31" s="45">
        <f t="shared" si="0"/>
        <v>0.05451738567773761</v>
      </c>
      <c r="I31" s="45">
        <f t="shared" si="1"/>
        <v>0.05507368553159207</v>
      </c>
      <c r="J31" s="45">
        <f t="shared" si="2"/>
        <v>0.45727847986837056</v>
      </c>
      <c r="K31" s="46">
        <f t="shared" si="3"/>
        <v>0.0481755673437967</v>
      </c>
      <c r="L31" s="47">
        <f t="shared" si="4"/>
        <v>0.17661128126386813</v>
      </c>
      <c r="M31" s="45">
        <f t="shared" si="5"/>
        <v>0.19633913714972573</v>
      </c>
      <c r="N31" s="45">
        <f t="shared" si="6"/>
        <v>1.6388488011397175</v>
      </c>
      <c r="O31" s="46">
        <f t="shared" si="7"/>
        <v>1.7587908493197004</v>
      </c>
      <c r="P31" s="49">
        <v>490</v>
      </c>
      <c r="Q31" s="48">
        <v>495</v>
      </c>
      <c r="R31" s="48">
        <v>4110</v>
      </c>
      <c r="S31" s="48">
        <v>433</v>
      </c>
      <c r="T31" s="49">
        <v>6392</v>
      </c>
      <c r="U31" s="48">
        <v>7106</v>
      </c>
      <c r="V31" s="48">
        <v>59314</v>
      </c>
      <c r="W31" s="63">
        <v>63655</v>
      </c>
      <c r="X31" s="50">
        <v>17975917</v>
      </c>
      <c r="Y31" s="51">
        <v>72384957</v>
      </c>
      <c r="Z31" s="52">
        <f>'2_Emissions Factors'!$X31+'2_Emissions Factors'!$Y31</f>
        <v>90360874</v>
      </c>
      <c r="AA31" s="56">
        <f>X31/'2_Emissions Factors'!$Z31</f>
        <v>0.19893474027265384</v>
      </c>
      <c r="AB31" s="53">
        <f>Y31/'2_Emissions Factors'!$Z31</f>
        <v>0.8010652597273461</v>
      </c>
    </row>
    <row r="32" spans="2:28" ht="15">
      <c r="B32" s="44" t="s">
        <v>24</v>
      </c>
      <c r="C32" s="160">
        <v>1902</v>
      </c>
      <c r="D32" s="42">
        <f>('2_Emissions Factors'!$P32+'2_Emissions Factors'!$T32)*2000/'2_Emissions Factors'!$Z32</f>
        <v>0.06877056581922153</v>
      </c>
      <c r="E32" s="40">
        <f>('2_Emissions Factors'!$Q32+'2_Emissions Factors'!$U32)*2000/'2_Emissions Factors'!$Z32</f>
        <v>0.09787604399819529</v>
      </c>
      <c r="F32" s="40">
        <f>('2_Emissions Factors'!$R32+'2_Emissions Factors'!$V32)*2000/'2_Emissions Factors'!$Z32</f>
        <v>1.3798777058204317</v>
      </c>
      <c r="G32" s="41">
        <f>('2_Emissions Factors'!$S32+'2_Emissions Factors'!$W32)*2000/'2_Emissions Factors'!$Z32</f>
        <v>1.6936785371219891</v>
      </c>
      <c r="H32" s="45">
        <f t="shared" si="0"/>
        <v>0.05742016958603911</v>
      </c>
      <c r="I32" s="45">
        <f t="shared" si="1"/>
        <v>0.06493488976676236</v>
      </c>
      <c r="J32" s="45">
        <f t="shared" si="2"/>
        <v>0.49828375352180254</v>
      </c>
      <c r="K32" s="46">
        <f t="shared" si="3"/>
        <v>0.03776628603645526</v>
      </c>
      <c r="L32" s="47">
        <f t="shared" si="4"/>
        <v>0.07082891795514643</v>
      </c>
      <c r="M32" s="45">
        <f t="shared" si="5"/>
        <v>0.10384979978426008</v>
      </c>
      <c r="N32" s="45">
        <f t="shared" si="6"/>
        <v>1.5397514897353366</v>
      </c>
      <c r="O32" s="46">
        <f t="shared" si="7"/>
        <v>1.9939720642291443</v>
      </c>
      <c r="P32" s="49">
        <v>298</v>
      </c>
      <c r="Q32" s="48">
        <v>337</v>
      </c>
      <c r="R32" s="48">
        <v>2586</v>
      </c>
      <c r="S32" s="48">
        <v>196</v>
      </c>
      <c r="T32" s="49">
        <v>2027</v>
      </c>
      <c r="U32" s="48">
        <v>2972</v>
      </c>
      <c r="V32" s="48">
        <v>44065</v>
      </c>
      <c r="W32" s="63">
        <v>57064</v>
      </c>
      <c r="X32" s="50">
        <v>10379628</v>
      </c>
      <c r="Y32" s="51">
        <v>57236509</v>
      </c>
      <c r="Z32" s="52">
        <f>'2_Emissions Factors'!$X32+'2_Emissions Factors'!$Y32</f>
        <v>67616137</v>
      </c>
      <c r="AA32" s="56">
        <f>X32/'2_Emissions Factors'!$Z32</f>
        <v>0.15350814850602898</v>
      </c>
      <c r="AB32" s="53">
        <f>Y32/'2_Emissions Factors'!$Z32</f>
        <v>0.846491851493971</v>
      </c>
    </row>
    <row r="33" spans="2:28" ht="15">
      <c r="B33" s="44" t="s">
        <v>1</v>
      </c>
      <c r="C33" s="160">
        <v>863</v>
      </c>
      <c r="D33" s="42">
        <f>('2_Emissions Factors'!$P33+'2_Emissions Factors'!$T33)*2000/'2_Emissions Factors'!$Z33</f>
        <v>0.068490238960082</v>
      </c>
      <c r="E33" s="40">
        <f>('2_Emissions Factors'!$Q33+'2_Emissions Factors'!$U33)*2000/'2_Emissions Factors'!$Z33</f>
        <v>0.08475995089695972</v>
      </c>
      <c r="F33" s="40">
        <f>('2_Emissions Factors'!$R33+'2_Emissions Factors'!$V33)*2000/'2_Emissions Factors'!$Z33</f>
        <v>0.627958397821748</v>
      </c>
      <c r="G33" s="41">
        <f>('2_Emissions Factors'!$S33+'2_Emissions Factors'!$W33)*2000/'2_Emissions Factors'!$Z33</f>
        <v>1.0427048448578</v>
      </c>
      <c r="H33" s="45">
        <f t="shared" si="0"/>
        <v>0.032694118729286605</v>
      </c>
      <c r="I33" s="45">
        <f t="shared" si="1"/>
        <v>0.03299133799046194</v>
      </c>
      <c r="J33" s="45">
        <f t="shared" si="2"/>
        <v>0.23569487411203888</v>
      </c>
      <c r="K33" s="46">
        <f t="shared" si="3"/>
        <v>0.01188877044701331</v>
      </c>
      <c r="L33" s="47">
        <f t="shared" si="4"/>
        <v>0.09678166889417195</v>
      </c>
      <c r="M33" s="45">
        <f t="shared" si="5"/>
        <v>0.1256752253844223</v>
      </c>
      <c r="N33" s="45">
        <f t="shared" si="6"/>
        <v>0.9379835045981276</v>
      </c>
      <c r="O33" s="46">
        <f t="shared" si="7"/>
        <v>1.8574093590927612</v>
      </c>
      <c r="P33" s="49">
        <v>110</v>
      </c>
      <c r="Q33" s="48">
        <v>111</v>
      </c>
      <c r="R33" s="48">
        <v>793</v>
      </c>
      <c r="S33" s="48">
        <v>40</v>
      </c>
      <c r="T33" s="49">
        <v>412</v>
      </c>
      <c r="U33" s="48">
        <v>535</v>
      </c>
      <c r="V33" s="48">
        <v>3993</v>
      </c>
      <c r="W33" s="63">
        <v>7907</v>
      </c>
      <c r="X33" s="50">
        <v>6729039</v>
      </c>
      <c r="Y33" s="51">
        <v>8514009</v>
      </c>
      <c r="Z33" s="52">
        <f>'2_Emissions Factors'!$X33+'2_Emissions Factors'!$Y33</f>
        <v>15243048</v>
      </c>
      <c r="AA33" s="56">
        <f>X33/'2_Emissions Factors'!$Z33</f>
        <v>0.44144970218554713</v>
      </c>
      <c r="AB33" s="53">
        <f>Y33/'2_Emissions Factors'!$Z33</f>
        <v>0.5585502978144529</v>
      </c>
    </row>
    <row r="34" spans="2:28" ht="15">
      <c r="B34" s="44" t="s">
        <v>3</v>
      </c>
      <c r="C34" s="160">
        <v>1144</v>
      </c>
      <c r="D34" s="42">
        <f>('2_Emissions Factors'!$P34+'2_Emissions Factors'!$T34)*2000/'2_Emissions Factors'!$Z34</f>
        <v>0.03820915509550924</v>
      </c>
      <c r="E34" s="40">
        <f>('2_Emissions Factors'!$Q34+'2_Emissions Factors'!$U34)*2000/'2_Emissions Factors'!$Z34</f>
        <v>0.06711546674610572</v>
      </c>
      <c r="F34" s="40">
        <f>('2_Emissions Factors'!$R34+'2_Emissions Factors'!$V34)*2000/'2_Emissions Factors'!$Z34</f>
        <v>1.0940672128384639</v>
      </c>
      <c r="G34" s="41">
        <f>('2_Emissions Factors'!$S34+'2_Emissions Factors'!$W34)*2000/'2_Emissions Factors'!$Z34</f>
        <v>1.8985137254944542</v>
      </c>
      <c r="H34" s="45">
        <f t="shared" si="0"/>
        <v>0.03490153213899168</v>
      </c>
      <c r="I34" s="45">
        <f t="shared" si="1"/>
        <v>0.03490153213899168</v>
      </c>
      <c r="J34" s="45">
        <f t="shared" si="2"/>
        <v>0.40573031111577823</v>
      </c>
      <c r="K34" s="46">
        <f t="shared" si="3"/>
        <v>0.008419229244055011</v>
      </c>
      <c r="L34" s="47">
        <f t="shared" si="4"/>
        <v>0.04026601461742003</v>
      </c>
      <c r="M34" s="45">
        <f t="shared" si="5"/>
        <v>0.08714784014715848</v>
      </c>
      <c r="N34" s="45">
        <f t="shared" si="6"/>
        <v>1.5221124674528281</v>
      </c>
      <c r="O34" s="46">
        <f t="shared" si="7"/>
        <v>3.0738770946061913</v>
      </c>
      <c r="P34" s="49">
        <v>456</v>
      </c>
      <c r="Q34" s="48">
        <v>456</v>
      </c>
      <c r="R34" s="48">
        <v>5301</v>
      </c>
      <c r="S34" s="48">
        <v>110</v>
      </c>
      <c r="T34" s="49">
        <v>846</v>
      </c>
      <c r="U34" s="48">
        <v>1831</v>
      </c>
      <c r="V34" s="48">
        <v>31980</v>
      </c>
      <c r="W34" s="63">
        <v>64583</v>
      </c>
      <c r="X34" s="50">
        <v>26130658</v>
      </c>
      <c r="Y34" s="51">
        <v>42020548</v>
      </c>
      <c r="Z34" s="52">
        <f>'2_Emissions Factors'!$X34+'2_Emissions Factors'!$Y34</f>
        <v>68151206</v>
      </c>
      <c r="AA34" s="56">
        <f>X34/'2_Emissions Factors'!$Z34</f>
        <v>0.38342179887469635</v>
      </c>
      <c r="AB34" s="53">
        <f>Y34/'2_Emissions Factors'!$Z34</f>
        <v>0.6165782011253036</v>
      </c>
    </row>
    <row r="35" spans="2:28" ht="15">
      <c r="B35" s="44" t="s">
        <v>4</v>
      </c>
      <c r="C35" s="160">
        <v>527</v>
      </c>
      <c r="D35" s="42">
        <f>('2_Emissions Factors'!$P35+'2_Emissions Factors'!$T35)*2000/'2_Emissions Factors'!$Z35</f>
        <v>0.02795195008398302</v>
      </c>
      <c r="E35" s="40">
        <f>('2_Emissions Factors'!$Q35+'2_Emissions Factors'!$U35)*2000/'2_Emissions Factors'!$Z35</f>
        <v>0.031548708366848484</v>
      </c>
      <c r="F35" s="40">
        <f>('2_Emissions Factors'!$R35+'2_Emissions Factors'!$V35)*2000/'2_Emissions Factors'!$Z35</f>
        <v>0.15794907087897758</v>
      </c>
      <c r="G35" s="41">
        <f>('2_Emissions Factors'!$S35+'2_Emissions Factors'!$W35)*2000/'2_Emissions Factors'!$Z35</f>
        <v>0.06484441361394591</v>
      </c>
      <c r="H35" s="45">
        <f t="shared" si="0"/>
        <v>0.027050071910759796</v>
      </c>
      <c r="I35" s="45">
        <f t="shared" si="1"/>
        <v>0.028853410038143783</v>
      </c>
      <c r="J35" s="45">
        <f t="shared" si="2"/>
        <v>0.11111745226086622</v>
      </c>
      <c r="K35" s="46">
        <f t="shared" si="3"/>
        <v>0.005940407949029602</v>
      </c>
      <c r="L35" s="47">
        <f t="shared" si="4"/>
        <v>0.0559168680633275</v>
      </c>
      <c r="M35" s="45">
        <f t="shared" si="5"/>
        <v>0.11512296365979191</v>
      </c>
      <c r="N35" s="45">
        <f t="shared" si="6"/>
        <v>1.6100768774705183</v>
      </c>
      <c r="O35" s="46">
        <f t="shared" si="7"/>
        <v>1.8913058315537241</v>
      </c>
      <c r="P35" s="49">
        <v>510</v>
      </c>
      <c r="Q35" s="48">
        <v>544</v>
      </c>
      <c r="R35" s="48">
        <v>2095</v>
      </c>
      <c r="S35" s="48">
        <v>112</v>
      </c>
      <c r="T35" s="49">
        <v>34</v>
      </c>
      <c r="U35" s="48">
        <v>70</v>
      </c>
      <c r="V35" s="48">
        <v>979</v>
      </c>
      <c r="W35" s="63">
        <v>1150</v>
      </c>
      <c r="X35" s="50">
        <v>37707848</v>
      </c>
      <c r="Y35" s="51">
        <v>1216091</v>
      </c>
      <c r="Z35" s="52">
        <f>'2_Emissions Factors'!$X35+'2_Emissions Factors'!$Y35</f>
        <v>38923939</v>
      </c>
      <c r="AA35" s="56">
        <f>X35/'2_Emissions Factors'!$Z35</f>
        <v>0.9687572473073705</v>
      </c>
      <c r="AB35" s="53">
        <f>Y35/'2_Emissions Factors'!$Z35</f>
        <v>0.03124275269262959</v>
      </c>
    </row>
    <row r="36" spans="2:28" ht="15">
      <c r="B36" s="44" t="s">
        <v>2</v>
      </c>
      <c r="C36" s="160">
        <v>1471</v>
      </c>
      <c r="D36" s="42">
        <f>('2_Emissions Factors'!$P36+'2_Emissions Factors'!$T36)*2000/'2_Emissions Factors'!$Z36</f>
        <v>0.15169366345838411</v>
      </c>
      <c r="E36" s="40">
        <f>('2_Emissions Factors'!$Q36+'2_Emissions Factors'!$U36)*2000/'2_Emissions Factors'!$Z36</f>
        <v>0.17030537243862018</v>
      </c>
      <c r="F36" s="40">
        <f>('2_Emissions Factors'!$R36+'2_Emissions Factors'!$V36)*2000/'2_Emissions Factors'!$Z36</f>
        <v>1.177355298389136</v>
      </c>
      <c r="G36" s="41">
        <f>('2_Emissions Factors'!$S36+'2_Emissions Factors'!$W36)*2000/'2_Emissions Factors'!$Z36</f>
        <v>1.8677179372445292</v>
      </c>
      <c r="H36" s="45">
        <f t="shared" si="0"/>
        <v>0.04451464316478696</v>
      </c>
      <c r="I36" s="45">
        <f t="shared" si="1"/>
        <v>0.0447229800282727</v>
      </c>
      <c r="J36" s="45">
        <f t="shared" si="2"/>
        <v>0.13548840688689448</v>
      </c>
      <c r="K36" s="46">
        <f t="shared" si="3"/>
        <v>0.0038889547850671914</v>
      </c>
      <c r="L36" s="47">
        <f t="shared" si="4"/>
        <v>0.19685812443458525</v>
      </c>
      <c r="M36" s="45">
        <f t="shared" si="5"/>
        <v>0.22322488080675135</v>
      </c>
      <c r="N36" s="45">
        <f t="shared" si="6"/>
        <v>1.6163904419718027</v>
      </c>
      <c r="O36" s="46">
        <f t="shared" si="7"/>
        <v>2.6531219380835984</v>
      </c>
      <c r="P36" s="49">
        <v>641</v>
      </c>
      <c r="Q36" s="48">
        <v>644</v>
      </c>
      <c r="R36" s="48">
        <v>1951</v>
      </c>
      <c r="S36" s="48">
        <v>56</v>
      </c>
      <c r="T36" s="49">
        <v>6727</v>
      </c>
      <c r="U36" s="48">
        <v>7628</v>
      </c>
      <c r="V36" s="48">
        <v>55235</v>
      </c>
      <c r="W36" s="63">
        <v>90662</v>
      </c>
      <c r="X36" s="50">
        <v>28799512</v>
      </c>
      <c r="Y36" s="51">
        <v>68343636</v>
      </c>
      <c r="Z36" s="52">
        <f>'2_Emissions Factors'!$X36+'2_Emissions Factors'!$Y36</f>
        <v>97143148</v>
      </c>
      <c r="AA36" s="56">
        <f>X36/'2_Emissions Factors'!$Z36</f>
        <v>0.29646467705576107</v>
      </c>
      <c r="AB36" s="53">
        <f>Y36/'2_Emissions Factors'!$Z36</f>
        <v>0.7035353229442389</v>
      </c>
    </row>
    <row r="37" spans="2:28" ht="15">
      <c r="B37" s="44" t="s">
        <v>0</v>
      </c>
      <c r="C37" s="160">
        <v>816</v>
      </c>
      <c r="D37" s="42">
        <f>('2_Emissions Factors'!$P37+'2_Emissions Factors'!$T37)*2000/'2_Emissions Factors'!$Z37</f>
        <v>0.08084055599557372</v>
      </c>
      <c r="E37" s="40">
        <f>('2_Emissions Factors'!$Q37+'2_Emissions Factors'!$U37)*2000/'2_Emissions Factors'!$Z37</f>
        <v>0.10299845962615621</v>
      </c>
      <c r="F37" s="40">
        <f>('2_Emissions Factors'!$R37+'2_Emissions Factors'!$V37)*2000/'2_Emissions Factors'!$Z37</f>
        <v>0.5831307651179893</v>
      </c>
      <c r="G37" s="41">
        <f>('2_Emissions Factors'!$S37+'2_Emissions Factors'!$W37)*2000/'2_Emissions Factors'!$Z37</f>
        <v>0.9865844048529006</v>
      </c>
      <c r="H37" s="45">
        <f t="shared" si="0"/>
        <v>0.035198326016164086</v>
      </c>
      <c r="I37" s="45">
        <f t="shared" si="1"/>
        <v>0.03814990978084242</v>
      </c>
      <c r="J37" s="45">
        <f t="shared" si="2"/>
        <v>0.17483306449094668</v>
      </c>
      <c r="K37" s="46">
        <f t="shared" si="3"/>
        <v>0.005406639419410784</v>
      </c>
      <c r="L37" s="47">
        <f t="shared" si="4"/>
        <v>0.150311946623472</v>
      </c>
      <c r="M37" s="45">
        <f t="shared" si="5"/>
        <v>0.20170351720088253</v>
      </c>
      <c r="N37" s="45">
        <f t="shared" si="6"/>
        <v>1.2045949018512323</v>
      </c>
      <c r="O37" s="46">
        <f t="shared" si="7"/>
        <v>2.4800211595554806</v>
      </c>
      <c r="P37" s="49">
        <v>1276</v>
      </c>
      <c r="Q37" s="48">
        <v>1383</v>
      </c>
      <c r="R37" s="48">
        <v>6338</v>
      </c>
      <c r="S37" s="48">
        <v>196</v>
      </c>
      <c r="T37" s="49">
        <v>3580</v>
      </c>
      <c r="U37" s="48">
        <v>4804</v>
      </c>
      <c r="V37" s="48">
        <v>28690</v>
      </c>
      <c r="W37" s="63">
        <v>59067</v>
      </c>
      <c r="X37" s="50">
        <v>72503448</v>
      </c>
      <c r="Y37" s="51">
        <v>47634271</v>
      </c>
      <c r="Z37" s="52">
        <f>'2_Emissions Factors'!$X37+'2_Emissions Factors'!$Y37</f>
        <v>120137719</v>
      </c>
      <c r="AA37" s="56">
        <f>X37/'2_Emissions Factors'!$Z37</f>
        <v>0.6035027849996053</v>
      </c>
      <c r="AB37" s="53">
        <f>Y37/'2_Emissions Factors'!$Z37</f>
        <v>0.3964972150003947</v>
      </c>
    </row>
    <row r="38" spans="2:28" ht="15">
      <c r="B38" s="44" t="s">
        <v>5</v>
      </c>
      <c r="C38" s="160">
        <v>759</v>
      </c>
      <c r="D38" s="42">
        <f>('2_Emissions Factors'!$P38+'2_Emissions Factors'!$T38)*2000/'2_Emissions Factors'!$Z38</f>
        <v>0.06463491313312093</v>
      </c>
      <c r="E38" s="40">
        <f>('2_Emissions Factors'!$Q38+'2_Emissions Factors'!$U38)*2000/'2_Emissions Factors'!$Z38</f>
        <v>0.08654198453118152</v>
      </c>
      <c r="F38" s="40">
        <f>('2_Emissions Factors'!$R38+'2_Emissions Factors'!$V38)*2000/'2_Emissions Factors'!$Z38</f>
        <v>0.31803274064324993</v>
      </c>
      <c r="G38" s="41">
        <f>('2_Emissions Factors'!$S38+'2_Emissions Factors'!$W38)*2000/'2_Emissions Factors'!$Z38</f>
        <v>0.22189509673936417</v>
      </c>
      <c r="H38" s="45">
        <f t="shared" si="0"/>
        <v>0.043993193412659636</v>
      </c>
      <c r="I38" s="45">
        <f t="shared" si="1"/>
        <v>0.046689405470636734</v>
      </c>
      <c r="J38" s="45">
        <f t="shared" si="2"/>
        <v>0.16855819049120152</v>
      </c>
      <c r="K38" s="46">
        <f t="shared" si="3"/>
        <v>0.036713420856121476</v>
      </c>
      <c r="L38" s="47">
        <f t="shared" si="4"/>
        <v>0.15028310465502848</v>
      </c>
      <c r="M38" s="45">
        <f t="shared" si="5"/>
        <v>0.25190133298876366</v>
      </c>
      <c r="N38" s="45">
        <f t="shared" si="6"/>
        <v>0.9382438990373491</v>
      </c>
      <c r="O38" s="46">
        <f t="shared" si="7"/>
        <v>0.9902649737256282</v>
      </c>
      <c r="P38" s="49">
        <v>979</v>
      </c>
      <c r="Q38" s="48">
        <v>1039</v>
      </c>
      <c r="R38" s="48">
        <v>3751</v>
      </c>
      <c r="S38" s="48">
        <v>817</v>
      </c>
      <c r="T38" s="49">
        <v>806</v>
      </c>
      <c r="U38" s="48">
        <v>1351</v>
      </c>
      <c r="V38" s="48">
        <v>5032</v>
      </c>
      <c r="W38" s="63">
        <v>5311</v>
      </c>
      <c r="X38" s="50">
        <v>44506885</v>
      </c>
      <c r="Y38" s="51">
        <v>10726422</v>
      </c>
      <c r="Z38" s="52">
        <f>'2_Emissions Factors'!$X38+'2_Emissions Factors'!$Y38</f>
        <v>55233307</v>
      </c>
      <c r="AA38" s="56">
        <f>X38/'2_Emissions Factors'!$Z38</f>
        <v>0.8057979400002249</v>
      </c>
      <c r="AB38" s="53">
        <f>Y38/'2_Emissions Factors'!$Z38</f>
        <v>0.19420205999977513</v>
      </c>
    </row>
    <row r="39" spans="2:28" ht="15">
      <c r="B39" s="44" t="s">
        <v>26</v>
      </c>
      <c r="C39" s="160">
        <v>1949</v>
      </c>
      <c r="D39" s="42">
        <f>('2_Emissions Factors'!$P39+'2_Emissions Factors'!$T39)*2000/'2_Emissions Factors'!$Z39</f>
        <v>0.1642057814717575</v>
      </c>
      <c r="E39" s="40">
        <f>('2_Emissions Factors'!$Q39+'2_Emissions Factors'!$U39)*2000/'2_Emissions Factors'!$Z39</f>
        <v>0.1843558372772512</v>
      </c>
      <c r="F39" s="40">
        <f>('2_Emissions Factors'!$R39+'2_Emissions Factors'!$V39)*2000/'2_Emissions Factors'!$Z39</f>
        <v>1.2466415917731215</v>
      </c>
      <c r="G39" s="41">
        <f>('2_Emissions Factors'!$S39+'2_Emissions Factors'!$W39)*2000/'2_Emissions Factors'!$Z39</f>
        <v>1.1599162095420905</v>
      </c>
      <c r="H39" s="45">
        <f t="shared" si="0"/>
        <v>0.07204950718137088</v>
      </c>
      <c r="I39" s="45">
        <f t="shared" si="1"/>
        <v>0.07204950718137088</v>
      </c>
      <c r="J39" s="45">
        <f t="shared" si="2"/>
        <v>0.13754905916443533</v>
      </c>
      <c r="K39" s="46">
        <f t="shared" si="3"/>
        <v>0.0013099910396612887</v>
      </c>
      <c r="L39" s="47">
        <f t="shared" si="4"/>
        <v>0.16626429799443032</v>
      </c>
      <c r="M39" s="45">
        <f t="shared" si="5"/>
        <v>0.18686445036825625</v>
      </c>
      <c r="N39" s="45">
        <f t="shared" si="6"/>
        <v>1.2714156543220692</v>
      </c>
      <c r="O39" s="46">
        <f t="shared" si="7"/>
        <v>1.1857962710183552</v>
      </c>
      <c r="P39" s="49">
        <v>55</v>
      </c>
      <c r="Q39" s="48">
        <v>55</v>
      </c>
      <c r="R39" s="48">
        <v>105</v>
      </c>
      <c r="S39" s="48">
        <v>1</v>
      </c>
      <c r="T39" s="49">
        <v>5682</v>
      </c>
      <c r="U39" s="48">
        <v>6386</v>
      </c>
      <c r="V39" s="48">
        <v>43450</v>
      </c>
      <c r="W39" s="63">
        <v>40524</v>
      </c>
      <c r="X39" s="50">
        <v>1526728</v>
      </c>
      <c r="Y39" s="51">
        <v>68349009</v>
      </c>
      <c r="Z39" s="52">
        <f>'2_Emissions Factors'!$X39+'2_Emissions Factors'!$Y39</f>
        <v>69875737</v>
      </c>
      <c r="AA39" s="56">
        <f>X39/'2_Emissions Factors'!$Z39</f>
        <v>0.021849186363501253</v>
      </c>
      <c r="AB39" s="53">
        <f>Y39/'2_Emissions Factors'!$Z39</f>
        <v>0.9781508136364987</v>
      </c>
    </row>
    <row r="40" spans="2:28" ht="15">
      <c r="B40" s="44"/>
      <c r="C40" s="82"/>
      <c r="D40" s="40"/>
      <c r="E40" s="40"/>
      <c r="F40" s="40"/>
      <c r="G40" s="40"/>
      <c r="H40" s="45"/>
      <c r="I40" s="45"/>
      <c r="J40" s="45"/>
      <c r="K40" s="45"/>
      <c r="L40" s="45"/>
      <c r="M40" s="45"/>
      <c r="N40" s="45"/>
      <c r="O40" s="1"/>
      <c r="P40" s="48"/>
      <c r="Q40" s="48"/>
      <c r="R40" s="48"/>
      <c r="S40" s="48"/>
      <c r="T40" s="48"/>
      <c r="U40" s="48"/>
      <c r="V40" s="48"/>
      <c r="W40" s="48"/>
      <c r="X40" s="51"/>
      <c r="Y40" s="51"/>
      <c r="Z40" s="51"/>
      <c r="AA40" s="56"/>
      <c r="AB40" s="56"/>
    </row>
    <row r="41" spans="2:28" ht="15">
      <c r="B41" s="44"/>
      <c r="C41" s="82"/>
      <c r="D41" s="40"/>
      <c r="E41" s="40"/>
      <c r="F41" s="40"/>
      <c r="G41" s="40"/>
      <c r="H41" s="45"/>
      <c r="I41" s="45"/>
      <c r="J41" s="45"/>
      <c r="K41" s="45"/>
      <c r="L41" s="45"/>
      <c r="M41" s="45"/>
      <c r="N41" s="45"/>
      <c r="O41" s="1"/>
      <c r="P41" s="1"/>
      <c r="Q41" s="1"/>
      <c r="R41" s="1"/>
      <c r="S41" s="1"/>
      <c r="T41" s="1"/>
      <c r="U41" s="1"/>
      <c r="V41" s="1"/>
      <c r="W41" s="1"/>
      <c r="X41" s="51"/>
      <c r="Y41" s="51"/>
      <c r="Z41" s="51"/>
      <c r="AA41" s="56"/>
      <c r="AB41" s="56"/>
    </row>
    <row r="42" spans="2:28" ht="15">
      <c r="B42" s="44"/>
      <c r="C42" s="82"/>
      <c r="D42" s="40"/>
      <c r="E42" s="40"/>
      <c r="F42" s="40"/>
      <c r="G42" s="40"/>
      <c r="H42" s="45"/>
      <c r="I42" s="45"/>
      <c r="J42" s="45"/>
      <c r="K42" s="45"/>
      <c r="L42" s="45"/>
      <c r="M42" s="45"/>
      <c r="N42" s="45"/>
      <c r="O42" s="1"/>
      <c r="P42" s="1"/>
      <c r="Q42" s="1"/>
      <c r="R42" s="1"/>
      <c r="S42" s="87"/>
      <c r="T42" s="87"/>
      <c r="U42" s="87"/>
      <c r="V42" s="87"/>
      <c r="W42" s="87"/>
      <c r="X42" s="51"/>
      <c r="Y42" s="51"/>
      <c r="Z42" s="51"/>
      <c r="AA42" s="56"/>
      <c r="AB42" s="56"/>
    </row>
    <row r="43" spans="2:23" ht="15">
      <c r="B43" s="74" t="s">
        <v>18</v>
      </c>
      <c r="T43" s="43"/>
      <c r="W43" s="43"/>
    </row>
    <row r="44" spans="4:26" ht="28.5" customHeight="1">
      <c r="D44" s="166" t="s">
        <v>256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2:14" ht="60">
      <c r="B45" s="125" t="s">
        <v>9</v>
      </c>
      <c r="C45" s="127" t="s">
        <v>255</v>
      </c>
      <c r="D45" s="156" t="s">
        <v>8</v>
      </c>
      <c r="E45" s="157" t="s">
        <v>1</v>
      </c>
      <c r="F45" s="157" t="s">
        <v>3</v>
      </c>
      <c r="G45" s="157" t="s">
        <v>4</v>
      </c>
      <c r="H45" s="157" t="s">
        <v>2</v>
      </c>
      <c r="I45" s="157" t="s">
        <v>0</v>
      </c>
      <c r="J45" s="157" t="s">
        <v>5</v>
      </c>
      <c r="K45" s="157" t="s">
        <v>24</v>
      </c>
      <c r="L45" s="157" t="s">
        <v>25</v>
      </c>
      <c r="M45" s="157" t="s">
        <v>27</v>
      </c>
      <c r="N45" s="158" t="s">
        <v>26</v>
      </c>
    </row>
    <row r="46" spans="2:14" ht="15">
      <c r="B46" s="83" t="s">
        <v>8</v>
      </c>
      <c r="C46" s="94">
        <f>VLOOKUP($B46,'2_Emissions Factors'!$B$29:$Z$39,25,FALSE)</f>
        <v>72996496</v>
      </c>
      <c r="D46" s="90">
        <f aca="true" t="shared" si="8" ref="D46:D56">IF($B46=D$45,33%,IF($B46&lt;&gt;D$45,67%*VLOOKUP($B46,$B$46:$C$56,2,FALSE)/(SUM($C$46:$C$56)-SUMIF($B$46:$B$56,D$45,$C$46:$C$56))))</f>
        <v>0.33</v>
      </c>
      <c r="E46" s="33">
        <f aca="true" t="shared" si="9" ref="E46:N47">IF($B46=E$45,33%,IF($B46&lt;&gt;E$45,67%*VLOOKUP($B46,$B$46:$C$56,2,FALSE)/(SUM($C$46:$C$56)-SUMIF($B$46:$B$56,E$45,$C$46:$C$56))))</f>
        <v>0.0711362772534909</v>
      </c>
      <c r="F46" s="33">
        <f t="shared" si="9"/>
        <v>0.07706696731842881</v>
      </c>
      <c r="G46" s="33">
        <f t="shared" si="9"/>
        <v>0.07367389369448292</v>
      </c>
      <c r="H46" s="33">
        <f t="shared" si="9"/>
        <v>0.08075627644593665</v>
      </c>
      <c r="I46" s="33">
        <f t="shared" si="9"/>
        <v>0.08394349487501394</v>
      </c>
      <c r="J46" s="33">
        <f t="shared" si="9"/>
        <v>0.07552952062756713</v>
      </c>
      <c r="K46" s="33">
        <f t="shared" si="9"/>
        <v>0.07700204358370896</v>
      </c>
      <c r="L46" s="33">
        <f t="shared" si="9"/>
        <v>0.07030177533325659</v>
      </c>
      <c r="M46" s="33">
        <f t="shared" si="9"/>
        <v>0.07986191204421197</v>
      </c>
      <c r="N46" s="91">
        <f t="shared" si="9"/>
        <v>0.0772769640379529</v>
      </c>
    </row>
    <row r="47" spans="2:14" ht="15">
      <c r="B47" s="83" t="s">
        <v>1</v>
      </c>
      <c r="C47" s="94">
        <f>VLOOKUP($B47,'2_Emissions Factors'!$B$29:$Z$39,25,FALSE)</f>
        <v>15243048</v>
      </c>
      <c r="D47" s="90">
        <f t="shared" si="8"/>
        <v>0.016216855659814556</v>
      </c>
      <c r="E47" s="33">
        <f t="shared" si="9"/>
        <v>0.33</v>
      </c>
      <c r="F47" s="33">
        <f t="shared" si="9"/>
        <v>0.01609303934327535</v>
      </c>
      <c r="G47" s="33">
        <f t="shared" si="9"/>
        <v>0.015384501441437687</v>
      </c>
      <c r="H47" s="33">
        <f t="shared" si="9"/>
        <v>0.016863436817113546</v>
      </c>
      <c r="I47" s="33">
        <f t="shared" si="9"/>
        <v>0.01752898826359544</v>
      </c>
      <c r="J47" s="33">
        <f t="shared" si="9"/>
        <v>0.015771991416450946</v>
      </c>
      <c r="K47" s="33">
        <f t="shared" si="9"/>
        <v>0.01607948204040599</v>
      </c>
      <c r="L47" s="33">
        <f t="shared" si="9"/>
        <v>0.014680339394510746</v>
      </c>
      <c r="M47" s="33">
        <f t="shared" si="9"/>
        <v>0.016676676626528778</v>
      </c>
      <c r="N47" s="91">
        <f t="shared" si="9"/>
        <v>0.016136890627254076</v>
      </c>
    </row>
    <row r="48" spans="2:14" ht="15">
      <c r="B48" s="83" t="s">
        <v>3</v>
      </c>
      <c r="C48" s="94">
        <f>VLOOKUP($B48,'2_Emissions Factors'!$B$29:$Z$39,25,FALSE)</f>
        <v>68151206</v>
      </c>
      <c r="D48" s="90">
        <f t="shared" si="8"/>
        <v>0.07250507055703609</v>
      </c>
      <c r="E48" s="33">
        <f aca="true" t="shared" si="10" ref="E48:N56">IF($B48=E$45,33%,IF($B48&lt;&gt;E$45,67%*VLOOKUP($B48,$B$46:$C$56,2,FALSE)/(SUM($C$46:$C$56)-SUMIF($B$46:$B$56,E$45,$C$46:$C$56))))</f>
        <v>0.06641446303361977</v>
      </c>
      <c r="F48" s="33">
        <f t="shared" si="10"/>
        <v>0.33</v>
      </c>
      <c r="G48" s="33">
        <f t="shared" si="10"/>
        <v>0.06878364005300756</v>
      </c>
      <c r="H48" s="33">
        <f t="shared" si="10"/>
        <v>0.07539591533078488</v>
      </c>
      <c r="I48" s="33">
        <f t="shared" si="10"/>
        <v>0.07837157569298969</v>
      </c>
      <c r="J48" s="33">
        <f t="shared" si="10"/>
        <v>0.07051609599686233</v>
      </c>
      <c r="K48" s="33">
        <f t="shared" si="10"/>
        <v>0.07189087726477074</v>
      </c>
      <c r="L48" s="33">
        <f t="shared" si="10"/>
        <v>0.06563535286546478</v>
      </c>
      <c r="M48" s="33">
        <f t="shared" si="10"/>
        <v>0.07456091617437324</v>
      </c>
      <c r="N48" s="91">
        <f t="shared" si="10"/>
        <v>0.07214754931805384</v>
      </c>
    </row>
    <row r="49" spans="2:14" ht="15">
      <c r="B49" s="83" t="s">
        <v>4</v>
      </c>
      <c r="C49" s="94">
        <f>VLOOKUP($B49,'2_Emissions Factors'!$B$29:$Z$39,25,FALSE)</f>
        <v>38923939</v>
      </c>
      <c r="D49" s="90">
        <f t="shared" si="8"/>
        <v>0.04141060898544875</v>
      </c>
      <c r="E49" s="33">
        <f t="shared" si="10"/>
        <v>0.03793201411341673</v>
      </c>
      <c r="F49" s="33">
        <f t="shared" si="10"/>
        <v>0.04109443739350882</v>
      </c>
      <c r="G49" s="33">
        <f t="shared" si="10"/>
        <v>0.33</v>
      </c>
      <c r="H49" s="33">
        <f t="shared" si="10"/>
        <v>0.043061688580898115</v>
      </c>
      <c r="I49" s="33">
        <f t="shared" si="10"/>
        <v>0.04476120982522031</v>
      </c>
      <c r="J49" s="33">
        <f t="shared" si="10"/>
        <v>0.04027462432726449</v>
      </c>
      <c r="K49" s="33">
        <f t="shared" si="10"/>
        <v>0.04105981809493471</v>
      </c>
      <c r="L49" s="33">
        <f t="shared" si="10"/>
        <v>0.03748703245513845</v>
      </c>
      <c r="M49" s="33">
        <f t="shared" si="10"/>
        <v>0.04258478643731437</v>
      </c>
      <c r="N49" s="91">
        <f t="shared" si="10"/>
        <v>0.04120641399442615</v>
      </c>
    </row>
    <row r="50" spans="2:14" ht="15">
      <c r="B50" s="83" t="s">
        <v>2</v>
      </c>
      <c r="C50" s="94">
        <f>VLOOKUP($B50,'2_Emissions Factors'!$B$29:$Z$39,25,FALSE)</f>
        <v>97143148</v>
      </c>
      <c r="D50" s="90">
        <f t="shared" si="8"/>
        <v>0.10334917330549659</v>
      </c>
      <c r="E50" s="33">
        <f t="shared" si="10"/>
        <v>0.0946675838988888</v>
      </c>
      <c r="F50" s="33">
        <f t="shared" si="10"/>
        <v>0.10256009839328854</v>
      </c>
      <c r="G50" s="33">
        <f t="shared" si="10"/>
        <v>0.09804462338712013</v>
      </c>
      <c r="H50" s="33">
        <f t="shared" si="10"/>
        <v>0.33</v>
      </c>
      <c r="I50" s="33">
        <f t="shared" si="10"/>
        <v>0.1117113257913191</v>
      </c>
      <c r="J50" s="33">
        <f t="shared" si="10"/>
        <v>0.10051407673996854</v>
      </c>
      <c r="K50" s="33">
        <f t="shared" si="10"/>
        <v>0.10247369841087564</v>
      </c>
      <c r="L50" s="33">
        <f t="shared" si="10"/>
        <v>0.09355703547552877</v>
      </c>
      <c r="M50" s="33">
        <f t="shared" si="10"/>
        <v>0.10627958828700308</v>
      </c>
      <c r="N50" s="91">
        <f t="shared" si="10"/>
        <v>0.10283956033354719</v>
      </c>
    </row>
    <row r="51" spans="2:14" ht="15">
      <c r="B51" s="83" t="s">
        <v>0</v>
      </c>
      <c r="C51" s="94">
        <f>VLOOKUP($B51,'2_Emissions Factors'!$B$29:$Z$39,25,FALSE)</f>
        <v>120137719</v>
      </c>
      <c r="D51" s="90">
        <f t="shared" si="8"/>
        <v>0.12781276082856663</v>
      </c>
      <c r="E51" s="33">
        <f t="shared" si="10"/>
        <v>0.11707616879837605</v>
      </c>
      <c r="F51" s="33">
        <f t="shared" si="10"/>
        <v>0.12683690548493703</v>
      </c>
      <c r="G51" s="33">
        <f t="shared" si="10"/>
        <v>0.12125258092256457</v>
      </c>
      <c r="H51" s="33">
        <f t="shared" si="10"/>
        <v>0.13290877478760427</v>
      </c>
      <c r="I51" s="33">
        <f t="shared" si="10"/>
        <v>0.33</v>
      </c>
      <c r="J51" s="33">
        <f t="shared" si="10"/>
        <v>0.12430657391225139</v>
      </c>
      <c r="K51" s="33">
        <f t="shared" si="10"/>
        <v>0.12673005392594983</v>
      </c>
      <c r="L51" s="33">
        <f t="shared" si="10"/>
        <v>0.11570274455623063</v>
      </c>
      <c r="M51" s="33">
        <f t="shared" si="10"/>
        <v>0.1314368288029915</v>
      </c>
      <c r="N51" s="91">
        <f t="shared" si="10"/>
        <v>0.12718251833299904</v>
      </c>
    </row>
    <row r="52" spans="2:14" ht="15">
      <c r="B52" s="83" t="s">
        <v>5</v>
      </c>
      <c r="C52" s="94">
        <f>VLOOKUP($B52,'2_Emissions Factors'!$B$29:$Z$39,25,FALSE)</f>
        <v>55233307</v>
      </c>
      <c r="D52" s="90">
        <f t="shared" si="8"/>
        <v>0.05876190688589481</v>
      </c>
      <c r="E52" s="33">
        <f t="shared" si="10"/>
        <v>0.05382575953206275</v>
      </c>
      <c r="F52" s="33">
        <f t="shared" si="10"/>
        <v>0.05831325746728646</v>
      </c>
      <c r="G52" s="33">
        <f t="shared" si="10"/>
        <v>0.055745864682501194</v>
      </c>
      <c r="H52" s="33">
        <f t="shared" si="10"/>
        <v>0.061104798908639235</v>
      </c>
      <c r="I52" s="33">
        <f t="shared" si="10"/>
        <v>0.0635164299267813</v>
      </c>
      <c r="J52" s="33">
        <f t="shared" si="10"/>
        <v>0.33</v>
      </c>
      <c r="K52" s="33">
        <f t="shared" si="10"/>
        <v>0.058264132471322706</v>
      </c>
      <c r="L52" s="33">
        <f t="shared" si="10"/>
        <v>0.053194327843171935</v>
      </c>
      <c r="M52" s="33">
        <f t="shared" si="10"/>
        <v>0.06042807185628415</v>
      </c>
      <c r="N52" s="91">
        <f t="shared" si="10"/>
        <v>0.05847215294739918</v>
      </c>
    </row>
    <row r="53" spans="2:14" ht="15">
      <c r="B53" s="83" t="s">
        <v>24</v>
      </c>
      <c r="C53" s="94">
        <f>VLOOKUP($B53,'2_Emissions Factors'!$B$29:$Z$39,25,FALSE)</f>
        <v>67616137</v>
      </c>
      <c r="D53" s="90">
        <f t="shared" si="8"/>
        <v>0.07193581847956172</v>
      </c>
      <c r="E53" s="33">
        <f t="shared" si="10"/>
        <v>0.06589302955640534</v>
      </c>
      <c r="F53" s="33">
        <f t="shared" si="10"/>
        <v>0.07138658573936761</v>
      </c>
      <c r="G53" s="33">
        <f t="shared" si="10"/>
        <v>0.06824360568443713</v>
      </c>
      <c r="H53" s="33">
        <f t="shared" si="10"/>
        <v>0.0748039666421567</v>
      </c>
      <c r="I53" s="33">
        <f t="shared" si="10"/>
        <v>0.07775626448874669</v>
      </c>
      <c r="J53" s="33">
        <f t="shared" si="10"/>
        <v>0.06996245976379338</v>
      </c>
      <c r="K53" s="33">
        <f t="shared" si="10"/>
        <v>0.33</v>
      </c>
      <c r="L53" s="33">
        <f t="shared" si="10"/>
        <v>0.06512003634087721</v>
      </c>
      <c r="M53" s="33">
        <f t="shared" si="10"/>
        <v>0.07397552323420274</v>
      </c>
      <c r="N53" s="91">
        <f t="shared" si="10"/>
        <v>0.0715811042126501</v>
      </c>
    </row>
    <row r="54" spans="2:14" ht="15">
      <c r="B54" s="83" t="s">
        <v>25</v>
      </c>
      <c r="C54" s="94">
        <f>VLOOKUP($B54,'2_Emissions Factors'!$B$29:$Z$39,25,FALSE)</f>
        <v>7081985</v>
      </c>
      <c r="D54" s="90">
        <f t="shared" si="8"/>
        <v>0.007534420184858816</v>
      </c>
      <c r="E54" s="33">
        <f t="shared" si="10"/>
        <v>0.006901510018577656</v>
      </c>
      <c r="F54" s="33">
        <f t="shared" si="10"/>
        <v>0.007476894597031111</v>
      </c>
      <c r="G54" s="33">
        <f t="shared" si="10"/>
        <v>0.0071477048711478235</v>
      </c>
      <c r="H54" s="33">
        <f t="shared" si="10"/>
        <v>0.00783482454344078</v>
      </c>
      <c r="I54" s="33">
        <f t="shared" si="10"/>
        <v>0.008144042579145519</v>
      </c>
      <c r="J54" s="33">
        <f t="shared" si="10"/>
        <v>0.007327734363326439</v>
      </c>
      <c r="K54" s="33">
        <f t="shared" si="10"/>
        <v>0.007470595816396079</v>
      </c>
      <c r="L54" s="33">
        <f t="shared" si="10"/>
        <v>0.33</v>
      </c>
      <c r="M54" s="33">
        <f t="shared" si="10"/>
        <v>0.007748054963740021</v>
      </c>
      <c r="N54" s="91">
        <f t="shared" si="10"/>
        <v>0.007497268090270002</v>
      </c>
    </row>
    <row r="55" spans="2:14" ht="15">
      <c r="B55" s="83" t="s">
        <v>27</v>
      </c>
      <c r="C55" s="94">
        <f>VLOOKUP($B55,'2_Emissions Factors'!$B$29:$Z$39,25,FALSE)</f>
        <v>90360874</v>
      </c>
      <c r="D55" s="90">
        <f t="shared" si="8"/>
        <v>0.09613361126676831</v>
      </c>
      <c r="E55" s="33">
        <f t="shared" si="10"/>
        <v>0.08805814714355273</v>
      </c>
      <c r="F55" s="33">
        <f t="shared" si="10"/>
        <v>0.09539962744818141</v>
      </c>
      <c r="G55" s="33">
        <f t="shared" si="10"/>
        <v>0.09119941079386285</v>
      </c>
      <c r="H55" s="33">
        <f t="shared" si="10"/>
        <v>0.099966547992118</v>
      </c>
      <c r="I55" s="33">
        <f t="shared" si="10"/>
        <v>0.10391194069809571</v>
      </c>
      <c r="J55" s="33">
        <f t="shared" si="10"/>
        <v>0.09349645353809852</v>
      </c>
      <c r="K55" s="33">
        <f t="shared" si="10"/>
        <v>0.09531925968076652</v>
      </c>
      <c r="L55" s="33">
        <f t="shared" si="10"/>
        <v>0.08702513423198706</v>
      </c>
      <c r="M55" s="33">
        <f t="shared" si="10"/>
        <v>0.33</v>
      </c>
      <c r="N55" s="91">
        <f t="shared" si="10"/>
        <v>0.09565957810544759</v>
      </c>
    </row>
    <row r="56" spans="2:14" ht="15">
      <c r="B56" s="86" t="s">
        <v>26</v>
      </c>
      <c r="C56" s="95">
        <f>VLOOKUP($B56,'2_Emissions Factors'!$B$29:$Z$39,25,FALSE)</f>
        <v>69875737</v>
      </c>
      <c r="D56" s="126">
        <f t="shared" si="8"/>
        <v>0.07433977384655374</v>
      </c>
      <c r="E56" s="92">
        <f t="shared" si="10"/>
        <v>0.06809504665160931</v>
      </c>
      <c r="F56" s="92">
        <f t="shared" si="10"/>
        <v>0.07377218681469487</v>
      </c>
      <c r="G56" s="92">
        <f t="shared" si="10"/>
        <v>0.07052417446943818</v>
      </c>
      <c r="H56" s="92">
        <f t="shared" si="10"/>
        <v>0.07730376995130785</v>
      </c>
      <c r="I56" s="92">
        <f t="shared" si="10"/>
        <v>0.08035472785909233</v>
      </c>
      <c r="J56" s="92">
        <f t="shared" si="10"/>
        <v>0.07230046931441689</v>
      </c>
      <c r="K56" s="92">
        <f t="shared" si="10"/>
        <v>0.07371003871086887</v>
      </c>
      <c r="L56" s="92">
        <f t="shared" si="10"/>
        <v>0.06729622150383388</v>
      </c>
      <c r="M56" s="92">
        <f t="shared" si="10"/>
        <v>0.07644764157335016</v>
      </c>
      <c r="N56" s="93">
        <f t="shared" si="10"/>
        <v>0.33</v>
      </c>
    </row>
  </sheetData>
  <sheetProtection/>
  <mergeCells count="10">
    <mergeCell ref="D44:N44"/>
    <mergeCell ref="G5:Q5"/>
    <mergeCell ref="B21:G21"/>
    <mergeCell ref="D27:G27"/>
    <mergeCell ref="P27:S27"/>
    <mergeCell ref="AA27:AB27"/>
    <mergeCell ref="T27:W27"/>
    <mergeCell ref="X27:Z27"/>
    <mergeCell ref="H27:K27"/>
    <mergeCell ref="L27:O27"/>
  </mergeCells>
  <printOptions/>
  <pageMargins left="0.25" right="0.25" top="0.75" bottom="0.75" header="0.3" footer="0.3"/>
  <pageSetup fitToHeight="1" fitToWidth="1" horizontalDpi="600" verticalDpi="600" orientation="landscape" scale="33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9"/>
  <sheetViews>
    <sheetView showGridLines="0" zoomScale="110" zoomScaleNormal="110" zoomScalePageLayoutView="0" workbookViewId="0" topLeftCell="A3">
      <selection activeCell="A3" sqref="A3"/>
    </sheetView>
  </sheetViews>
  <sheetFormatPr defaultColWidth="8.7109375" defaultRowHeight="15"/>
  <cols>
    <col min="1" max="1" width="4.00390625" style="0" customWidth="1"/>
    <col min="2" max="2" width="16.140625" style="0" customWidth="1"/>
    <col min="3" max="3" width="9.7109375" style="1" customWidth="1"/>
    <col min="4" max="5" width="11.421875" style="1" customWidth="1"/>
    <col min="6" max="6" width="11.421875" style="87" customWidth="1"/>
    <col min="7" max="7" width="10.7109375" style="1" customWidth="1"/>
    <col min="8" max="8" width="10.7109375" style="87" customWidth="1"/>
    <col min="9" max="9" width="11.00390625" style="1" customWidth="1"/>
    <col min="10" max="10" width="9.7109375" style="0" customWidth="1"/>
    <col min="11" max="11" width="8.28125" style="1" customWidth="1"/>
    <col min="12" max="12" width="9.7109375" style="1" customWidth="1"/>
    <col min="13" max="13" width="9.00390625" style="1" customWidth="1"/>
    <col min="14" max="14" width="8.00390625" style="1" customWidth="1"/>
    <col min="15" max="15" width="7.7109375" style="1" customWidth="1"/>
    <col min="16" max="16" width="8.7109375" style="0" customWidth="1"/>
    <col min="17" max="20" width="9.7109375" style="0" customWidth="1"/>
    <col min="21" max="21" width="8.7109375" style="0" hidden="1" customWidth="1"/>
    <col min="22" max="24" width="8.7109375" style="0" customWidth="1"/>
    <col min="25" max="25" width="9.7109375" style="0" customWidth="1"/>
  </cols>
  <sheetData>
    <row r="1" s="87" customFormat="1" ht="15"/>
    <row r="2" s="87" customFormat="1" ht="18.75">
      <c r="B2" s="30" t="s">
        <v>34</v>
      </c>
    </row>
    <row r="3" ht="15.75" thickBot="1">
      <c r="I3"/>
    </row>
    <row r="4" spans="2:20" ht="85.5" customHeight="1" thickBot="1">
      <c r="B4" s="57" t="s">
        <v>275</v>
      </c>
      <c r="C4" s="57" t="s">
        <v>32</v>
      </c>
      <c r="D4" s="58" t="s">
        <v>74</v>
      </c>
      <c r="E4" s="58" t="s">
        <v>75</v>
      </c>
      <c r="F4" s="97" t="s">
        <v>29</v>
      </c>
      <c r="G4" s="57" t="s">
        <v>258</v>
      </c>
      <c r="H4" s="57" t="s">
        <v>259</v>
      </c>
      <c r="I4" s="58" t="s">
        <v>87</v>
      </c>
      <c r="J4" s="58" t="s">
        <v>76</v>
      </c>
      <c r="K4" s="57" t="s">
        <v>271</v>
      </c>
      <c r="L4" s="57" t="s">
        <v>77</v>
      </c>
      <c r="M4" s="57" t="s">
        <v>78</v>
      </c>
      <c r="N4" s="57" t="s">
        <v>79</v>
      </c>
      <c r="O4" s="57" t="s">
        <v>80</v>
      </c>
      <c r="P4" s="57" t="s">
        <v>81</v>
      </c>
      <c r="Q4" s="57" t="s">
        <v>82</v>
      </c>
      <c r="R4" s="57" t="s">
        <v>83</v>
      </c>
      <c r="S4" s="57" t="s">
        <v>84</v>
      </c>
      <c r="T4" s="57" t="s">
        <v>85</v>
      </c>
    </row>
    <row r="5" spans="2:21" ht="15.75" thickTop="1">
      <c r="B5" s="114" t="s">
        <v>21</v>
      </c>
      <c r="C5" s="161" t="str">
        <f>VLOOKUP('3_Bid Evaluation'!$B5,'1_Carbon-free Resource Details'!$B$6:$F$8,2,0)</f>
        <v>PA</v>
      </c>
      <c r="D5" s="4">
        <f>SUM(K16:O16)*'3_Bid Evaluation'!$E5</f>
        <v>21.783032549099673</v>
      </c>
      <c r="E5" s="5">
        <f>IF(VLOOKUP(B5,'1_Carbon-free Resource Details'!$B$6:$F$8,3,0)="N",1,IF((VLOOKUP('3_Bid Evaluation'!$B5,'1_Carbon-free Resource Details'!$B$7:$F$29,4,0)/OppRev)&gt;1.16,1.16,VLOOKUP('3_Bid Evaluation'!$B5,'1_Carbon-free Resource Details'!$B$7:$F$29,4,0)/OppRev))</f>
        <v>1.16</v>
      </c>
      <c r="F5" s="88">
        <f>INDEX('2_Emissions Factors'!$C$7:$C$17,MATCH('3_Bid Evaluation'!$C5,'2_Emissions Factors'!$B$7:$B$17,0))</f>
        <v>0.222</v>
      </c>
      <c r="G5" s="88">
        <f>INDEX('2_Emissions Factors'!$B$45:$N$56,MATCH($C5,'2_Emissions Factors'!$B$45:$B$56,0),MATCH($C$5,'2_Emissions Factors'!$B$45:$N$45,0))</f>
        <v>0.33</v>
      </c>
      <c r="H5" s="88">
        <f>'3_Bid Evaluation'!$F5*'3_Bid Evaluation'!$G5</f>
        <v>0.07326</v>
      </c>
      <c r="I5" s="88">
        <f>INDEX('2_Emissions Factors'!$B$5:$R$17,MATCH('3_Bid Evaluation'!$C5,'2_Emissions Factors'!$B$5:$B$17,0),MATCH($C$5,'2_Emissions Factors'!$B$6:$Q$6,0))</f>
        <v>0.015821145993290826</v>
      </c>
      <c r="J5" s="16">
        <f>'2_Emissions Factors'!$D$4</f>
        <v>25</v>
      </c>
      <c r="K5" s="5">
        <f>P5*'3_Bid Evaluation'!$H5*$J5</f>
        <v>1.2487310292442082</v>
      </c>
      <c r="L5" s="5">
        <f>Q5*$I5*($J5/2)</f>
        <v>0.18913139030051826</v>
      </c>
      <c r="M5" s="5">
        <f>R5*$I5*($J5/2)</f>
        <v>0.19834915136227255</v>
      </c>
      <c r="N5" s="5">
        <f>S5*$I5*$J5</f>
        <v>0.28121060358649924</v>
      </c>
      <c r="O5" s="5">
        <f>T5*$I5*$J5</f>
        <v>0.35803280600058446</v>
      </c>
      <c r="P5" s="15">
        <f>INDEX('2_Emissions Factors'!$R$7:$R$17,MATCH('3_Bid Evaluation'!$C5,'2_Emissions Factors'!$B$7:$B$17,0))</f>
        <v>0.6818078237751615</v>
      </c>
      <c r="Q5" s="15">
        <f>INDEX('2_Emissions Factors'!$S$7:$S$17,MATCH('3_Bid Evaluation'!$C5,'2_Emissions Factors'!$B$7:$B$17,0))</f>
        <v>0.956347361338917</v>
      </c>
      <c r="R5" s="15">
        <f>INDEX('2_Emissions Factors'!$T$7:$T$17,MATCH('3_Bid Evaluation'!$C5,'2_Emissions Factors'!$B$7:$B$17,0))</f>
        <v>1.0029571887972475</v>
      </c>
      <c r="S5" s="15">
        <f>INDEX('2_Emissions Factors'!$U$7:$U$17,MATCH('3_Bid Evaluation'!$C5,'2_Emissions Factors'!$B$7:$B$17,0))</f>
        <v>0.7109740437405747</v>
      </c>
      <c r="T5" s="15">
        <f>INDEX('2_Emissions Factors'!$V$7:$V$17,MATCH('3_Bid Evaluation'!$C5,'2_Emissions Factors'!$B$7:$B$17,0))</f>
        <v>0.9052006881231314</v>
      </c>
      <c r="U5" s="100" t="s">
        <v>8</v>
      </c>
    </row>
    <row r="6" spans="2:21" s="87" customFormat="1" ht="15">
      <c r="B6" s="14"/>
      <c r="C6" s="9" t="str">
        <f aca="true" t="shared" si="0" ref="C6:C15">IF($C$5=U6,"IL",U6)</f>
        <v>MD</v>
      </c>
      <c r="D6" s="4"/>
      <c r="E6" s="5"/>
      <c r="F6" s="88">
        <f>INDEX('2_Emissions Factors'!$C$7:$C$17,MATCH('3_Bid Evaluation'!$C6,'2_Emissions Factors'!$B$7:$B$17,0))</f>
        <v>0.222</v>
      </c>
      <c r="G6" s="88">
        <f>INDEX('2_Emissions Factors'!$B$45:$N$56,MATCH($C6,'2_Emissions Factors'!$B$45:$B$56,0),MATCH($C$5,'2_Emissions Factors'!$B$45:$N$45,0))</f>
        <v>0.01752898826359544</v>
      </c>
      <c r="H6" s="88">
        <f>'3_Bid Evaluation'!$F6*'3_Bid Evaluation'!$G6</f>
        <v>0.0038914353945181876</v>
      </c>
      <c r="I6" s="88">
        <f>INDEX('2_Emissions Factors'!$B$5:$R$17,MATCH('3_Bid Evaluation'!$C6,'2_Emissions Factors'!$B$5:$B$17,0),MATCH($C$5,'2_Emissions Factors'!$B$6:$Q$6,0))</f>
        <v>0.0009157545004204792</v>
      </c>
      <c r="J6" s="16">
        <f>'2_Emissions Factors'!$D$4</f>
        <v>25</v>
      </c>
      <c r="K6" s="5">
        <f>P6*'3_Bid Evaluation'!$H6*$J6</f>
        <v>0.07015077136376976</v>
      </c>
      <c r="L6" s="5">
        <f aca="true" t="shared" si="1" ref="L6:L15">Q6*$I6*($J6/2)</f>
        <v>0.00927479092196446</v>
      </c>
      <c r="M6" s="5">
        <f aca="true" t="shared" si="2" ref="M6:M15">R6*$I6*($J6/2)</f>
        <v>0.009447816224081236</v>
      </c>
      <c r="N6" s="5">
        <f aca="true" t="shared" si="3" ref="N6:N15">S6*$I6*$J6</f>
        <v>0.017528216713825935</v>
      </c>
      <c r="O6" s="5">
        <f aca="true" t="shared" si="4" ref="O6:O15">T6*$I6*$J6</f>
        <v>0.021902368978087013</v>
      </c>
      <c r="P6" s="15">
        <f>INDEX('2_Emissions Factors'!$R$7:$R$17,MATCH('3_Bid Evaluation'!$C6,'2_Emissions Factors'!$B$7:$B$17,0))</f>
        <v>0.7210786175465249</v>
      </c>
      <c r="Q6" s="15">
        <f>INDEX('2_Emissions Factors'!$S$7:$S$17,MATCH('3_Bid Evaluation'!$C6,'2_Emissions Factors'!$B$7:$B$17,0))</f>
        <v>0.8102425632813889</v>
      </c>
      <c r="R6" s="15">
        <f>INDEX('2_Emissions Factors'!$T$7:$T$17,MATCH('3_Bid Evaluation'!$C6,'2_Emissions Factors'!$B$7:$B$17,0))</f>
        <v>0.8253579945055722</v>
      </c>
      <c r="S6" s="15">
        <f>INDEX('2_Emissions Factors'!$U$7:$U$17,MATCH('3_Bid Evaluation'!$C6,'2_Emissions Factors'!$B$7:$B$17,0))</f>
        <v>0.7656295090344695</v>
      </c>
      <c r="T6" s="15">
        <f>INDEX('2_Emissions Factors'!$V$7:$V$17,MATCH('3_Bid Evaluation'!$C6,'2_Emissions Factors'!$B$7:$B$17,0))</f>
        <v>0.9566917320321239</v>
      </c>
      <c r="U6" s="101" t="s">
        <v>1</v>
      </c>
    </row>
    <row r="7" spans="2:21" s="87" customFormat="1" ht="15">
      <c r="B7" s="14"/>
      <c r="C7" s="9" t="str">
        <f t="shared" si="0"/>
        <v>MI</v>
      </c>
      <c r="D7" s="4"/>
      <c r="E7" s="5"/>
      <c r="F7" s="88">
        <f>INDEX('2_Emissions Factors'!$C$7:$C$17,MATCH('3_Bid Evaluation'!$C7,'2_Emissions Factors'!$B$7:$B$17,0))</f>
        <v>0.222</v>
      </c>
      <c r="G7" s="88">
        <f>INDEX('2_Emissions Factors'!$B$45:$N$56,MATCH($C7,'2_Emissions Factors'!$B$45:$B$56,0),MATCH($C$5,'2_Emissions Factors'!$B$45:$N$45,0))</f>
        <v>0.07837157569298969</v>
      </c>
      <c r="H7" s="88">
        <f>'3_Bid Evaluation'!$F7*'3_Bid Evaluation'!$G7</f>
        <v>0.017398489803843713</v>
      </c>
      <c r="I7" s="88">
        <f>INDEX('2_Emissions Factors'!$B$5:$R$17,MATCH('3_Bid Evaluation'!$C7,'2_Emissions Factors'!$B$5:$B$17,0),MATCH($C$5,'2_Emissions Factors'!$B$6:$Q$6,0))</f>
        <v>0.0061430889979388345</v>
      </c>
      <c r="J7" s="16">
        <f>'2_Emissions Factors'!$D$4</f>
        <v>25</v>
      </c>
      <c r="K7" s="5">
        <f>P7*'3_Bid Evaluation'!$H7*$J7</f>
        <v>0.41576641794828956</v>
      </c>
      <c r="L7" s="5">
        <f t="shared" si="1"/>
        <v>0.03470968135706702</v>
      </c>
      <c r="M7" s="5">
        <f t="shared" si="2"/>
        <v>0.05018467324859055</v>
      </c>
      <c r="N7" s="5">
        <f t="shared" si="3"/>
        <v>0.20486068008383923</v>
      </c>
      <c r="O7" s="5">
        <f t="shared" si="4"/>
        <v>0.26751687733693363</v>
      </c>
      <c r="P7" s="15">
        <f>INDEX('2_Emissions Factors'!$R$7:$R$17,MATCH('3_Bid Evaluation'!$C7,'2_Emissions Factors'!$B$7:$B$17,0))</f>
        <v>0.9558678313710597</v>
      </c>
      <c r="Q7" s="15">
        <f>INDEX('2_Emissions Factors'!$S$7:$S$17,MATCH('3_Bid Evaluation'!$C7,'2_Emissions Factors'!$B$7:$B$17,0))</f>
        <v>0.4520159987096136</v>
      </c>
      <c r="R7" s="15">
        <f>INDEX('2_Emissions Factors'!$T$7:$T$17,MATCH('3_Bid Evaluation'!$C7,'2_Emissions Factors'!$B$7:$B$17,0))</f>
        <v>0.6535431704203382</v>
      </c>
      <c r="S7" s="15">
        <f>INDEX('2_Emissions Factors'!$U$7:$U$17,MATCH('3_Bid Evaluation'!$C7,'2_Emissions Factors'!$B$7:$B$17,0))</f>
        <v>1.3339261739660635</v>
      </c>
      <c r="T7" s="15">
        <f>INDEX('2_Emissions Factors'!$V$7:$V$17,MATCH('3_Bid Evaluation'!$C7,'2_Emissions Factors'!$B$7:$B$17,0))</f>
        <v>1.7419046178669557</v>
      </c>
      <c r="U7" s="101" t="s">
        <v>3</v>
      </c>
    </row>
    <row r="8" spans="2:21" s="87" customFormat="1" ht="15">
      <c r="B8" s="14"/>
      <c r="C8" s="9" t="str">
        <f t="shared" si="0"/>
        <v>NJ</v>
      </c>
      <c r="D8" s="4"/>
      <c r="E8" s="5"/>
      <c r="F8" s="88">
        <f>INDEX('2_Emissions Factors'!$C$7:$C$17,MATCH('3_Bid Evaluation'!$C8,'2_Emissions Factors'!$B$7:$B$17,0))</f>
        <v>0.222</v>
      </c>
      <c r="G8" s="88">
        <f>INDEX('2_Emissions Factors'!$B$45:$N$56,MATCH($C8,'2_Emissions Factors'!$B$45:$B$56,0),MATCH($C$5,'2_Emissions Factors'!$B$45:$N$45,0))</f>
        <v>0.04476120982522031</v>
      </c>
      <c r="H8" s="88">
        <f>'3_Bid Evaluation'!$F8*'3_Bid Evaluation'!$G8</f>
        <v>0.00993698858119891</v>
      </c>
      <c r="I8" s="88">
        <f>INDEX('2_Emissions Factors'!$B$5:$R$17,MATCH('3_Bid Evaluation'!$C8,'2_Emissions Factors'!$B$5:$B$17,0),MATCH($C$5,'2_Emissions Factors'!$B$6:$Q$6,0))</f>
        <v>0.0012486352317201174</v>
      </c>
      <c r="J8" s="16">
        <f>'2_Emissions Factors'!$D$4</f>
        <v>25</v>
      </c>
      <c r="K8" s="5">
        <f>P8*'3_Bid Evaluation'!$H8*$J8</f>
        <v>0.10938990278239666</v>
      </c>
      <c r="L8" s="5">
        <f t="shared" si="1"/>
        <v>0.0051611214887727535</v>
      </c>
      <c r="M8" s="5">
        <f t="shared" si="2"/>
        <v>0.0047948921951696975</v>
      </c>
      <c r="N8" s="5">
        <f t="shared" si="3"/>
        <v>0.006011466899786486</v>
      </c>
      <c r="O8" s="5">
        <f t="shared" si="4"/>
        <v>0.0018572004922358227</v>
      </c>
      <c r="P8" s="15">
        <f>INDEX('2_Emissions Factors'!$R$7:$R$17,MATCH('3_Bid Evaluation'!$C8,'2_Emissions Factors'!$B$7:$B$17,0))</f>
        <v>0.44033421952145846</v>
      </c>
      <c r="Q8" s="15">
        <f>INDEX('2_Emissions Factors'!$S$7:$S$17,MATCH('3_Bid Evaluation'!$C8,'2_Emissions Factors'!$B$7:$B$17,0))</f>
        <v>0.3306728086897118</v>
      </c>
      <c r="R8" s="15">
        <f>INDEX('2_Emissions Factors'!$T$7:$T$17,MATCH('3_Bid Evaluation'!$C8,'2_Emissions Factors'!$B$7:$B$17,0))</f>
        <v>0.30720851524038856</v>
      </c>
      <c r="S8" s="15">
        <f>INDEX('2_Emissions Factors'!$U$7:$U$17,MATCH('3_Bid Evaluation'!$C8,'2_Emissions Factors'!$B$7:$B$17,0))</f>
        <v>0.19257719939569864</v>
      </c>
      <c r="T8" s="15">
        <f>INDEX('2_Emissions Factors'!$V$7:$V$17,MATCH('3_Bid Evaluation'!$C8,'2_Emissions Factors'!$B$7:$B$17,0))</f>
        <v>0.059495373670574614</v>
      </c>
      <c r="U8" s="101" t="s">
        <v>4</v>
      </c>
    </row>
    <row r="9" spans="2:21" s="87" customFormat="1" ht="15">
      <c r="B9" s="14"/>
      <c r="C9" s="9" t="str">
        <f t="shared" si="0"/>
        <v>OH</v>
      </c>
      <c r="D9" s="4"/>
      <c r="E9" s="5"/>
      <c r="F9" s="88">
        <f>INDEX('2_Emissions Factors'!$C$7:$C$17,MATCH('3_Bid Evaluation'!$C9,'2_Emissions Factors'!$B$7:$B$17,0))</f>
        <v>0.222</v>
      </c>
      <c r="G9" s="88">
        <f>INDEX('2_Emissions Factors'!$B$45:$N$56,MATCH($C9,'2_Emissions Factors'!$B$45:$B$56,0),MATCH($C$5,'2_Emissions Factors'!$B$45:$N$45,0))</f>
        <v>0.1117113257913191</v>
      </c>
      <c r="H9" s="88">
        <f>'3_Bid Evaluation'!$F9*'3_Bid Evaluation'!$G9</f>
        <v>0.02479991432567284</v>
      </c>
      <c r="I9" s="88">
        <f>INDEX('2_Emissions Factors'!$B$5:$R$17,MATCH('3_Bid Evaluation'!$C9,'2_Emissions Factors'!$B$5:$B$17,0),MATCH($C$5,'2_Emissions Factors'!$B$6:$Q$6,0))</f>
        <v>0.008893289723371417</v>
      </c>
      <c r="J9" s="16">
        <f>'2_Emissions Factors'!$D$4</f>
        <v>25</v>
      </c>
      <c r="K9" s="5">
        <f>P9*'3_Bid Evaluation'!$H9*$J9</f>
        <v>0.762034587359879</v>
      </c>
      <c r="L9" s="5">
        <f t="shared" si="1"/>
        <v>0.19949235898880957</v>
      </c>
      <c r="M9" s="5">
        <f t="shared" si="2"/>
        <v>0.18435395882791797</v>
      </c>
      <c r="N9" s="5">
        <f t="shared" si="3"/>
        <v>0.3191521564016511</v>
      </c>
      <c r="O9" s="5">
        <f t="shared" si="4"/>
        <v>0.38099946731920836</v>
      </c>
      <c r="P9" s="15">
        <f>INDEX('2_Emissions Factors'!$R$7:$R$17,MATCH('3_Bid Evaluation'!$C9,'2_Emissions Factors'!$B$7:$B$17,0))</f>
        <v>1.229092290163312</v>
      </c>
      <c r="Q9" s="15">
        <f>INDEX('2_Emissions Factors'!$S$7:$S$17,MATCH('3_Bid Evaluation'!$C9,'2_Emissions Factors'!$B$7:$B$17,0))</f>
        <v>1.7945427637608342</v>
      </c>
      <c r="R9" s="15">
        <f>INDEX('2_Emissions Factors'!$T$7:$T$17,MATCH('3_Bid Evaluation'!$C9,'2_Emissions Factors'!$B$7:$B$17,0))</f>
        <v>1.6583645832964495</v>
      </c>
      <c r="S9" s="15">
        <f>INDEX('2_Emissions Factors'!$U$7:$U$17,MATCH('3_Bid Evaluation'!$C9,'2_Emissions Factors'!$B$7:$B$17,0))</f>
        <v>1.4354740094114986</v>
      </c>
      <c r="T9" s="15">
        <f>INDEX('2_Emissions Factors'!$V$7:$V$17,MATCH('3_Bid Evaluation'!$C9,'2_Emissions Factors'!$B$7:$B$17,0))</f>
        <v>1.7136491857133502</v>
      </c>
      <c r="U9" s="101" t="s">
        <v>2</v>
      </c>
    </row>
    <row r="10" spans="2:21" s="87" customFormat="1" ht="15">
      <c r="B10" s="14"/>
      <c r="C10" s="9" t="str">
        <f t="shared" si="0"/>
        <v>IL</v>
      </c>
      <c r="D10" s="4"/>
      <c r="E10" s="5"/>
      <c r="F10" s="88">
        <f>INDEX('2_Emissions Factors'!$C$7:$C$17,MATCH('3_Bid Evaluation'!$C10,'2_Emissions Factors'!$B$7:$B$17,0))</f>
        <v>0.778</v>
      </c>
      <c r="G10" s="88">
        <f>INDEX('2_Emissions Factors'!$B$45:$N$56,MATCH($C10,'2_Emissions Factors'!$B$45:$B$56,0),MATCH($C$5,'2_Emissions Factors'!$B$45:$N$45,0))</f>
        <v>0.08394349487501394</v>
      </c>
      <c r="H10" s="88">
        <f>'3_Bid Evaluation'!$F10*'3_Bid Evaluation'!$G10</f>
        <v>0.06530803901276085</v>
      </c>
      <c r="I10" s="88">
        <f>INDEX('2_Emissions Factors'!$B$5:$R$17,MATCH('3_Bid Evaluation'!$C10,'2_Emissions Factors'!$B$5:$B$17,0),MATCH($C$5,'2_Emissions Factors'!$B$6:$Q$6,0))</f>
        <v>0.08394349487501394</v>
      </c>
      <c r="J10" s="16">
        <f>'2_Emissions Factors'!$D$4</f>
        <v>25</v>
      </c>
      <c r="K10" s="5">
        <f>P10*'3_Bid Evaluation'!$H10*$J10</f>
        <v>1.1554785406036705</v>
      </c>
      <c r="L10" s="5">
        <f t="shared" si="1"/>
        <v>0.9434477880470983</v>
      </c>
      <c r="M10" s="5">
        <f t="shared" si="2"/>
        <v>1.0106107403680298</v>
      </c>
      <c r="N10" s="5">
        <f t="shared" si="3"/>
        <v>2.050472036275349</v>
      </c>
      <c r="O10" s="5">
        <f t="shared" si="4"/>
        <v>2.8570659503352633</v>
      </c>
      <c r="P10" s="15">
        <f>INDEX('2_Emissions Factors'!$R$7:$R$17,MATCH('3_Bid Evaluation'!$C10,'2_Emissions Factors'!$B$7:$B$17,0))</f>
        <v>0.7077098366881884</v>
      </c>
      <c r="Q10" s="15">
        <f>INDEX('2_Emissions Factors'!$S$7:$S$17,MATCH('3_Bid Evaluation'!$C10,'2_Emissions Factors'!$B$7:$B$17,0))</f>
        <v>0.8991265273878117</v>
      </c>
      <c r="R10" s="15">
        <f>INDEX('2_Emissions Factors'!$T$7:$T$17,MATCH('3_Bid Evaluation'!$C10,'2_Emissions Factors'!$B$7:$B$17,0))</f>
        <v>0.9631343006366454</v>
      </c>
      <c r="S10" s="15">
        <f>INDEX('2_Emissions Factors'!$U$7:$U$17,MATCH('3_Bid Evaluation'!$C10,'2_Emissions Factors'!$B$7:$B$17,0))</f>
        <v>0.977072512564963</v>
      </c>
      <c r="T10" s="15">
        <f>INDEX('2_Emissions Factors'!$V$7:$V$17,MATCH('3_Bid Evaluation'!$C10,'2_Emissions Factors'!$B$7:$B$17,0))</f>
        <v>1.3614233977697674</v>
      </c>
      <c r="U10" s="101" t="s">
        <v>0</v>
      </c>
    </row>
    <row r="11" spans="2:21" s="87" customFormat="1" ht="15">
      <c r="B11" s="14"/>
      <c r="C11" s="9" t="str">
        <f t="shared" si="0"/>
        <v>VA</v>
      </c>
      <c r="D11" s="4"/>
      <c r="E11" s="5"/>
      <c r="F11" s="88">
        <f>INDEX('2_Emissions Factors'!$C$7:$C$17,MATCH('3_Bid Evaluation'!$C11,'2_Emissions Factors'!$B$7:$B$17,0))</f>
        <v>0.222</v>
      </c>
      <c r="G11" s="88">
        <f>INDEX('2_Emissions Factors'!$B$45:$N$56,MATCH($C11,'2_Emissions Factors'!$B$45:$B$56,0),MATCH($C$5,'2_Emissions Factors'!$B$45:$N$45,0))</f>
        <v>0.0635164299267813</v>
      </c>
      <c r="H11" s="88">
        <f>'3_Bid Evaluation'!$F11*'3_Bid Evaluation'!$G11</f>
        <v>0.01410064744374545</v>
      </c>
      <c r="I11" s="88">
        <f>INDEX('2_Emissions Factors'!$B$5:$R$17,MATCH('3_Bid Evaluation'!$C11,'2_Emissions Factors'!$B$5:$B$17,0),MATCH($C$5,'2_Emissions Factors'!$B$6:$Q$6,0))</f>
        <v>0.004070545908808599</v>
      </c>
      <c r="J11" s="16">
        <f>'2_Emissions Factors'!$D$4</f>
        <v>25</v>
      </c>
      <c r="K11" s="5">
        <f>P11*'3_Bid Evaluation'!$H11*$J11</f>
        <v>0.2235592584653072</v>
      </c>
      <c r="L11" s="5">
        <f t="shared" si="1"/>
        <v>0.03890596679803271</v>
      </c>
      <c r="M11" s="5">
        <f t="shared" si="2"/>
        <v>0.04287865814731378</v>
      </c>
      <c r="N11" s="5">
        <f t="shared" si="3"/>
        <v>0.03945956457936276</v>
      </c>
      <c r="O11" s="5">
        <f t="shared" si="4"/>
        <v>0.0207181513217909</v>
      </c>
      <c r="P11" s="15">
        <f>INDEX('2_Emissions Factors'!$R$7:$R$17,MATCH('3_Bid Evaluation'!$C11,'2_Emissions Factors'!$B$7:$B$17,0))</f>
        <v>0.6341815419673377</v>
      </c>
      <c r="Q11" s="15">
        <f>INDEX('2_Emissions Factors'!$S$7:$S$17,MATCH('3_Bid Evaluation'!$C11,'2_Emissions Factors'!$B$7:$B$17,0))</f>
        <v>0.7646338878299501</v>
      </c>
      <c r="R11" s="15">
        <f>INDEX('2_Emissions Factors'!$T$7:$T$17,MATCH('3_Bid Evaluation'!$C11,'2_Emissions Factors'!$B$7:$B$17,0))</f>
        <v>0.8427107146395282</v>
      </c>
      <c r="S11" s="15">
        <f>INDEX('2_Emissions Factors'!$U$7:$U$17,MATCH('3_Bid Evaluation'!$C11,'2_Emissions Factors'!$B$7:$B$17,0))</f>
        <v>0.38775697867917785</v>
      </c>
      <c r="T11" s="15">
        <f>INDEX('2_Emissions Factors'!$V$7:$V$17,MATCH('3_Bid Evaluation'!$C11,'2_Emissions Factors'!$B$7:$B$17,0))</f>
        <v>0.2035908871776352</v>
      </c>
      <c r="U11" s="101" t="s">
        <v>5</v>
      </c>
    </row>
    <row r="12" spans="2:21" s="87" customFormat="1" ht="15">
      <c r="B12" s="14"/>
      <c r="C12" s="44" t="str">
        <f t="shared" si="0"/>
        <v>KY</v>
      </c>
      <c r="D12" s="4"/>
      <c r="E12" s="5"/>
      <c r="F12" s="88">
        <f>INDEX('2_Emissions Factors'!$C$7:$C$17,MATCH('3_Bid Evaluation'!$C12,'2_Emissions Factors'!$B$7:$B$17,0))</f>
        <v>0.222</v>
      </c>
      <c r="G12" s="88">
        <f>INDEX('2_Emissions Factors'!$B$45:$N$56,MATCH($C12,'2_Emissions Factors'!$B$45:$B$56,0),MATCH($C$5,'2_Emissions Factors'!$B$45:$N$45,0))</f>
        <v>0.07775626448874669</v>
      </c>
      <c r="H12" s="88">
        <f>'3_Bid Evaluation'!$F12*'3_Bid Evaluation'!$G12</f>
        <v>0.017261890716501766</v>
      </c>
      <c r="I12" s="88">
        <f>INDEX('2_Emissions Factors'!$B$5:$R$17,MATCH('3_Bid Evaluation'!$C12,'2_Emissions Factors'!$B$5:$B$17,0),MATCH($C$5,'2_Emissions Factors'!$B$6:$Q$6,0))</f>
        <v>0.00852383305848554</v>
      </c>
      <c r="J12" s="16">
        <f>'2_Emissions Factors'!$D$4</f>
        <v>25</v>
      </c>
      <c r="K12" s="5">
        <f>P12*'3_Bid Evaluation'!$H12*$J12</f>
        <v>0.6858208841068173</v>
      </c>
      <c r="L12" s="5">
        <f t="shared" si="1"/>
        <v>0.08668299695402627</v>
      </c>
      <c r="M12" s="5">
        <f t="shared" si="2"/>
        <v>0.10154838518836723</v>
      </c>
      <c r="N12" s="5">
        <f t="shared" si="3"/>
        <v>0.3585116996823642</v>
      </c>
      <c r="O12" s="5">
        <f t="shared" si="4"/>
        <v>0.33114374595571355</v>
      </c>
      <c r="P12" s="15">
        <f>INDEX('2_Emissions Factors'!$R$7:$R$17,MATCH('3_Bid Evaluation'!$C12,'2_Emissions Factors'!$B$7:$B$17,0))</f>
        <v>1.5892138245347514</v>
      </c>
      <c r="Q12" s="15">
        <f>INDEX('2_Emissions Factors'!$S$7:$S$17,MATCH('3_Bid Evaluation'!$C12,'2_Emissions Factors'!$B$7:$B$17,0))</f>
        <v>0.8135588424527642</v>
      </c>
      <c r="R12" s="15">
        <f>INDEX('2_Emissions Factors'!$T$7:$T$17,MATCH('3_Bid Evaluation'!$C12,'2_Emissions Factors'!$B$7:$B$17,0))</f>
        <v>0.9530771847979828</v>
      </c>
      <c r="S12" s="15">
        <f>INDEX('2_Emissions Factors'!$U$7:$U$17,MATCH('3_Bid Evaluation'!$C12,'2_Emissions Factors'!$B$7:$B$17,0))</f>
        <v>1.6823966270689126</v>
      </c>
      <c r="T12" s="15">
        <f>INDEX('2_Emissions Factors'!$V$7:$V$17,MATCH('3_Bid Evaluation'!$C12,'2_Emissions Factors'!$B$7:$B$17,0))</f>
        <v>1.5539663608313277</v>
      </c>
      <c r="U12" s="101" t="s">
        <v>24</v>
      </c>
    </row>
    <row r="13" spans="2:21" s="87" customFormat="1" ht="15">
      <c r="B13" s="14"/>
      <c r="C13" s="44" t="str">
        <f t="shared" si="0"/>
        <v>DE</v>
      </c>
      <c r="D13" s="4"/>
      <c r="E13" s="5"/>
      <c r="F13" s="88">
        <f>INDEX('2_Emissions Factors'!$C$7:$C$17,MATCH('3_Bid Evaluation'!$C13,'2_Emissions Factors'!$B$7:$B$17,0))</f>
        <v>0.222</v>
      </c>
      <c r="G13" s="88">
        <f>INDEX('2_Emissions Factors'!$B$45:$N$56,MATCH($C13,'2_Emissions Factors'!$B$45:$B$56,0),MATCH($C$5,'2_Emissions Factors'!$B$45:$N$45,0))</f>
        <v>0.008144042579145519</v>
      </c>
      <c r="H13" s="88">
        <f>'3_Bid Evaluation'!$F13*'3_Bid Evaluation'!$G13</f>
        <v>0.0018079774525703051</v>
      </c>
      <c r="I13" s="88">
        <f>INDEX('2_Emissions Factors'!$B$5:$R$17,MATCH('3_Bid Evaluation'!$C13,'2_Emissions Factors'!$B$5:$B$17,0),MATCH($C$5,'2_Emissions Factors'!$B$6:$Q$6,0))</f>
        <v>0.0002742705961457303</v>
      </c>
      <c r="J13" s="16">
        <f>'2_Emissions Factors'!$D$4</f>
        <v>25</v>
      </c>
      <c r="K13" s="5">
        <f>P13*'3_Bid Evaluation'!$H13*$J13</f>
        <v>0.040221146708813375</v>
      </c>
      <c r="L13" s="5">
        <f t="shared" si="1"/>
        <v>0.0014889975427671434</v>
      </c>
      <c r="M13" s="5">
        <f t="shared" si="2"/>
        <v>0.0012350576159191567</v>
      </c>
      <c r="N13" s="5">
        <f t="shared" si="3"/>
        <v>0.0019383187658451025</v>
      </c>
      <c r="O13" s="5">
        <f t="shared" si="4"/>
        <v>0.0009487376563847526</v>
      </c>
      <c r="P13" s="15">
        <f>INDEX('2_Emissions Factors'!$R$7:$R$17,MATCH('3_Bid Evaluation'!$C13,'2_Emissions Factors'!$B$7:$B$17,0))</f>
        <v>0.8898594758830232</v>
      </c>
      <c r="Q13" s="15">
        <f>INDEX('2_Emissions Factors'!$S$7:$S$17,MATCH('3_Bid Evaluation'!$C13,'2_Emissions Factors'!$B$7:$B$17,0))</f>
        <v>0.4343148886367631</v>
      </c>
      <c r="R13" s="15">
        <f>INDEX('2_Emissions Factors'!$T$7:$T$17,MATCH('3_Bid Evaluation'!$C13,'2_Emissions Factors'!$B$7:$B$17,0))</f>
        <v>0.3602449940387847</v>
      </c>
      <c r="S13" s="15">
        <f>INDEX('2_Emissions Factors'!$U$7:$U$17,MATCH('3_Bid Evaluation'!$C13,'2_Emissions Factors'!$B$7:$B$17,0))</f>
        <v>0.28268706789337356</v>
      </c>
      <c r="T13" s="15">
        <f>INDEX('2_Emissions Factors'!$V$7:$V$17,MATCH('3_Bid Evaluation'!$C13,'2_Emissions Factors'!$B$7:$B$17,0))</f>
        <v>0.13836520133286948</v>
      </c>
      <c r="U13" s="101" t="s">
        <v>25</v>
      </c>
    </row>
    <row r="14" spans="2:21" s="87" customFormat="1" ht="15">
      <c r="B14" s="14"/>
      <c r="C14" s="44" t="str">
        <f t="shared" si="0"/>
        <v>IN</v>
      </c>
      <c r="D14" s="4"/>
      <c r="E14" s="5"/>
      <c r="F14" s="88">
        <f>INDEX('2_Emissions Factors'!$C$7:$C$17,MATCH('3_Bid Evaluation'!$C14,'2_Emissions Factors'!$B$7:$B$17,0))</f>
        <v>0.222</v>
      </c>
      <c r="G14" s="88">
        <f>INDEX('2_Emissions Factors'!$B$45:$N$56,MATCH($C14,'2_Emissions Factors'!$B$45:$B$56,0),MATCH($C$5,'2_Emissions Factors'!$B$45:$N$45,0))</f>
        <v>0.10391194069809571</v>
      </c>
      <c r="H14" s="88">
        <f>'3_Bid Evaluation'!$F14*'3_Bid Evaluation'!$G14</f>
        <v>0.023068450834977248</v>
      </c>
      <c r="I14" s="88">
        <f>INDEX('2_Emissions Factors'!$B$5:$R$17,MATCH('3_Bid Evaluation'!$C14,'2_Emissions Factors'!$B$5:$B$17,0),MATCH($C$5,'2_Emissions Factors'!$B$6:$Q$6,0))</f>
        <v>0.010601000569603516</v>
      </c>
      <c r="J14" s="16">
        <f>'2_Emissions Factors'!$D$4</f>
        <v>25</v>
      </c>
      <c r="K14" s="5">
        <f>P14*'3_Bid Evaluation'!$H14*$J14</f>
        <v>0.8779678914443867</v>
      </c>
      <c r="L14" s="5">
        <f t="shared" si="1"/>
        <v>0.2387852431579316</v>
      </c>
      <c r="M14" s="5">
        <f t="shared" si="2"/>
        <v>0.21708451317707617</v>
      </c>
      <c r="N14" s="5">
        <f t="shared" si="3"/>
        <v>0.45360502685459875</v>
      </c>
      <c r="O14" s="5">
        <f t="shared" si="4"/>
        <v>0.34492429653593915</v>
      </c>
      <c r="P14" s="15">
        <f>INDEX('2_Emissions Factors'!$R$7:$R$17,MATCH('3_Bid Evaluation'!$C14,'2_Emissions Factors'!$B$7:$B$17,0))</f>
        <v>1.5223699202430687</v>
      </c>
      <c r="Q14" s="15">
        <f>INDEX('2_Emissions Factors'!$S$7:$S$17,MATCH('3_Bid Evaluation'!$C14,'2_Emissions Factors'!$B$7:$B$17,0))</f>
        <v>1.801982683352406</v>
      </c>
      <c r="R14" s="15">
        <f>INDEX('2_Emissions Factors'!$T$7:$T$17,MATCH('3_Bid Evaluation'!$C14,'2_Emissions Factors'!$B$7:$B$17,0))</f>
        <v>1.6382190473569251</v>
      </c>
      <c r="S14" s="15">
        <f>INDEX('2_Emissions Factors'!$U$7:$U$17,MATCH('3_Bid Evaluation'!$C14,'2_Emissions Factors'!$B$7:$B$17,0))</f>
        <v>1.7115555229955575</v>
      </c>
      <c r="T14" s="15">
        <f>INDEX('2_Emissions Factors'!$V$7:$V$17,MATCH('3_Bid Evaluation'!$C14,'2_Emissions Factors'!$B$7:$B$17,0))</f>
        <v>1.3014782680983839</v>
      </c>
      <c r="U14" s="101" t="s">
        <v>27</v>
      </c>
    </row>
    <row r="15" spans="2:21" s="87" customFormat="1" ht="15">
      <c r="B15" s="14"/>
      <c r="C15" s="44" t="str">
        <f t="shared" si="0"/>
        <v>WV</v>
      </c>
      <c r="D15" s="4"/>
      <c r="E15" s="5"/>
      <c r="F15" s="88">
        <f>INDEX('2_Emissions Factors'!$C$7:$C$17,MATCH('3_Bid Evaluation'!$C15,'2_Emissions Factors'!$B$7:$B$17,0))</f>
        <v>0.222</v>
      </c>
      <c r="G15" s="88">
        <f>INDEX('2_Emissions Factors'!$B$45:$N$56,MATCH($C15,'2_Emissions Factors'!$B$45:$B$56,0),MATCH($C$5,'2_Emissions Factors'!$B$45:$N$45,0))</f>
        <v>0.08035472785909233</v>
      </c>
      <c r="H15" s="88">
        <f>'3_Bid Evaluation'!$F15*'3_Bid Evaluation'!$G15</f>
        <v>0.017838749584718497</v>
      </c>
      <c r="I15" s="88">
        <f>INDEX('2_Emissions Factors'!$B$5:$R$17,MATCH('3_Bid Evaluation'!$C15,'2_Emissions Factors'!$B$5:$B$17,0),MATCH($C$5,'2_Emissions Factors'!$B$6:$Q$6,0))</f>
        <v>0.005189021084670379</v>
      </c>
      <c r="J15" s="16">
        <f>'2_Emissions Factors'!$D$4</f>
        <v>25</v>
      </c>
      <c r="K15" s="5">
        <f>P15*'3_Bid Evaluation'!$H15*$J15</f>
        <v>0.7262532327132166</v>
      </c>
      <c r="L15" s="5">
        <f t="shared" si="1"/>
        <v>0.125999918594545</v>
      </c>
      <c r="M15" s="5">
        <f t="shared" si="2"/>
        <v>0.11644048547578668</v>
      </c>
      <c r="N15" s="5">
        <f t="shared" si="3"/>
        <v>0.19717636102607444</v>
      </c>
      <c r="O15" s="5">
        <f t="shared" si="4"/>
        <v>0.1380583539066025</v>
      </c>
      <c r="P15" s="15">
        <f>INDEX('2_Emissions Factors'!$R$7:$R$17,MATCH('3_Bid Evaluation'!$C15,'2_Emissions Factors'!$B$7:$B$17,0))</f>
        <v>1.6284846183061148</v>
      </c>
      <c r="Q15" s="15">
        <f>INDEX('2_Emissions Factors'!$S$7:$S$17,MATCH('3_Bid Evaluation'!$C15,'2_Emissions Factors'!$B$7:$B$17,0))</f>
        <v>1.9425616745598389</v>
      </c>
      <c r="R15" s="15">
        <f>INDEX('2_Emissions Factors'!$T$7:$T$17,MATCH('3_Bid Evaluation'!$C15,'2_Emissions Factors'!$B$7:$B$17,0))</f>
        <v>1.7951823062701364</v>
      </c>
      <c r="S15" s="15">
        <f>INDEX('2_Emissions Factors'!$U$7:$U$17,MATCH('3_Bid Evaluation'!$C15,'2_Emissions Factors'!$B$7:$B$17,0))</f>
        <v>1.51995035524971</v>
      </c>
      <c r="T15" s="15">
        <f>INDEX('2_Emissions Factors'!$V$7:$V$17,MATCH('3_Bid Evaluation'!$C15,'2_Emissions Factors'!$B$7:$B$17,0))</f>
        <v>1.0642342873838786</v>
      </c>
      <c r="U15" s="101" t="s">
        <v>26</v>
      </c>
    </row>
    <row r="16" spans="2:21" s="1" customFormat="1" ht="15">
      <c r="B16" s="75"/>
      <c r="C16" s="103"/>
      <c r="D16" s="76"/>
      <c r="E16" s="81"/>
      <c r="F16" s="77"/>
      <c r="G16" s="77"/>
      <c r="H16" s="77"/>
      <c r="I16" s="79"/>
      <c r="J16" s="80"/>
      <c r="K16" s="81">
        <f>SUM(K5:K15)</f>
        <v>6.315373662740754</v>
      </c>
      <c r="L16" s="81">
        <f>SUM(L5:L15)</f>
        <v>1.8730802541515335</v>
      </c>
      <c r="M16" s="81">
        <f>SUM(M5:M15)</f>
        <v>1.936928331830525</v>
      </c>
      <c r="N16" s="81">
        <f>SUM(N5:N15)</f>
        <v>3.9299261308691964</v>
      </c>
      <c r="O16" s="81">
        <f>SUM(O5:O15)</f>
        <v>4.723167955838743</v>
      </c>
      <c r="P16" s="78"/>
      <c r="Q16" s="78"/>
      <c r="R16" s="78"/>
      <c r="S16" s="78"/>
      <c r="T16" s="78"/>
      <c r="U16" s="102"/>
    </row>
    <row r="17" spans="2:21" s="1" customFormat="1" ht="15">
      <c r="B17" s="114" t="s">
        <v>22</v>
      </c>
      <c r="C17" s="161" t="str">
        <f>VLOOKUP('3_Bid Evaluation'!$B17,'1_Carbon-free Resource Details'!$B$6:$F$8,2,0)</f>
        <v>NJ</v>
      </c>
      <c r="D17" s="4">
        <f>SUM(K28:O28)*'3_Bid Evaluation'!$E17</f>
        <v>16.14635843979911</v>
      </c>
      <c r="E17" s="5">
        <f>IF(VLOOKUP(B17,'1_Carbon-free Resource Details'!$B$6:$F$8,3,0)="Y",VLOOKUP('3_Bid Evaluation'!$B17,'1_Carbon-free Resource Details'!$B$7:$F$29,4,0)/OppRev,1)</f>
        <v>1</v>
      </c>
      <c r="F17" s="88">
        <f>INDEX('2_Emissions Factors'!$C$7:$C$17,MATCH('3_Bid Evaluation'!$C17,'2_Emissions Factors'!$B$7:$B$17,0))</f>
        <v>0.222</v>
      </c>
      <c r="G17" s="88">
        <f>INDEX('2_Emissions Factors'!$B$45:$N$56,MATCH($C17,'2_Emissions Factors'!$B$45:$B$56,0),MATCH($C$17,'2_Emissions Factors'!$B$45:$N$45,0))</f>
        <v>0.33</v>
      </c>
      <c r="H17" s="88">
        <f>'3_Bid Evaluation'!$F17*'3_Bid Evaluation'!$G17</f>
        <v>0.07326</v>
      </c>
      <c r="I17" s="88">
        <f>INDEX('2_Emissions Factors'!$B$5:$R$17,MATCH('3_Bid Evaluation'!$C17,'2_Emissions Factors'!$B$5:$B$17,0),MATCH($C$17,'2_Emissions Factors'!$B$6:$Q$6,0))</f>
        <v>0.009205506912716934</v>
      </c>
      <c r="J17" s="16">
        <f>'2_Emissions Factors'!$D$4</f>
        <v>25</v>
      </c>
      <c r="K17" s="5">
        <f>P17*'3_Bid Evaluation'!$H17*$J17</f>
        <v>0.8064721230535513</v>
      </c>
      <c r="L17" s="5">
        <f>Q17*$I17*($J17/2)</f>
        <v>0.03805013532800833</v>
      </c>
      <c r="M17" s="5">
        <f>R17*$I17*($J17/2)</f>
        <v>0.03535012638363628</v>
      </c>
      <c r="N17" s="5">
        <f>S17*$I17*$J17</f>
        <v>0.04431926850671928</v>
      </c>
      <c r="O17" s="5">
        <f>T17*$I17*$J17</f>
        <v>0.01369212683997879</v>
      </c>
      <c r="P17" s="15">
        <f>INDEX('2_Emissions Factors'!$R$7:$R$17,MATCH('3_Bid Evaluation'!$C17,'2_Emissions Factors'!$B$7:$B$17,0))</f>
        <v>0.44033421952145846</v>
      </c>
      <c r="Q17" s="15">
        <f>INDEX('2_Emissions Factors'!$S$7:$S$17,MATCH('3_Bid Evaluation'!$C17,'2_Emissions Factors'!$B$7:$B$17,0))</f>
        <v>0.3306728086897118</v>
      </c>
      <c r="R17" s="15">
        <f>INDEX('2_Emissions Factors'!$T$7:$T$17,MATCH('3_Bid Evaluation'!$C17,'2_Emissions Factors'!$B$7:$B$17,0))</f>
        <v>0.30720851524038856</v>
      </c>
      <c r="S17" s="15">
        <f>INDEX('2_Emissions Factors'!$U$7:$U$17,MATCH('3_Bid Evaluation'!$C17,'2_Emissions Factors'!$B$7:$B$17,0))</f>
        <v>0.19257719939569864</v>
      </c>
      <c r="T17" s="15">
        <f>INDEX('2_Emissions Factors'!$V$7:$V$17,MATCH('3_Bid Evaluation'!$C17,'2_Emissions Factors'!$B$7:$B$17,0))</f>
        <v>0.059495373670574614</v>
      </c>
      <c r="U17" s="100" t="s">
        <v>8</v>
      </c>
    </row>
    <row r="18" spans="2:21" s="87" customFormat="1" ht="15">
      <c r="B18" s="14"/>
      <c r="C18" s="9" t="str">
        <f aca="true" t="shared" si="5" ref="C18:C27">IF($C$17=U18,"IL",U18)</f>
        <v>MD</v>
      </c>
      <c r="D18" s="4"/>
      <c r="E18" s="5"/>
      <c r="F18" s="88">
        <f>INDEX('2_Emissions Factors'!$C$7:$C$17,MATCH('3_Bid Evaluation'!$C18,'2_Emissions Factors'!$B$7:$B$17,0))</f>
        <v>0.222</v>
      </c>
      <c r="G18" s="88">
        <f>INDEX('2_Emissions Factors'!$B$45:$N$56,MATCH($C18,'2_Emissions Factors'!$B$45:$B$56,0),MATCH($C$17,'2_Emissions Factors'!$B$45:$N$45,0))</f>
        <v>0.015384501441437687</v>
      </c>
      <c r="H18" s="88">
        <f>'3_Bid Evaluation'!$F18*'3_Bid Evaluation'!$G18</f>
        <v>0.0034153593199991667</v>
      </c>
      <c r="I18" s="88">
        <f>INDEX('2_Emissions Factors'!$B$5:$R$17,MATCH('3_Bid Evaluation'!$C18,'2_Emissions Factors'!$B$5:$B$17,0),MATCH($C$17,'2_Emissions Factors'!$B$6:$Q$6,0))</f>
        <v>0.0008037215964700623</v>
      </c>
      <c r="J18" s="16">
        <f>'2_Emissions Factors'!$D$4</f>
        <v>25</v>
      </c>
      <c r="K18" s="5">
        <f>P18*'3_Bid Evaluation'!$H18*$J18</f>
        <v>0.061568564422240964</v>
      </c>
      <c r="L18" s="5">
        <f aca="true" t="shared" si="6" ref="L18:L27">Q18*$I18*($J18/2)</f>
        <v>0.008140118081106417</v>
      </c>
      <c r="M18" s="5">
        <f aca="true" t="shared" si="7" ref="M18:M27">R18*$I18*($J18/2)</f>
        <v>0.008291975562541843</v>
      </c>
      <c r="N18" s="5">
        <f aca="true" t="shared" si="8" ref="N18:N27">S18*$I18*$J18</f>
        <v>0.015383824282644344</v>
      </c>
      <c r="O18" s="5">
        <f aca="true" t="shared" si="9" ref="O18:O27">T18*$I18*$J18</f>
        <v>0.01922284515496419</v>
      </c>
      <c r="P18" s="15">
        <f>INDEX('2_Emissions Factors'!$R$7:$R$17,MATCH('3_Bid Evaluation'!$C18,'2_Emissions Factors'!$B$7:$B$17,0))</f>
        <v>0.7210786175465249</v>
      </c>
      <c r="Q18" s="15">
        <f>INDEX('2_Emissions Factors'!$S$7:$S$17,MATCH('3_Bid Evaluation'!$C18,'2_Emissions Factors'!$B$7:$B$17,0))</f>
        <v>0.8102425632813889</v>
      </c>
      <c r="R18" s="15">
        <f>INDEX('2_Emissions Factors'!$T$7:$T$17,MATCH('3_Bid Evaluation'!$C18,'2_Emissions Factors'!$B$7:$B$17,0))</f>
        <v>0.8253579945055722</v>
      </c>
      <c r="S18" s="15">
        <f>INDEX('2_Emissions Factors'!$U$7:$U$17,MATCH('3_Bid Evaluation'!$C18,'2_Emissions Factors'!$B$7:$B$17,0))</f>
        <v>0.7656295090344695</v>
      </c>
      <c r="T18" s="15">
        <f>INDEX('2_Emissions Factors'!$V$7:$V$17,MATCH('3_Bid Evaluation'!$C18,'2_Emissions Factors'!$B$7:$B$17,0))</f>
        <v>0.9566917320321239</v>
      </c>
      <c r="U18" s="101" t="s">
        <v>1</v>
      </c>
    </row>
    <row r="19" spans="2:21" s="87" customFormat="1" ht="15">
      <c r="B19" s="14"/>
      <c r="C19" s="9" t="str">
        <f t="shared" si="5"/>
        <v>MI</v>
      </c>
      <c r="D19" s="4"/>
      <c r="E19" s="5"/>
      <c r="F19" s="88">
        <f>INDEX('2_Emissions Factors'!$C$7:$C$17,MATCH('3_Bid Evaluation'!$C19,'2_Emissions Factors'!$B$7:$B$17,0))</f>
        <v>0.222</v>
      </c>
      <c r="G19" s="88">
        <f>INDEX('2_Emissions Factors'!$B$45:$N$56,MATCH($C19,'2_Emissions Factors'!$B$45:$B$56,0),MATCH($C$17,'2_Emissions Factors'!$B$45:$N$45,0))</f>
        <v>0.06878364005300756</v>
      </c>
      <c r="H19" s="88">
        <f>'3_Bid Evaluation'!$F19*'3_Bid Evaluation'!$G19</f>
        <v>0.015269968091767679</v>
      </c>
      <c r="I19" s="88">
        <f>INDEX('2_Emissions Factors'!$B$5:$R$17,MATCH('3_Bid Evaluation'!$C19,'2_Emissions Factors'!$B$5:$B$17,0),MATCH($C$17,'2_Emissions Factors'!$B$6:$Q$6,0))</f>
        <v>0.005391546854985744</v>
      </c>
      <c r="J19" s="16">
        <f>'2_Emissions Factors'!$D$4</f>
        <v>25</v>
      </c>
      <c r="K19" s="5">
        <f>P19*'3_Bid Evaluation'!$H19*$J19</f>
        <v>0.36490178212458124</v>
      </c>
      <c r="L19" s="5">
        <f t="shared" si="6"/>
        <v>0.03046331795307572</v>
      </c>
      <c r="M19" s="5">
        <f t="shared" si="7"/>
        <v>0.04404510781346483</v>
      </c>
      <c r="N19" s="5">
        <f t="shared" si="8"/>
        <v>0.1797981367007474</v>
      </c>
      <c r="O19" s="5">
        <f t="shared" si="9"/>
        <v>0.23478900910364323</v>
      </c>
      <c r="P19" s="15">
        <f>INDEX('2_Emissions Factors'!$R$7:$R$17,MATCH('3_Bid Evaluation'!$C19,'2_Emissions Factors'!$B$7:$B$17,0))</f>
        <v>0.9558678313710597</v>
      </c>
      <c r="Q19" s="15">
        <f>INDEX('2_Emissions Factors'!$S$7:$S$17,MATCH('3_Bid Evaluation'!$C19,'2_Emissions Factors'!$B$7:$B$17,0))</f>
        <v>0.4520159987096136</v>
      </c>
      <c r="R19" s="15">
        <f>INDEX('2_Emissions Factors'!$T$7:$T$17,MATCH('3_Bid Evaluation'!$C19,'2_Emissions Factors'!$B$7:$B$17,0))</f>
        <v>0.6535431704203382</v>
      </c>
      <c r="S19" s="15">
        <f>INDEX('2_Emissions Factors'!$U$7:$U$17,MATCH('3_Bid Evaluation'!$C19,'2_Emissions Factors'!$B$7:$B$17,0))</f>
        <v>1.3339261739660635</v>
      </c>
      <c r="T19" s="15">
        <f>INDEX('2_Emissions Factors'!$V$7:$V$17,MATCH('3_Bid Evaluation'!$C19,'2_Emissions Factors'!$B$7:$B$17,0))</f>
        <v>1.7419046178669557</v>
      </c>
      <c r="U19" s="101" t="s">
        <v>3</v>
      </c>
    </row>
    <row r="20" spans="2:21" s="87" customFormat="1" ht="15">
      <c r="B20" s="14"/>
      <c r="C20" s="9" t="str">
        <f t="shared" si="5"/>
        <v>IL</v>
      </c>
      <c r="D20" s="4"/>
      <c r="E20" s="5"/>
      <c r="F20" s="88">
        <f>INDEX('2_Emissions Factors'!$C$7:$C$17,MATCH('3_Bid Evaluation'!$C20,'2_Emissions Factors'!$B$7:$B$17,0))</f>
        <v>0.778</v>
      </c>
      <c r="G20" s="88">
        <f>INDEX('2_Emissions Factors'!$B$45:$N$56,MATCH($C20,'2_Emissions Factors'!$B$45:$B$56,0),MATCH($C$17,'2_Emissions Factors'!$B$45:$N$45,0))</f>
        <v>0.07367389369448292</v>
      </c>
      <c r="H20" s="88">
        <f>'3_Bid Evaluation'!$F20*'3_Bid Evaluation'!$G20</f>
        <v>0.05731828929430771</v>
      </c>
      <c r="I20" s="88">
        <f>INDEX('2_Emissions Factors'!$B$5:$R$17,MATCH('3_Bid Evaluation'!$C20,'2_Emissions Factors'!$B$5:$B$17,0),MATCH($C$17,'2_Emissions Factors'!$B$6:$Q$6,0))</f>
        <v>0.07367389369448292</v>
      </c>
      <c r="J20" s="16">
        <f>'2_Emissions Factors'!$D$4</f>
        <v>25</v>
      </c>
      <c r="K20" s="5">
        <f>P20*'3_Bid Evaluation'!$H20*$J20</f>
        <v>1.0141179288930213</v>
      </c>
      <c r="L20" s="5">
        <f t="shared" si="6"/>
        <v>0.8280269024582404</v>
      </c>
      <c r="M20" s="5">
        <f t="shared" si="7"/>
        <v>0.8869731759826796</v>
      </c>
      <c r="N20" s="5">
        <f t="shared" si="8"/>
        <v>1.7996184105628101</v>
      </c>
      <c r="O20" s="5">
        <f t="shared" si="9"/>
        <v>2.507534067011789</v>
      </c>
      <c r="P20" s="15">
        <f>INDEX('2_Emissions Factors'!$R$7:$R$17,MATCH('3_Bid Evaluation'!$C20,'2_Emissions Factors'!$B$7:$B$17,0))</f>
        <v>0.7077098366881884</v>
      </c>
      <c r="Q20" s="15">
        <f>INDEX('2_Emissions Factors'!$S$7:$S$17,MATCH('3_Bid Evaluation'!$C20,'2_Emissions Factors'!$B$7:$B$17,0))</f>
        <v>0.8991265273878117</v>
      </c>
      <c r="R20" s="15">
        <f>INDEX('2_Emissions Factors'!$T$7:$T$17,MATCH('3_Bid Evaluation'!$C20,'2_Emissions Factors'!$B$7:$B$17,0))</f>
        <v>0.9631343006366454</v>
      </c>
      <c r="S20" s="15">
        <f>INDEX('2_Emissions Factors'!$U$7:$U$17,MATCH('3_Bid Evaluation'!$C20,'2_Emissions Factors'!$B$7:$B$17,0))</f>
        <v>0.977072512564963</v>
      </c>
      <c r="T20" s="15">
        <f>INDEX('2_Emissions Factors'!$V$7:$V$17,MATCH('3_Bid Evaluation'!$C20,'2_Emissions Factors'!$B$7:$B$17,0))</f>
        <v>1.3614233977697674</v>
      </c>
      <c r="U20" s="101" t="s">
        <v>4</v>
      </c>
    </row>
    <row r="21" spans="2:21" s="87" customFormat="1" ht="15">
      <c r="B21" s="14"/>
      <c r="C21" s="9" t="str">
        <f t="shared" si="5"/>
        <v>OH</v>
      </c>
      <c r="D21" s="4"/>
      <c r="E21" s="5"/>
      <c r="F21" s="88">
        <f>INDEX('2_Emissions Factors'!$C$7:$C$17,MATCH('3_Bid Evaluation'!$C21,'2_Emissions Factors'!$B$7:$B$17,0))</f>
        <v>0.222</v>
      </c>
      <c r="G21" s="88">
        <f>INDEX('2_Emissions Factors'!$B$45:$N$56,MATCH($C21,'2_Emissions Factors'!$B$45:$B$56,0),MATCH($C$17,'2_Emissions Factors'!$B$45:$N$45,0))</f>
        <v>0.09804462338712013</v>
      </c>
      <c r="H21" s="88">
        <f>'3_Bid Evaluation'!$F21*'3_Bid Evaluation'!$G21</f>
        <v>0.02176590639194067</v>
      </c>
      <c r="I21" s="88">
        <f>INDEX('2_Emissions Factors'!$B$5:$R$17,MATCH('3_Bid Evaluation'!$C21,'2_Emissions Factors'!$B$5:$B$17,0),MATCH($C$17,'2_Emissions Factors'!$B$6:$Q$6,0))</f>
        <v>0.007805289530170927</v>
      </c>
      <c r="J21" s="16">
        <f>'2_Emissions Factors'!$D$4</f>
        <v>25</v>
      </c>
      <c r="K21" s="5">
        <f>P21*'3_Bid Evaluation'!$H21*$J21</f>
        <v>0.6688076933687657</v>
      </c>
      <c r="L21" s="5">
        <f t="shared" si="6"/>
        <v>0.1750865730678305</v>
      </c>
      <c r="M21" s="5">
        <f t="shared" si="7"/>
        <v>0.16180019649012564</v>
      </c>
      <c r="N21" s="5">
        <f t="shared" si="8"/>
        <v>0.28010725641230133</v>
      </c>
      <c r="O21" s="5">
        <f t="shared" si="9"/>
        <v>0.33438820119085866</v>
      </c>
      <c r="P21" s="15">
        <f>INDEX('2_Emissions Factors'!$R$7:$R$17,MATCH('3_Bid Evaluation'!$C21,'2_Emissions Factors'!$B$7:$B$17,0))</f>
        <v>1.229092290163312</v>
      </c>
      <c r="Q21" s="15">
        <f>INDEX('2_Emissions Factors'!$S$7:$S$17,MATCH('3_Bid Evaluation'!$C21,'2_Emissions Factors'!$B$7:$B$17,0))</f>
        <v>1.7945427637608342</v>
      </c>
      <c r="R21" s="15">
        <f>INDEX('2_Emissions Factors'!$T$7:$T$17,MATCH('3_Bid Evaluation'!$C21,'2_Emissions Factors'!$B$7:$B$17,0))</f>
        <v>1.6583645832964495</v>
      </c>
      <c r="S21" s="15">
        <f>INDEX('2_Emissions Factors'!$U$7:$U$17,MATCH('3_Bid Evaluation'!$C21,'2_Emissions Factors'!$B$7:$B$17,0))</f>
        <v>1.4354740094114986</v>
      </c>
      <c r="T21" s="15">
        <f>INDEX('2_Emissions Factors'!$V$7:$V$17,MATCH('3_Bid Evaluation'!$C21,'2_Emissions Factors'!$B$7:$B$17,0))</f>
        <v>1.7136491857133502</v>
      </c>
      <c r="U21" s="101" t="s">
        <v>2</v>
      </c>
    </row>
    <row r="22" spans="2:21" s="87" customFormat="1" ht="15">
      <c r="B22" s="14"/>
      <c r="C22" s="9" t="str">
        <f t="shared" si="5"/>
        <v>PA</v>
      </c>
      <c r="D22" s="4"/>
      <c r="E22" s="5"/>
      <c r="F22" s="88">
        <f>INDEX('2_Emissions Factors'!$C$7:$C$17,MATCH('3_Bid Evaluation'!$C22,'2_Emissions Factors'!$B$7:$B$17,0))</f>
        <v>0.222</v>
      </c>
      <c r="G22" s="88">
        <f>INDEX('2_Emissions Factors'!$B$45:$N$56,MATCH($C22,'2_Emissions Factors'!$B$45:$B$56,0),MATCH($C$17,'2_Emissions Factors'!$B$45:$N$45,0))</f>
        <v>0.12125258092256457</v>
      </c>
      <c r="H22" s="88">
        <f>'3_Bid Evaluation'!$F22*'3_Bid Evaluation'!$G22</f>
        <v>0.026918072964809334</v>
      </c>
      <c r="I22" s="88">
        <f>INDEX('2_Emissions Factors'!$B$5:$R$17,MATCH('3_Bid Evaluation'!$C22,'2_Emissions Factors'!$B$5:$B$17,0),MATCH($C$17,'2_Emissions Factors'!$B$6:$Q$6,0))</f>
        <v>0.005813196317694557</v>
      </c>
      <c r="J22" s="16">
        <f>'2_Emissions Factors'!$D$4</f>
        <v>25</v>
      </c>
      <c r="K22" s="5">
        <f>P22*'3_Bid Evaluation'!$H22*$J22</f>
        <v>0.4588238187089415</v>
      </c>
      <c r="L22" s="5">
        <f t="shared" si="6"/>
        <v>0.06949293699215373</v>
      </c>
      <c r="M22" s="5">
        <f t="shared" si="7"/>
        <v>0.07287983795901805</v>
      </c>
      <c r="N22" s="5">
        <f t="shared" si="8"/>
        <v>0.10332579232622795</v>
      </c>
      <c r="O22" s="5">
        <f t="shared" si="9"/>
        <v>0.13155273267429915</v>
      </c>
      <c r="P22" s="15">
        <f>INDEX('2_Emissions Factors'!$R$7:$R$17,MATCH('3_Bid Evaluation'!$C22,'2_Emissions Factors'!$B$7:$B$17,0))</f>
        <v>0.6818078237751615</v>
      </c>
      <c r="Q22" s="15">
        <f>INDEX('2_Emissions Factors'!$S$7:$S$17,MATCH('3_Bid Evaluation'!$C22,'2_Emissions Factors'!$B$7:$B$17,0))</f>
        <v>0.956347361338917</v>
      </c>
      <c r="R22" s="15">
        <f>INDEX('2_Emissions Factors'!$T$7:$T$17,MATCH('3_Bid Evaluation'!$C22,'2_Emissions Factors'!$B$7:$B$17,0))</f>
        <v>1.0029571887972475</v>
      </c>
      <c r="S22" s="15">
        <f>INDEX('2_Emissions Factors'!$U$7:$U$17,MATCH('3_Bid Evaluation'!$C22,'2_Emissions Factors'!$B$7:$B$17,0))</f>
        <v>0.7109740437405747</v>
      </c>
      <c r="T22" s="15">
        <f>INDEX('2_Emissions Factors'!$V$7:$V$17,MATCH('3_Bid Evaluation'!$C22,'2_Emissions Factors'!$B$7:$B$17,0))</f>
        <v>0.9052006881231314</v>
      </c>
      <c r="U22" s="101" t="s">
        <v>0</v>
      </c>
    </row>
    <row r="23" spans="2:21" s="87" customFormat="1" ht="15">
      <c r="B23" s="14"/>
      <c r="C23" s="9" t="str">
        <f t="shared" si="5"/>
        <v>VA</v>
      </c>
      <c r="D23" s="4"/>
      <c r="E23" s="5"/>
      <c r="F23" s="88">
        <f>INDEX('2_Emissions Factors'!$C$7:$C$17,MATCH('3_Bid Evaluation'!$C23,'2_Emissions Factors'!$B$7:$B$17,0))</f>
        <v>0.222</v>
      </c>
      <c r="G23" s="88">
        <f>INDEX('2_Emissions Factors'!$B$45:$N$56,MATCH($C23,'2_Emissions Factors'!$B$45:$B$56,0),MATCH($C$17,'2_Emissions Factors'!$B$45:$N$45,0))</f>
        <v>0.055745864682501194</v>
      </c>
      <c r="H23" s="88">
        <f>'3_Bid Evaluation'!$F23*'3_Bid Evaluation'!$G23</f>
        <v>0.012375581959515266</v>
      </c>
      <c r="I23" s="88">
        <f>INDEX('2_Emissions Factors'!$B$5:$R$17,MATCH('3_Bid Evaluation'!$C23,'2_Emissions Factors'!$B$5:$B$17,0),MATCH($C$17,'2_Emissions Factors'!$B$6:$Q$6,0))</f>
        <v>0.003572557552084256</v>
      </c>
      <c r="J23" s="16">
        <f>'2_Emissions Factors'!$D$4</f>
        <v>25</v>
      </c>
      <c r="K23" s="5">
        <f>P23*'3_Bid Evaluation'!$H23*$J23</f>
        <v>0.19620914124571393</v>
      </c>
      <c r="L23" s="5">
        <f t="shared" si="6"/>
        <v>0.03414623213183043</v>
      </c>
      <c r="M23" s="5">
        <f t="shared" si="7"/>
        <v>0.037632906597597084</v>
      </c>
      <c r="N23" s="5">
        <f t="shared" si="8"/>
        <v>0.03463210306384176</v>
      </c>
      <c r="O23" s="5">
        <f t="shared" si="9"/>
        <v>0.018183504038049858</v>
      </c>
      <c r="P23" s="15">
        <f>INDEX('2_Emissions Factors'!$R$7:$R$17,MATCH('3_Bid Evaluation'!$C23,'2_Emissions Factors'!$B$7:$B$17,0))</f>
        <v>0.6341815419673377</v>
      </c>
      <c r="Q23" s="15">
        <f>INDEX('2_Emissions Factors'!$S$7:$S$17,MATCH('3_Bid Evaluation'!$C23,'2_Emissions Factors'!$B$7:$B$17,0))</f>
        <v>0.7646338878299501</v>
      </c>
      <c r="R23" s="15">
        <f>INDEX('2_Emissions Factors'!$T$7:$T$17,MATCH('3_Bid Evaluation'!$C23,'2_Emissions Factors'!$B$7:$B$17,0))</f>
        <v>0.8427107146395282</v>
      </c>
      <c r="S23" s="15">
        <f>INDEX('2_Emissions Factors'!$U$7:$U$17,MATCH('3_Bid Evaluation'!$C23,'2_Emissions Factors'!$B$7:$B$17,0))</f>
        <v>0.38775697867917785</v>
      </c>
      <c r="T23" s="15">
        <f>INDEX('2_Emissions Factors'!$V$7:$V$17,MATCH('3_Bid Evaluation'!$C23,'2_Emissions Factors'!$B$7:$B$17,0))</f>
        <v>0.2035908871776352</v>
      </c>
      <c r="U23" s="101" t="s">
        <v>5</v>
      </c>
    </row>
    <row r="24" spans="2:21" s="87" customFormat="1" ht="15">
      <c r="B24" s="14"/>
      <c r="C24" s="9" t="str">
        <f t="shared" si="5"/>
        <v>KY</v>
      </c>
      <c r="D24" s="4"/>
      <c r="E24" s="5"/>
      <c r="F24" s="88">
        <f>INDEX('2_Emissions Factors'!$C$7:$C$17,MATCH('3_Bid Evaluation'!$C24,'2_Emissions Factors'!$B$7:$B$17,0))</f>
        <v>0.222</v>
      </c>
      <c r="G24" s="88">
        <f>INDEX('2_Emissions Factors'!$B$45:$N$56,MATCH($C24,'2_Emissions Factors'!$B$45:$B$56,0),MATCH($C$17,'2_Emissions Factors'!$B$45:$N$45,0))</f>
        <v>0.06824360568443713</v>
      </c>
      <c r="H24" s="88">
        <f>'3_Bid Evaluation'!$F24*'3_Bid Evaluation'!$G24</f>
        <v>0.015150080461945043</v>
      </c>
      <c r="I24" s="88">
        <f>INDEX('2_Emissions Factors'!$B$5:$R$17,MATCH('3_Bid Evaluation'!$C24,'2_Emissions Factors'!$B$5:$B$17,0),MATCH($C$17,'2_Emissions Factors'!$B$6:$Q$6,0))</f>
        <v>0.007481031991286611</v>
      </c>
      <c r="J24" s="16">
        <f>'2_Emissions Factors'!$D$4</f>
        <v>25</v>
      </c>
      <c r="K24" s="5">
        <f>P24*'3_Bid Evaluation'!$H24*$J24</f>
        <v>0.6019179328234223</v>
      </c>
      <c r="L24" s="5">
        <f t="shared" si="6"/>
        <v>0.07607824658979041</v>
      </c>
      <c r="M24" s="5">
        <f t="shared" si="7"/>
        <v>0.08912501137048862</v>
      </c>
      <c r="N24" s="5">
        <f t="shared" si="8"/>
        <v>0.3146515747283806</v>
      </c>
      <c r="O24" s="5">
        <f t="shared" si="9"/>
        <v>0.29063180146905987</v>
      </c>
      <c r="P24" s="15">
        <f>INDEX('2_Emissions Factors'!$R$7:$R$17,MATCH('3_Bid Evaluation'!$C24,'2_Emissions Factors'!$B$7:$B$17,0))</f>
        <v>1.5892138245347514</v>
      </c>
      <c r="Q24" s="15">
        <f>INDEX('2_Emissions Factors'!$S$7:$S$17,MATCH('3_Bid Evaluation'!$C24,'2_Emissions Factors'!$B$7:$B$17,0))</f>
        <v>0.8135588424527642</v>
      </c>
      <c r="R24" s="15">
        <f>INDEX('2_Emissions Factors'!$T$7:$T$17,MATCH('3_Bid Evaluation'!$C24,'2_Emissions Factors'!$B$7:$B$17,0))</f>
        <v>0.9530771847979828</v>
      </c>
      <c r="S24" s="15">
        <f>INDEX('2_Emissions Factors'!$U$7:$U$17,MATCH('3_Bid Evaluation'!$C24,'2_Emissions Factors'!$B$7:$B$17,0))</f>
        <v>1.6823966270689126</v>
      </c>
      <c r="T24" s="15">
        <f>INDEX('2_Emissions Factors'!$V$7:$V$17,MATCH('3_Bid Evaluation'!$C24,'2_Emissions Factors'!$B$7:$B$17,0))</f>
        <v>1.5539663608313277</v>
      </c>
      <c r="U24" s="101" t="s">
        <v>24</v>
      </c>
    </row>
    <row r="25" spans="2:21" s="87" customFormat="1" ht="15">
      <c r="B25" s="14"/>
      <c r="C25" s="9" t="str">
        <f t="shared" si="5"/>
        <v>DE</v>
      </c>
      <c r="D25" s="4"/>
      <c r="E25" s="5"/>
      <c r="F25" s="88">
        <f>INDEX('2_Emissions Factors'!$C$7:$C$17,MATCH('3_Bid Evaluation'!$C25,'2_Emissions Factors'!$B$7:$B$17,0))</f>
        <v>0.222</v>
      </c>
      <c r="G25" s="88">
        <f>INDEX('2_Emissions Factors'!$B$45:$N$56,MATCH($C25,'2_Emissions Factors'!$B$45:$B$56,0),MATCH($C$17,'2_Emissions Factors'!$B$45:$N$45,0))</f>
        <v>0.0071477048711478235</v>
      </c>
      <c r="H25" s="88">
        <f>'3_Bid Evaluation'!$F25*'3_Bid Evaluation'!$G25</f>
        <v>0.0015867904813948168</v>
      </c>
      <c r="I25" s="88">
        <f>INDEX('2_Emissions Factors'!$B$5:$R$17,MATCH('3_Bid Evaluation'!$C25,'2_Emissions Factors'!$B$5:$B$17,0),MATCH($C$17,'2_Emissions Factors'!$B$6:$Q$6,0))</f>
        <v>0.0002407164816529166</v>
      </c>
      <c r="J25" s="16">
        <f>'2_Emissions Factors'!$D$4</f>
        <v>25</v>
      </c>
      <c r="K25" s="5">
        <f>P25*'3_Bid Evaluation'!$H25*$J25</f>
        <v>0.035300513652754044</v>
      </c>
      <c r="L25" s="5">
        <f t="shared" si="6"/>
        <v>0.0013068343990264987</v>
      </c>
      <c r="M25" s="5">
        <f t="shared" si="7"/>
        <v>0.001083961343726152</v>
      </c>
      <c r="N25" s="5">
        <f t="shared" si="8"/>
        <v>0.0017011859098018012</v>
      </c>
      <c r="O25" s="5">
        <f t="shared" si="9"/>
        <v>0.0008326696112011448</v>
      </c>
      <c r="P25" s="15">
        <f>INDEX('2_Emissions Factors'!$R$7:$R$17,MATCH('3_Bid Evaluation'!$C25,'2_Emissions Factors'!$B$7:$B$17,0))</f>
        <v>0.8898594758830232</v>
      </c>
      <c r="Q25" s="15">
        <f>INDEX('2_Emissions Factors'!$S$7:$S$17,MATCH('3_Bid Evaluation'!$C25,'2_Emissions Factors'!$B$7:$B$17,0))</f>
        <v>0.4343148886367631</v>
      </c>
      <c r="R25" s="15">
        <f>INDEX('2_Emissions Factors'!$T$7:$T$17,MATCH('3_Bid Evaluation'!$C25,'2_Emissions Factors'!$B$7:$B$17,0))</f>
        <v>0.3602449940387847</v>
      </c>
      <c r="S25" s="15">
        <f>INDEX('2_Emissions Factors'!$U$7:$U$17,MATCH('3_Bid Evaluation'!$C25,'2_Emissions Factors'!$B$7:$B$17,0))</f>
        <v>0.28268706789337356</v>
      </c>
      <c r="T25" s="15">
        <f>INDEX('2_Emissions Factors'!$V$7:$V$17,MATCH('3_Bid Evaluation'!$C25,'2_Emissions Factors'!$B$7:$B$17,0))</f>
        <v>0.13836520133286948</v>
      </c>
      <c r="U25" s="101" t="s">
        <v>25</v>
      </c>
    </row>
    <row r="26" spans="2:21" s="87" customFormat="1" ht="15">
      <c r="B26" s="14"/>
      <c r="C26" s="9" t="str">
        <f t="shared" si="5"/>
        <v>IN</v>
      </c>
      <c r="D26" s="4"/>
      <c r="E26" s="5"/>
      <c r="F26" s="88">
        <f>INDEX('2_Emissions Factors'!$C$7:$C$17,MATCH('3_Bid Evaluation'!$C26,'2_Emissions Factors'!$B$7:$B$17,0))</f>
        <v>0.222</v>
      </c>
      <c r="G26" s="88">
        <f>INDEX('2_Emissions Factors'!$B$45:$N$56,MATCH($C26,'2_Emissions Factors'!$B$45:$B$56,0),MATCH($C$17,'2_Emissions Factors'!$B$45:$N$45,0))</f>
        <v>0.09119941079386285</v>
      </c>
      <c r="H26" s="88">
        <f>'3_Bid Evaluation'!$F26*'3_Bid Evaluation'!$G26</f>
        <v>0.02024626919623755</v>
      </c>
      <c r="I26" s="88">
        <f>INDEX('2_Emissions Factors'!$B$5:$R$17,MATCH('3_Bid Evaluation'!$C26,'2_Emissions Factors'!$B$5:$B$17,0),MATCH($C$17,'2_Emissions Factors'!$B$6:$Q$6,0))</f>
        <v>0.00930407996692302</v>
      </c>
      <c r="J26" s="16">
        <f>'2_Emissions Factors'!$D$4</f>
        <v>25</v>
      </c>
      <c r="K26" s="5">
        <f>P26*'3_Bid Evaluation'!$H26*$J26</f>
        <v>0.7705577805373965</v>
      </c>
      <c r="L26" s="5">
        <f t="shared" si="6"/>
        <v>0.20957238731151637</v>
      </c>
      <c r="M26" s="5">
        <f t="shared" si="7"/>
        <v>0.19052651274931603</v>
      </c>
      <c r="N26" s="5">
        <f t="shared" si="8"/>
        <v>0.39811123634448553</v>
      </c>
      <c r="O26" s="5">
        <f>T26*$I26*$J26</f>
        <v>0.302726447039996</v>
      </c>
      <c r="P26" s="15">
        <f>INDEX('2_Emissions Factors'!$R$7:$R$17,MATCH('3_Bid Evaluation'!$C26,'2_Emissions Factors'!$B$7:$B$17,0))</f>
        <v>1.5223699202430687</v>
      </c>
      <c r="Q26" s="15">
        <f>INDEX('2_Emissions Factors'!$S$7:$S$17,MATCH('3_Bid Evaluation'!$C26,'2_Emissions Factors'!$B$7:$B$17,0))</f>
        <v>1.801982683352406</v>
      </c>
      <c r="R26" s="15">
        <f>INDEX('2_Emissions Factors'!$T$7:$T$17,MATCH('3_Bid Evaluation'!$C26,'2_Emissions Factors'!$B$7:$B$17,0))</f>
        <v>1.6382190473569251</v>
      </c>
      <c r="S26" s="15">
        <f>INDEX('2_Emissions Factors'!$U$7:$U$17,MATCH('3_Bid Evaluation'!$C26,'2_Emissions Factors'!$B$7:$B$17,0))</f>
        <v>1.7115555229955575</v>
      </c>
      <c r="T26" s="15">
        <f>INDEX('2_Emissions Factors'!$V$7:$V$17,MATCH('3_Bid Evaluation'!$C26,'2_Emissions Factors'!$B$7:$B$17,0))</f>
        <v>1.3014782680983839</v>
      </c>
      <c r="U26" s="101" t="s">
        <v>27</v>
      </c>
    </row>
    <row r="27" spans="2:21" s="87" customFormat="1" ht="15">
      <c r="B27" s="14"/>
      <c r="C27" s="9" t="str">
        <f t="shared" si="5"/>
        <v>WV</v>
      </c>
      <c r="D27" s="4"/>
      <c r="E27" s="5"/>
      <c r="F27" s="88">
        <f>INDEX('2_Emissions Factors'!$C$7:$C$17,MATCH('3_Bid Evaluation'!$C27,'2_Emissions Factors'!$B$7:$B$17,0))</f>
        <v>0.222</v>
      </c>
      <c r="G27" s="88">
        <f>INDEX('2_Emissions Factors'!$B$45:$N$56,MATCH($C27,'2_Emissions Factors'!$B$45:$B$56,0),MATCH($C$17,'2_Emissions Factors'!$B$45:$N$45,0))</f>
        <v>0.07052417446943818</v>
      </c>
      <c r="H27" s="88">
        <f>'3_Bid Evaluation'!$F27*'3_Bid Evaluation'!$G27</f>
        <v>0.015656366732215276</v>
      </c>
      <c r="I27" s="88">
        <f>INDEX('2_Emissions Factors'!$B$5:$R$17,MATCH('3_Bid Evaluation'!$C27,'2_Emissions Factors'!$B$5:$B$17,0),MATCH($C$17,'2_Emissions Factors'!$B$6:$Q$6,0))</f>
        <v>0.004554199087608245</v>
      </c>
      <c r="J27" s="16">
        <f>'2_Emissions Factors'!$D$4</f>
        <v>25</v>
      </c>
      <c r="K27" s="5">
        <f>P27*'3_Bid Evaluation'!$H27*$J27</f>
        <v>0.6374038100493037</v>
      </c>
      <c r="L27" s="5">
        <f t="shared" si="6"/>
        <v>0.11058515757378955</v>
      </c>
      <c r="M27" s="5">
        <f t="shared" si="7"/>
        <v>0.10219522026632402</v>
      </c>
      <c r="N27" s="5">
        <f t="shared" si="8"/>
        <v>0.17305391302720144</v>
      </c>
      <c r="O27" s="5">
        <f t="shared" si="9"/>
        <v>0.12116837051512677</v>
      </c>
      <c r="P27" s="15">
        <f>INDEX('2_Emissions Factors'!$R$7:$R$17,MATCH('3_Bid Evaluation'!$C27,'2_Emissions Factors'!$B$7:$B$17,0))</f>
        <v>1.6284846183061148</v>
      </c>
      <c r="Q27" s="15">
        <f>INDEX('2_Emissions Factors'!$S$7:$S$17,MATCH('3_Bid Evaluation'!$C27,'2_Emissions Factors'!$B$7:$B$17,0))</f>
        <v>1.9425616745598389</v>
      </c>
      <c r="R27" s="15">
        <f>INDEX('2_Emissions Factors'!$T$7:$T$17,MATCH('3_Bid Evaluation'!$C27,'2_Emissions Factors'!$B$7:$B$17,0))</f>
        <v>1.7951823062701364</v>
      </c>
      <c r="S27" s="15">
        <f>INDEX('2_Emissions Factors'!$U$7:$U$17,MATCH('3_Bid Evaluation'!$C27,'2_Emissions Factors'!$B$7:$B$17,0))</f>
        <v>1.51995035524971</v>
      </c>
      <c r="T27" s="15">
        <f>INDEX('2_Emissions Factors'!$V$7:$V$17,MATCH('3_Bid Evaluation'!$C27,'2_Emissions Factors'!$B$7:$B$17,0))</f>
        <v>1.0642342873838786</v>
      </c>
      <c r="U27" s="101" t="s">
        <v>26</v>
      </c>
    </row>
    <row r="28" spans="2:21" ht="15">
      <c r="B28" s="73"/>
      <c r="C28" s="9"/>
      <c r="D28" s="76"/>
      <c r="E28" s="81"/>
      <c r="F28" s="77"/>
      <c r="G28" s="77"/>
      <c r="H28" s="77"/>
      <c r="I28" s="79"/>
      <c r="J28" s="80"/>
      <c r="K28" s="81">
        <f>SUM(K17:K27)</f>
        <v>5.616081088879694</v>
      </c>
      <c r="L28" s="81">
        <f>SUM(L17:L27)</f>
        <v>1.5809488418863682</v>
      </c>
      <c r="M28" s="81">
        <f>SUM(M17:M27)</f>
        <v>1.6299040325189182</v>
      </c>
      <c r="N28" s="81">
        <f>SUM(N17:N27)</f>
        <v>3.3447027018651614</v>
      </c>
      <c r="O28" s="81">
        <f>SUM(O17:O27)</f>
        <v>3.974721774648967</v>
      </c>
      <c r="P28" s="78"/>
      <c r="Q28" s="78"/>
      <c r="R28" s="78"/>
      <c r="S28" s="78"/>
      <c r="T28" s="78"/>
      <c r="U28" s="102"/>
    </row>
    <row r="29" spans="2:20" s="1" customFormat="1" ht="15">
      <c r="B29" s="8"/>
      <c r="C29" s="8"/>
      <c r="D29" s="13"/>
      <c r="E29" s="13"/>
      <c r="F29" s="13"/>
      <c r="G29" s="10"/>
      <c r="H29" s="10"/>
      <c r="I29" s="13"/>
      <c r="J29" s="13"/>
      <c r="K29" s="11"/>
      <c r="L29" s="11"/>
      <c r="M29" s="11"/>
      <c r="N29" s="11"/>
      <c r="O29" s="11"/>
      <c r="P29" s="10"/>
      <c r="Q29" s="10"/>
      <c r="R29" s="10"/>
      <c r="S29" s="10"/>
      <c r="T29" s="10"/>
    </row>
    <row r="30" spans="2:20" s="1" customFormat="1" ht="15">
      <c r="B30" s="8" t="s">
        <v>33</v>
      </c>
      <c r="C30" s="8"/>
      <c r="D30" s="13"/>
      <c r="E30" s="13"/>
      <c r="F30" s="13"/>
      <c r="G30" s="10"/>
      <c r="H30" s="10"/>
      <c r="I30" s="13"/>
      <c r="J30" s="13"/>
      <c r="K30" s="11"/>
      <c r="L30" s="11"/>
      <c r="M30" s="11"/>
      <c r="N30" s="11"/>
      <c r="O30" s="11"/>
      <c r="P30" s="10"/>
      <c r="Q30" s="10"/>
      <c r="R30" s="10"/>
      <c r="S30" s="10"/>
      <c r="T30" s="10"/>
    </row>
    <row r="31" spans="2:20" s="1" customFormat="1" ht="15">
      <c r="B31" s="8"/>
      <c r="C31" s="8"/>
      <c r="D31" s="13"/>
      <c r="E31" s="13"/>
      <c r="F31" s="13"/>
      <c r="G31" s="10"/>
      <c r="H31" s="10"/>
      <c r="I31" s="13"/>
      <c r="J31" s="13"/>
      <c r="K31" s="11"/>
      <c r="L31" s="11"/>
      <c r="M31" s="11"/>
      <c r="N31" s="11"/>
      <c r="O31" s="11"/>
      <c r="P31" s="10"/>
      <c r="Q31" s="10"/>
      <c r="R31" s="10"/>
      <c r="S31" s="10"/>
      <c r="T31" s="10"/>
    </row>
    <row r="32" spans="2:20" s="1" customFormat="1" ht="15">
      <c r="B32" s="8"/>
      <c r="C32" s="8"/>
      <c r="D32" s="13"/>
      <c r="E32" s="13"/>
      <c r="F32" s="13"/>
      <c r="G32" s="10"/>
      <c r="H32" s="10"/>
      <c r="I32" s="13"/>
      <c r="J32" s="13"/>
      <c r="K32" s="11"/>
      <c r="L32" s="11"/>
      <c r="M32" s="11"/>
      <c r="N32" s="11"/>
      <c r="O32" s="11"/>
      <c r="P32" s="10"/>
      <c r="Q32" s="10"/>
      <c r="R32" s="10"/>
      <c r="S32" s="10"/>
      <c r="T32" s="10"/>
    </row>
    <row r="33" spans="2:20" s="1" customFormat="1" ht="15">
      <c r="B33" s="8"/>
      <c r="C33" s="8"/>
      <c r="D33" s="13"/>
      <c r="E33" s="13"/>
      <c r="F33" s="13"/>
      <c r="G33" s="10"/>
      <c r="H33" s="10"/>
      <c r="I33" s="13"/>
      <c r="J33" s="13"/>
      <c r="K33" s="11"/>
      <c r="L33" s="11"/>
      <c r="M33" s="11"/>
      <c r="N33" s="11"/>
      <c r="O33" s="11"/>
      <c r="P33" s="10"/>
      <c r="Q33" s="10"/>
      <c r="R33" s="10"/>
      <c r="S33" s="10"/>
      <c r="T33" s="10"/>
    </row>
    <row r="34" spans="2:20" s="1" customFormat="1" ht="15">
      <c r="B34" s="8"/>
      <c r="C34" s="8"/>
      <c r="D34" s="13"/>
      <c r="E34" s="13"/>
      <c r="F34" s="13"/>
      <c r="G34" s="10"/>
      <c r="H34" s="10"/>
      <c r="I34" s="13"/>
      <c r="J34" s="13"/>
      <c r="K34" s="11"/>
      <c r="L34" s="11"/>
      <c r="M34" s="11"/>
      <c r="N34" s="11"/>
      <c r="O34" s="11"/>
      <c r="P34" s="10"/>
      <c r="Q34" s="10"/>
      <c r="R34" s="10"/>
      <c r="S34" s="10"/>
      <c r="T34" s="10"/>
    </row>
    <row r="35" spans="2:20" s="1" customFormat="1" ht="15">
      <c r="B35" s="8"/>
      <c r="C35" s="8"/>
      <c r="D35" s="13"/>
      <c r="E35" s="13"/>
      <c r="F35" s="13"/>
      <c r="G35" s="10"/>
      <c r="H35" s="10"/>
      <c r="I35" s="13"/>
      <c r="J35" s="13"/>
      <c r="K35" s="11"/>
      <c r="L35" s="11"/>
      <c r="M35" s="11"/>
      <c r="N35" s="11"/>
      <c r="O35" s="11"/>
      <c r="P35" s="10"/>
      <c r="Q35" s="10"/>
      <c r="R35" s="10"/>
      <c r="S35" s="10"/>
      <c r="T35" s="10"/>
    </row>
    <row r="36" spans="2:20" s="1" customFormat="1" ht="15">
      <c r="B36" s="8"/>
      <c r="C36" s="8"/>
      <c r="D36" s="13"/>
      <c r="E36" s="13"/>
      <c r="F36" s="13"/>
      <c r="G36" s="10"/>
      <c r="H36" s="10"/>
      <c r="I36" s="13"/>
      <c r="J36" s="13"/>
      <c r="K36" s="11"/>
      <c r="L36" s="11"/>
      <c r="M36" s="11"/>
      <c r="N36" s="11"/>
      <c r="O36" s="11"/>
      <c r="P36" s="10"/>
      <c r="Q36" s="10"/>
      <c r="R36" s="10"/>
      <c r="S36" s="10"/>
      <c r="T36" s="10"/>
    </row>
    <row r="37" spans="2:20" s="1" customFormat="1" ht="15">
      <c r="B37" s="8"/>
      <c r="C37" s="8"/>
      <c r="D37" s="13"/>
      <c r="E37" s="13"/>
      <c r="F37" s="13"/>
      <c r="G37" s="10"/>
      <c r="H37" s="10"/>
      <c r="I37" s="13"/>
      <c r="J37" s="13"/>
      <c r="K37" s="11"/>
      <c r="L37" s="11"/>
      <c r="M37" s="11"/>
      <c r="N37" s="11"/>
      <c r="O37" s="11"/>
      <c r="P37" s="10"/>
      <c r="Q37" s="10"/>
      <c r="R37" s="10"/>
      <c r="S37" s="10"/>
      <c r="T37" s="10"/>
    </row>
    <row r="38" spans="2:20" s="1" customFormat="1" ht="15">
      <c r="B38" s="8"/>
      <c r="C38" s="8"/>
      <c r="D38" s="13"/>
      <c r="E38" s="13"/>
      <c r="F38" s="13"/>
      <c r="G38" s="10"/>
      <c r="H38" s="10"/>
      <c r="I38" s="13"/>
      <c r="J38" s="13"/>
      <c r="K38" s="11"/>
      <c r="L38" s="11"/>
      <c r="M38" s="11"/>
      <c r="N38" s="11"/>
      <c r="O38" s="11"/>
      <c r="P38" s="10"/>
      <c r="Q38" s="10"/>
      <c r="R38" s="10"/>
      <c r="S38" s="10"/>
      <c r="T38" s="10"/>
    </row>
    <row r="39" spans="2:20" s="1" customFormat="1" ht="15">
      <c r="B39" s="8"/>
      <c r="C39" s="8"/>
      <c r="D39" s="13"/>
      <c r="E39" s="13"/>
      <c r="F39" s="13"/>
      <c r="G39" s="10"/>
      <c r="H39" s="10"/>
      <c r="I39" s="13"/>
      <c r="J39" s="13"/>
      <c r="K39" s="11"/>
      <c r="L39" s="11"/>
      <c r="M39" s="11"/>
      <c r="N39" s="11"/>
      <c r="O39" s="11"/>
      <c r="P39" s="10"/>
      <c r="Q39" s="10"/>
      <c r="R39" s="10"/>
      <c r="S39" s="10"/>
      <c r="T39" s="10"/>
    </row>
    <row r="40" spans="2:20" s="1" customFormat="1" ht="15">
      <c r="B40" s="8"/>
      <c r="C40" s="8"/>
      <c r="D40" s="13"/>
      <c r="E40" s="13"/>
      <c r="F40" s="13"/>
      <c r="G40" s="10"/>
      <c r="H40" s="10"/>
      <c r="I40" s="13"/>
      <c r="J40" s="13"/>
      <c r="K40" s="11"/>
      <c r="L40" s="11"/>
      <c r="M40" s="11"/>
      <c r="N40" s="11"/>
      <c r="O40" s="11"/>
      <c r="P40" s="10"/>
      <c r="Q40" s="10"/>
      <c r="R40" s="10"/>
      <c r="S40" s="10"/>
      <c r="T40" s="10"/>
    </row>
    <row r="41" spans="2:20" s="1" customFormat="1" ht="15">
      <c r="B41" s="8"/>
      <c r="C41" s="8"/>
      <c r="D41" s="13"/>
      <c r="E41" s="13"/>
      <c r="F41" s="13"/>
      <c r="G41" s="10"/>
      <c r="H41" s="10"/>
      <c r="I41" s="13"/>
      <c r="J41" s="13"/>
      <c r="K41" s="11"/>
      <c r="L41" s="11"/>
      <c r="M41" s="11"/>
      <c r="N41" s="11"/>
      <c r="O41" s="11"/>
      <c r="P41" s="10"/>
      <c r="Q41" s="10"/>
      <c r="R41" s="10"/>
      <c r="S41" s="10"/>
      <c r="T41" s="10"/>
    </row>
    <row r="42" spans="2:20" ht="15">
      <c r="B42" s="8"/>
      <c r="C42" s="8"/>
      <c r="D42" s="13"/>
      <c r="E42" s="13"/>
      <c r="F42" s="13"/>
      <c r="G42" s="10"/>
      <c r="H42" s="10"/>
      <c r="I42" s="71"/>
      <c r="J42" s="8"/>
      <c r="K42" s="11"/>
      <c r="L42" s="11"/>
      <c r="M42" s="11"/>
      <c r="N42" s="11"/>
      <c r="O42" s="11"/>
      <c r="P42" s="10"/>
      <c r="Q42" s="10"/>
      <c r="R42" s="10"/>
      <c r="S42" s="10"/>
      <c r="T42" s="10"/>
    </row>
    <row r="43" spans="2:20" ht="15">
      <c r="B43" s="8"/>
      <c r="C43" s="8"/>
      <c r="D43" s="13"/>
      <c r="E43" s="13"/>
      <c r="F43" s="13"/>
      <c r="G43" s="10"/>
      <c r="H43" s="10"/>
      <c r="I43" s="71"/>
      <c r="J43" s="8"/>
      <c r="K43" s="11"/>
      <c r="L43" s="11"/>
      <c r="M43" s="11"/>
      <c r="N43" s="11"/>
      <c r="O43" s="11"/>
      <c r="P43" s="10"/>
      <c r="Q43" s="10"/>
      <c r="R43" s="10"/>
      <c r="S43" s="10"/>
      <c r="T43" s="10"/>
    </row>
    <row r="44" spans="2:20" ht="15">
      <c r="B44" s="8"/>
      <c r="C44" s="8"/>
      <c r="D44" s="13"/>
      <c r="E44" s="13"/>
      <c r="F44" s="13"/>
      <c r="G44" s="10"/>
      <c r="H44" s="10"/>
      <c r="I44" s="71"/>
      <c r="J44" s="8"/>
      <c r="K44" s="11"/>
      <c r="L44" s="11"/>
      <c r="M44" s="11"/>
      <c r="N44" s="11"/>
      <c r="O44" s="11"/>
      <c r="P44" s="10"/>
      <c r="Q44" s="10"/>
      <c r="R44" s="10"/>
      <c r="S44" s="10"/>
      <c r="T44" s="10"/>
    </row>
    <row r="45" spans="2:20" ht="15">
      <c r="B45" s="8"/>
      <c r="C45" s="8"/>
      <c r="D45" s="13"/>
      <c r="E45" s="13"/>
      <c r="F45" s="13"/>
      <c r="G45" s="10"/>
      <c r="H45" s="10"/>
      <c r="I45" s="71"/>
      <c r="J45" s="8"/>
      <c r="K45" s="11"/>
      <c r="L45" s="11"/>
      <c r="M45" s="11"/>
      <c r="N45" s="11"/>
      <c r="O45" s="11"/>
      <c r="P45" s="10"/>
      <c r="Q45" s="10"/>
      <c r="R45" s="10"/>
      <c r="S45" s="10"/>
      <c r="T45" s="10"/>
    </row>
    <row r="46" spans="2:20" ht="15">
      <c r="B46" s="8"/>
      <c r="C46" s="8"/>
      <c r="D46" s="13"/>
      <c r="E46" s="13"/>
      <c r="F46" s="13"/>
      <c r="G46" s="10"/>
      <c r="H46" s="10"/>
      <c r="I46" s="71"/>
      <c r="J46" s="8"/>
      <c r="K46" s="11"/>
      <c r="L46" s="11"/>
      <c r="M46" s="11"/>
      <c r="N46" s="11"/>
      <c r="O46" s="11"/>
      <c r="P46" s="10"/>
      <c r="Q46" s="10"/>
      <c r="R46" s="10"/>
      <c r="S46" s="10"/>
      <c r="T46" s="10"/>
    </row>
    <row r="47" spans="2:20" ht="15">
      <c r="B47" s="8"/>
      <c r="C47" s="8"/>
      <c r="D47" s="13"/>
      <c r="E47" s="13"/>
      <c r="F47" s="13"/>
      <c r="G47" s="10"/>
      <c r="H47" s="10"/>
      <c r="I47" s="71"/>
      <c r="J47" s="8"/>
      <c r="K47" s="11"/>
      <c r="L47" s="11"/>
      <c r="M47" s="11"/>
      <c r="N47" s="11"/>
      <c r="O47" s="11"/>
      <c r="P47" s="10"/>
      <c r="Q47" s="10"/>
      <c r="R47" s="10"/>
      <c r="S47" s="10"/>
      <c r="T47" s="10"/>
    </row>
    <row r="48" spans="2:20" ht="15">
      <c r="B48" s="8"/>
      <c r="C48" s="8"/>
      <c r="D48" s="13"/>
      <c r="E48" s="13"/>
      <c r="F48" s="13"/>
      <c r="G48" s="10"/>
      <c r="H48" s="10"/>
      <c r="I48" s="71"/>
      <c r="J48" s="8"/>
      <c r="K48" s="11"/>
      <c r="L48" s="11"/>
      <c r="M48" s="11"/>
      <c r="N48" s="11"/>
      <c r="O48" s="11"/>
      <c r="P48" s="10"/>
      <c r="Q48" s="10"/>
      <c r="R48" s="10"/>
      <c r="S48" s="10"/>
      <c r="T48" s="10"/>
    </row>
    <row r="49" spans="2:20" ht="15">
      <c r="B49" s="8"/>
      <c r="C49" s="8"/>
      <c r="D49" s="13"/>
      <c r="E49" s="13"/>
      <c r="F49" s="13"/>
      <c r="G49" s="10"/>
      <c r="H49" s="10"/>
      <c r="I49" s="71"/>
      <c r="J49" s="8"/>
      <c r="K49" s="11"/>
      <c r="L49" s="11"/>
      <c r="M49" s="11"/>
      <c r="N49" s="11"/>
      <c r="O49" s="11"/>
      <c r="P49" s="10"/>
      <c r="Q49" s="10"/>
      <c r="R49" s="10"/>
      <c r="S49" s="10"/>
      <c r="T49" s="10"/>
    </row>
    <row r="50" spans="2:20" ht="15">
      <c r="B50" s="8"/>
      <c r="C50" s="8"/>
      <c r="D50" s="13"/>
      <c r="E50" s="13"/>
      <c r="F50" s="13"/>
      <c r="G50" s="10"/>
      <c r="H50" s="10"/>
      <c r="I50" s="71"/>
      <c r="J50" s="8"/>
      <c r="K50" s="11"/>
      <c r="L50" s="11"/>
      <c r="M50" s="11"/>
      <c r="N50" s="11"/>
      <c r="O50" s="11"/>
      <c r="P50" s="10"/>
      <c r="Q50" s="10"/>
      <c r="R50" s="10"/>
      <c r="S50" s="10"/>
      <c r="T50" s="10"/>
    </row>
    <row r="51" spans="2:20" ht="15">
      <c r="B51" s="8"/>
      <c r="C51" s="8"/>
      <c r="D51" s="13"/>
      <c r="E51" s="13"/>
      <c r="F51" s="13"/>
      <c r="G51" s="10"/>
      <c r="H51" s="10"/>
      <c r="I51" s="71"/>
      <c r="J51" s="8"/>
      <c r="K51" s="11"/>
      <c r="L51" s="11"/>
      <c r="M51" s="11"/>
      <c r="N51" s="11"/>
      <c r="O51" s="11"/>
      <c r="P51" s="10"/>
      <c r="Q51" s="10"/>
      <c r="R51" s="10"/>
      <c r="S51" s="10"/>
      <c r="T51" s="10"/>
    </row>
    <row r="52" spans="2:20" ht="15">
      <c r="B52" s="8"/>
      <c r="C52" s="8"/>
      <c r="D52" s="13"/>
      <c r="E52" s="13"/>
      <c r="F52" s="13"/>
      <c r="G52" s="10"/>
      <c r="H52" s="10"/>
      <c r="I52" s="71"/>
      <c r="J52" s="8"/>
      <c r="K52" s="11"/>
      <c r="L52" s="11"/>
      <c r="M52" s="11"/>
      <c r="N52" s="11"/>
      <c r="O52" s="11"/>
      <c r="P52" s="10"/>
      <c r="Q52" s="10"/>
      <c r="R52" s="10"/>
      <c r="S52" s="10"/>
      <c r="T52" s="10"/>
    </row>
    <row r="53" spans="2:20" ht="15">
      <c r="B53" s="8"/>
      <c r="C53" s="8"/>
      <c r="D53" s="13"/>
      <c r="E53" s="13"/>
      <c r="F53" s="13"/>
      <c r="G53" s="10"/>
      <c r="H53" s="10"/>
      <c r="I53" s="71"/>
      <c r="J53" s="8"/>
      <c r="K53" s="11"/>
      <c r="L53" s="11"/>
      <c r="M53" s="11"/>
      <c r="N53" s="11"/>
      <c r="O53" s="11"/>
      <c r="P53" s="10"/>
      <c r="Q53" s="10"/>
      <c r="R53" s="10"/>
      <c r="S53" s="10"/>
      <c r="T53" s="10"/>
    </row>
    <row r="54" spans="2:20" ht="15">
      <c r="B54" s="3"/>
      <c r="C54" s="3"/>
      <c r="D54" s="12"/>
      <c r="E54" s="12"/>
      <c r="F54" s="12"/>
      <c r="G54" s="6"/>
      <c r="H54" s="6"/>
      <c r="I54" s="72"/>
      <c r="J54" s="3"/>
      <c r="K54" s="7"/>
      <c r="L54" s="7"/>
      <c r="M54" s="7"/>
      <c r="N54" s="7"/>
      <c r="O54" s="7"/>
      <c r="P54" s="6"/>
      <c r="Q54" s="6"/>
      <c r="R54" s="6"/>
      <c r="S54" s="6"/>
      <c r="T54" s="6"/>
    </row>
    <row r="55" spans="2:20" ht="15">
      <c r="B55" s="3"/>
      <c r="C55" s="3"/>
      <c r="D55" s="12"/>
      <c r="E55" s="12"/>
      <c r="F55" s="12"/>
      <c r="G55" s="6"/>
      <c r="H55" s="6"/>
      <c r="I55" s="72"/>
      <c r="J55" s="3"/>
      <c r="K55" s="7"/>
      <c r="L55" s="7"/>
      <c r="M55" s="7"/>
      <c r="N55" s="7"/>
      <c r="O55" s="7"/>
      <c r="P55" s="6"/>
      <c r="Q55" s="6"/>
      <c r="R55" s="6"/>
      <c r="S55" s="6"/>
      <c r="T55" s="6"/>
    </row>
    <row r="56" spans="2:20" ht="15">
      <c r="B56" s="3"/>
      <c r="C56" s="3"/>
      <c r="D56" s="12"/>
      <c r="E56" s="12"/>
      <c r="F56" s="12"/>
      <c r="G56" s="6"/>
      <c r="H56" s="6"/>
      <c r="I56" s="72"/>
      <c r="J56" s="3"/>
      <c r="K56" s="7"/>
      <c r="L56" s="7"/>
      <c r="M56" s="7"/>
      <c r="N56" s="7"/>
      <c r="O56" s="7"/>
      <c r="P56" s="6"/>
      <c r="Q56" s="6"/>
      <c r="R56" s="6"/>
      <c r="S56" s="6"/>
      <c r="T56" s="6"/>
    </row>
    <row r="57" spans="2:20" ht="15">
      <c r="B57" s="3"/>
      <c r="C57" s="3"/>
      <c r="D57" s="12"/>
      <c r="E57" s="12"/>
      <c r="F57" s="12"/>
      <c r="G57" s="6"/>
      <c r="H57" s="6"/>
      <c r="I57" s="72"/>
      <c r="J57" s="3"/>
      <c r="K57" s="7"/>
      <c r="L57" s="7"/>
      <c r="M57" s="7"/>
      <c r="N57" s="7"/>
      <c r="O57" s="7"/>
      <c r="P57" s="6"/>
      <c r="Q57" s="6"/>
      <c r="R57" s="6"/>
      <c r="S57" s="6"/>
      <c r="T57" s="6"/>
    </row>
    <row r="58" spans="2:20" ht="15">
      <c r="B58" s="3"/>
      <c r="C58" s="3"/>
      <c r="D58" s="12"/>
      <c r="E58" s="12"/>
      <c r="F58" s="12"/>
      <c r="G58" s="6"/>
      <c r="H58" s="6"/>
      <c r="I58" s="72"/>
      <c r="J58" s="3"/>
      <c r="K58" s="7"/>
      <c r="L58" s="7"/>
      <c r="M58" s="7"/>
      <c r="N58" s="7"/>
      <c r="O58" s="7"/>
      <c r="P58" s="6"/>
      <c r="Q58" s="6"/>
      <c r="R58" s="6"/>
      <c r="S58" s="6"/>
      <c r="T58" s="6"/>
    </row>
    <row r="59" spans="2:20" ht="15">
      <c r="B59" s="3"/>
      <c r="C59" s="3"/>
      <c r="D59" s="12"/>
      <c r="E59" s="12"/>
      <c r="F59" s="12"/>
      <c r="G59" s="6"/>
      <c r="H59" s="6"/>
      <c r="I59" s="72"/>
      <c r="J59" s="3"/>
      <c r="K59" s="7"/>
      <c r="L59" s="7"/>
      <c r="M59" s="7"/>
      <c r="N59" s="7"/>
      <c r="O59" s="7"/>
      <c r="P59" s="6"/>
      <c r="Q59" s="6"/>
      <c r="R59" s="6"/>
      <c r="S59" s="6"/>
      <c r="T59" s="6"/>
    </row>
  </sheetData>
  <sheetProtection/>
  <printOptions/>
  <pageMargins left="0.7" right="0.7" top="0.75" bottom="0.75" header="0.3" footer="0.3"/>
  <pageSetup fitToHeight="1" fitToWidth="1" horizontalDpi="600" verticalDpi="600" orientation="landscape" scale="67"/>
  <ignoredErrors>
    <ignoredError sqref="K16:O16" formula="1"/>
  </ignoredErrors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2"/>
  <sheetViews>
    <sheetView showGridLines="0" tabSelected="1" zoomScale="80" zoomScaleNormal="80" zoomScalePageLayoutView="90" workbookViewId="0" topLeftCell="A19">
      <selection activeCell="F29" sqref="F29"/>
    </sheetView>
  </sheetViews>
  <sheetFormatPr defaultColWidth="12.421875" defaultRowHeight="15"/>
  <cols>
    <col min="1" max="1" width="3.7109375" style="87" customWidth="1"/>
    <col min="2" max="2" width="16.7109375" style="87" customWidth="1"/>
    <col min="3" max="3" width="54.421875" style="116" bestFit="1" customWidth="1"/>
    <col min="4" max="4" width="40.7109375" style="87" bestFit="1" customWidth="1"/>
    <col min="5" max="5" width="40.7109375" style="87" customWidth="1"/>
    <col min="6" max="6" width="12.421875" style="87" customWidth="1"/>
    <col min="7" max="7" width="36.140625" style="87" bestFit="1" customWidth="1"/>
    <col min="8" max="16384" width="12.421875" style="87" customWidth="1"/>
  </cols>
  <sheetData>
    <row r="1" ht="23.25">
      <c r="B1" s="115" t="s">
        <v>88</v>
      </c>
    </row>
    <row r="2" ht="21">
      <c r="B2" s="117"/>
    </row>
    <row r="3" spans="2:5" ht="27.75" customHeight="1" thickBot="1">
      <c r="B3" s="118" t="s">
        <v>89</v>
      </c>
      <c r="C3" s="119" t="s">
        <v>90</v>
      </c>
      <c r="D3" s="118" t="s">
        <v>91</v>
      </c>
      <c r="E3" s="118" t="s">
        <v>92</v>
      </c>
    </row>
    <row r="4" spans="2:5" ht="15">
      <c r="B4" s="3" t="s">
        <v>93</v>
      </c>
      <c r="C4" s="150" t="s">
        <v>270</v>
      </c>
      <c r="D4" s="3"/>
      <c r="E4" s="87" t="s">
        <v>264</v>
      </c>
    </row>
    <row r="5" spans="2:5" ht="15">
      <c r="B5" s="3" t="s">
        <v>94</v>
      </c>
      <c r="C5" s="121" t="s">
        <v>279</v>
      </c>
      <c r="D5" s="3"/>
      <c r="E5" s="87" t="s">
        <v>283</v>
      </c>
    </row>
    <row r="6" spans="2:5" ht="15">
      <c r="B6" s="3" t="s">
        <v>95</v>
      </c>
      <c r="C6" s="121" t="s">
        <v>280</v>
      </c>
      <c r="D6" s="3"/>
      <c r="E6" s="87" t="s">
        <v>283</v>
      </c>
    </row>
    <row r="7" spans="2:5" s="22" customFormat="1" ht="15">
      <c r="B7" s="151" t="s">
        <v>96</v>
      </c>
      <c r="C7" s="152" t="s">
        <v>98</v>
      </c>
      <c r="D7" s="151"/>
      <c r="E7" s="22" t="s">
        <v>283</v>
      </c>
    </row>
    <row r="8" spans="2:5" ht="15">
      <c r="B8" s="3" t="s">
        <v>97</v>
      </c>
      <c r="C8" s="121" t="s">
        <v>262</v>
      </c>
      <c r="D8" s="3"/>
      <c r="E8" s="87" t="s">
        <v>283</v>
      </c>
    </row>
    <row r="9" spans="2:5" ht="45">
      <c r="B9" s="3" t="s">
        <v>99</v>
      </c>
      <c r="C9" s="122" t="s">
        <v>284</v>
      </c>
      <c r="D9" s="3"/>
      <c r="E9" s="87" t="s">
        <v>283</v>
      </c>
    </row>
    <row r="10" spans="2:5" ht="15">
      <c r="B10" s="3" t="s">
        <v>100</v>
      </c>
      <c r="C10" s="120" t="s">
        <v>101</v>
      </c>
      <c r="D10" s="3"/>
      <c r="E10" s="87" t="s">
        <v>265</v>
      </c>
    </row>
    <row r="11" spans="2:5" ht="18.75">
      <c r="B11" s="3" t="s">
        <v>102</v>
      </c>
      <c r="C11" s="120" t="s">
        <v>103</v>
      </c>
      <c r="D11" s="3"/>
      <c r="E11" s="116" t="s">
        <v>266</v>
      </c>
    </row>
    <row r="12" spans="2:4" ht="15">
      <c r="B12" s="3" t="s">
        <v>104</v>
      </c>
      <c r="C12" s="120" t="s">
        <v>105</v>
      </c>
      <c r="D12" s="3"/>
    </row>
    <row r="13" spans="2:4" ht="15">
      <c r="B13" s="3" t="s">
        <v>106</v>
      </c>
      <c r="C13" s="120" t="s">
        <v>107</v>
      </c>
      <c r="D13" s="121"/>
    </row>
    <row r="14" spans="2:4" ht="15">
      <c r="B14" s="3" t="s">
        <v>108</v>
      </c>
      <c r="C14" s="120" t="s">
        <v>109</v>
      </c>
      <c r="D14" s="121" t="s">
        <v>110</v>
      </c>
    </row>
    <row r="15" spans="2:4" ht="15">
      <c r="B15" s="3" t="s">
        <v>111</v>
      </c>
      <c r="C15" s="120" t="s">
        <v>112</v>
      </c>
      <c r="D15" s="121" t="s">
        <v>113</v>
      </c>
    </row>
    <row r="16" spans="2:5" ht="18.75">
      <c r="B16" s="3" t="s">
        <v>114</v>
      </c>
      <c r="C16" s="120" t="s">
        <v>115</v>
      </c>
      <c r="D16" s="3" t="s">
        <v>116</v>
      </c>
      <c r="E16" s="149"/>
    </row>
    <row r="17" spans="2:4" ht="18.75">
      <c r="B17" s="3" t="s">
        <v>117</v>
      </c>
      <c r="C17" s="120" t="s">
        <v>118</v>
      </c>
      <c r="D17" s="3" t="s">
        <v>119</v>
      </c>
    </row>
    <row r="18" spans="2:4" ht="18.75">
      <c r="B18" s="3" t="s">
        <v>120</v>
      </c>
      <c r="C18" s="120" t="s">
        <v>121</v>
      </c>
      <c r="D18" s="3" t="s">
        <v>122</v>
      </c>
    </row>
    <row r="19" spans="2:4" ht="18.75">
      <c r="B19" s="3" t="s">
        <v>123</v>
      </c>
      <c r="C19" s="120" t="s">
        <v>124</v>
      </c>
      <c r="D19" s="3" t="s">
        <v>125</v>
      </c>
    </row>
    <row r="20" spans="2:4" ht="18.75">
      <c r="B20" s="3" t="s">
        <v>126</v>
      </c>
      <c r="C20" s="120" t="s">
        <v>127</v>
      </c>
      <c r="D20" s="3" t="s">
        <v>128</v>
      </c>
    </row>
    <row r="21" spans="2:5" ht="18.75">
      <c r="B21" s="3" t="s">
        <v>129</v>
      </c>
      <c r="C21" s="120" t="s">
        <v>130</v>
      </c>
      <c r="D21" s="3" t="s">
        <v>131</v>
      </c>
      <c r="E21" s="87" t="s">
        <v>132</v>
      </c>
    </row>
    <row r="22" spans="2:5" ht="18.75">
      <c r="B22" s="3" t="s">
        <v>133</v>
      </c>
      <c r="C22" s="120" t="s">
        <v>134</v>
      </c>
      <c r="D22" s="3" t="s">
        <v>135</v>
      </c>
      <c r="E22" s="87" t="s">
        <v>132</v>
      </c>
    </row>
    <row r="23" spans="2:5" ht="18.75">
      <c r="B23" s="3" t="s">
        <v>136</v>
      </c>
      <c r="C23" s="120" t="s">
        <v>137</v>
      </c>
      <c r="D23" s="3" t="s">
        <v>138</v>
      </c>
      <c r="E23" s="87" t="s">
        <v>132</v>
      </c>
    </row>
    <row r="24" spans="2:5" ht="18.75">
      <c r="B24" s="3" t="s">
        <v>139</v>
      </c>
      <c r="C24" s="120" t="s">
        <v>140</v>
      </c>
      <c r="D24" s="3" t="s">
        <v>141</v>
      </c>
      <c r="E24" s="87" t="s">
        <v>132</v>
      </c>
    </row>
    <row r="25" spans="2:5" ht="18.75">
      <c r="B25" s="3" t="s">
        <v>142</v>
      </c>
      <c r="C25" s="120" t="s">
        <v>143</v>
      </c>
      <c r="D25" s="3" t="s">
        <v>144</v>
      </c>
      <c r="E25" s="87" t="s">
        <v>132</v>
      </c>
    </row>
    <row r="26" spans="2:5" ht="18">
      <c r="B26" s="3" t="s">
        <v>145</v>
      </c>
      <c r="C26" s="120" t="s">
        <v>286</v>
      </c>
      <c r="D26" s="3"/>
      <c r="E26" s="87" t="s">
        <v>267</v>
      </c>
    </row>
    <row r="27" spans="2:5" ht="18">
      <c r="B27" s="3" t="s">
        <v>146</v>
      </c>
      <c r="C27" s="120" t="s">
        <v>147</v>
      </c>
      <c r="D27" s="3" t="s">
        <v>148</v>
      </c>
      <c r="E27" s="87" t="s">
        <v>268</v>
      </c>
    </row>
    <row r="28" spans="2:5" ht="18">
      <c r="B28" s="3" t="s">
        <v>149</v>
      </c>
      <c r="C28" s="120" t="s">
        <v>150</v>
      </c>
      <c r="D28" s="3" t="s">
        <v>151</v>
      </c>
      <c r="E28" s="87" t="s">
        <v>268</v>
      </c>
    </row>
    <row r="29" spans="2:5" ht="18">
      <c r="B29" s="3" t="s">
        <v>152</v>
      </c>
      <c r="C29" s="120" t="s">
        <v>153</v>
      </c>
      <c r="D29" s="3" t="s">
        <v>154</v>
      </c>
      <c r="E29" s="87" t="s">
        <v>268</v>
      </c>
    </row>
    <row r="30" spans="2:5" ht="18">
      <c r="B30" s="3" t="s">
        <v>155</v>
      </c>
      <c r="C30" s="120" t="s">
        <v>156</v>
      </c>
      <c r="D30" s="3" t="s">
        <v>157</v>
      </c>
      <c r="E30" s="87" t="s">
        <v>268</v>
      </c>
    </row>
    <row r="31" spans="2:5" ht="18">
      <c r="B31" s="3" t="s">
        <v>158</v>
      </c>
      <c r="C31" s="120" t="s">
        <v>159</v>
      </c>
      <c r="D31" s="3" t="s">
        <v>160</v>
      </c>
      <c r="E31" s="87" t="s">
        <v>268</v>
      </c>
    </row>
    <row r="32" spans="2:5" ht="18">
      <c r="B32" s="3" t="s">
        <v>161</v>
      </c>
      <c r="C32" s="120" t="s">
        <v>162</v>
      </c>
      <c r="D32" s="3" t="s">
        <v>163</v>
      </c>
      <c r="E32" s="87" t="s">
        <v>268</v>
      </c>
    </row>
    <row r="33" spans="2:5" ht="18">
      <c r="B33" s="3" t="s">
        <v>164</v>
      </c>
      <c r="C33" s="120" t="s">
        <v>165</v>
      </c>
      <c r="D33" s="3" t="s">
        <v>166</v>
      </c>
      <c r="E33" s="87" t="s">
        <v>268</v>
      </c>
    </row>
    <row r="34" spans="2:5" ht="18">
      <c r="B34" s="3" t="s">
        <v>167</v>
      </c>
      <c r="C34" s="120" t="s">
        <v>168</v>
      </c>
      <c r="D34" s="3" t="s">
        <v>169</v>
      </c>
      <c r="E34" s="87" t="s">
        <v>268</v>
      </c>
    </row>
    <row r="35" spans="2:5" ht="18">
      <c r="B35" s="3" t="s">
        <v>170</v>
      </c>
      <c r="C35" s="120" t="s">
        <v>171</v>
      </c>
      <c r="D35" s="3" t="s">
        <v>172</v>
      </c>
      <c r="E35" s="87" t="s">
        <v>268</v>
      </c>
    </row>
    <row r="36" spans="2:5" ht="18">
      <c r="B36" s="3" t="s">
        <v>173</v>
      </c>
      <c r="C36" s="120" t="s">
        <v>174</v>
      </c>
      <c r="D36" s="3" t="s">
        <v>175</v>
      </c>
      <c r="E36" s="87" t="s">
        <v>268</v>
      </c>
    </row>
    <row r="37" spans="2:5" ht="18">
      <c r="B37" s="3" t="s">
        <v>176</v>
      </c>
      <c r="C37" s="120" t="s">
        <v>177</v>
      </c>
      <c r="D37" s="3" t="s">
        <v>178</v>
      </c>
      <c r="E37" s="87" t="s">
        <v>268</v>
      </c>
    </row>
    <row r="38" spans="2:5" ht="18">
      <c r="B38" s="3" t="s">
        <v>179</v>
      </c>
      <c r="C38" s="120" t="s">
        <v>180</v>
      </c>
      <c r="D38" s="3" t="s">
        <v>181</v>
      </c>
      <c r="E38" s="87" t="s">
        <v>268</v>
      </c>
    </row>
    <row r="39" spans="2:5" ht="18">
      <c r="B39" s="3" t="s">
        <v>182</v>
      </c>
      <c r="C39" s="120" t="s">
        <v>183</v>
      </c>
      <c r="D39" s="3"/>
      <c r="E39" s="87" t="s">
        <v>269</v>
      </c>
    </row>
    <row r="40" spans="2:5" ht="18">
      <c r="B40" s="3" t="s">
        <v>184</v>
      </c>
      <c r="C40" s="120" t="s">
        <v>185</v>
      </c>
      <c r="D40" s="3"/>
      <c r="E40" s="87" t="s">
        <v>269</v>
      </c>
    </row>
    <row r="41" spans="2:5" ht="18">
      <c r="B41" s="3" t="s">
        <v>186</v>
      </c>
      <c r="C41" s="120" t="s">
        <v>187</v>
      </c>
      <c r="D41" s="3"/>
      <c r="E41" s="87" t="s">
        <v>269</v>
      </c>
    </row>
    <row r="42" spans="2:5" ht="18">
      <c r="B42" s="3" t="s">
        <v>188</v>
      </c>
      <c r="C42" s="120" t="s">
        <v>189</v>
      </c>
      <c r="D42" s="3"/>
      <c r="E42" s="87" t="s">
        <v>269</v>
      </c>
    </row>
    <row r="43" spans="2:5" ht="18">
      <c r="B43" s="3" t="s">
        <v>190</v>
      </c>
      <c r="C43" s="120" t="s">
        <v>191</v>
      </c>
      <c r="D43" s="3"/>
      <c r="E43" s="87" t="s">
        <v>269</v>
      </c>
    </row>
    <row r="44" spans="2:5" ht="18">
      <c r="B44" s="3" t="s">
        <v>192</v>
      </c>
      <c r="C44" s="120" t="s">
        <v>193</v>
      </c>
      <c r="D44" s="3"/>
      <c r="E44" s="87" t="s">
        <v>269</v>
      </c>
    </row>
    <row r="45" spans="2:5" ht="18">
      <c r="B45" s="3" t="s">
        <v>194</v>
      </c>
      <c r="C45" s="120" t="s">
        <v>195</v>
      </c>
      <c r="D45" s="3"/>
      <c r="E45" s="87" t="s">
        <v>269</v>
      </c>
    </row>
    <row r="46" spans="2:5" ht="18">
      <c r="B46" s="3" t="s">
        <v>196</v>
      </c>
      <c r="C46" s="120" t="s">
        <v>197</v>
      </c>
      <c r="D46" s="3"/>
      <c r="E46" s="87" t="s">
        <v>269</v>
      </c>
    </row>
    <row r="47" spans="2:5" ht="15">
      <c r="B47" s="3" t="s">
        <v>198</v>
      </c>
      <c r="C47" s="124" t="s">
        <v>199</v>
      </c>
      <c r="D47" s="3"/>
      <c r="E47" s="87" t="s">
        <v>267</v>
      </c>
    </row>
    <row r="48" spans="2:5" ht="15">
      <c r="B48" s="3" t="s">
        <v>200</v>
      </c>
      <c r="C48" s="124" t="s">
        <v>201</v>
      </c>
      <c r="D48" s="3"/>
      <c r="E48" s="87" t="s">
        <v>267</v>
      </c>
    </row>
    <row r="49" spans="2:5" ht="15">
      <c r="B49" s="3" t="s">
        <v>202</v>
      </c>
      <c r="C49" s="124" t="s">
        <v>203</v>
      </c>
      <c r="D49" s="3"/>
      <c r="E49" s="87" t="s">
        <v>267</v>
      </c>
    </row>
    <row r="50" spans="2:5" ht="15">
      <c r="B50" s="3" t="s">
        <v>204</v>
      </c>
      <c r="C50" s="124" t="s">
        <v>205</v>
      </c>
      <c r="D50" s="3" t="s">
        <v>206</v>
      </c>
      <c r="E50" s="87" t="s">
        <v>267</v>
      </c>
    </row>
    <row r="51" spans="2:5" ht="15">
      <c r="B51" s="3" t="s">
        <v>207</v>
      </c>
      <c r="C51" s="124" t="s">
        <v>208</v>
      </c>
      <c r="D51" s="3" t="s">
        <v>209</v>
      </c>
      <c r="E51" s="87" t="s">
        <v>267</v>
      </c>
    </row>
    <row r="52" spans="2:4" ht="15">
      <c r="B52" s="3" t="s">
        <v>210</v>
      </c>
      <c r="C52" s="124" t="s">
        <v>257</v>
      </c>
      <c r="D52" s="3" t="s">
        <v>211</v>
      </c>
    </row>
    <row r="53" spans="2:4" ht="15">
      <c r="B53" s="3" t="s">
        <v>212</v>
      </c>
      <c r="C53" s="124" t="s">
        <v>213</v>
      </c>
      <c r="D53" s="3" t="s">
        <v>214</v>
      </c>
    </row>
    <row r="54" spans="2:4" ht="15">
      <c r="B54" s="3" t="s">
        <v>215</v>
      </c>
      <c r="C54" s="124" t="s">
        <v>216</v>
      </c>
      <c r="D54" s="3" t="s">
        <v>274</v>
      </c>
    </row>
    <row r="55" spans="2:4" ht="18.75">
      <c r="B55" s="3" t="s">
        <v>217</v>
      </c>
      <c r="C55" s="120" t="s">
        <v>218</v>
      </c>
      <c r="D55" s="3" t="s">
        <v>260</v>
      </c>
    </row>
    <row r="56" spans="2:5" ht="15">
      <c r="B56" s="123" t="s">
        <v>219</v>
      </c>
      <c r="C56" s="124" t="s">
        <v>220</v>
      </c>
      <c r="D56" s="121" t="s">
        <v>221</v>
      </c>
      <c r="E56" s="149"/>
    </row>
    <row r="57" spans="2:5" ht="15">
      <c r="B57" s="3" t="s">
        <v>222</v>
      </c>
      <c r="C57" s="124" t="s">
        <v>223</v>
      </c>
      <c r="D57" s="120" t="s">
        <v>224</v>
      </c>
      <c r="E57" s="116"/>
    </row>
    <row r="58" spans="2:5" ht="18">
      <c r="B58" s="3" t="s">
        <v>225</v>
      </c>
      <c r="C58" s="120" t="s">
        <v>226</v>
      </c>
      <c r="D58" s="120" t="s">
        <v>227</v>
      </c>
      <c r="E58" s="150"/>
    </row>
    <row r="59" spans="2:5" ht="18">
      <c r="B59" s="3" t="s">
        <v>228</v>
      </c>
      <c r="C59" s="120" t="s">
        <v>229</v>
      </c>
      <c r="D59" s="120" t="s">
        <v>230</v>
      </c>
      <c r="E59" s="150"/>
    </row>
    <row r="60" spans="2:4" ht="18">
      <c r="B60" s="3" t="s">
        <v>231</v>
      </c>
      <c r="C60" s="120" t="s">
        <v>232</v>
      </c>
      <c r="D60" s="120" t="s">
        <v>233</v>
      </c>
    </row>
    <row r="61" spans="2:4" ht="18">
      <c r="B61" s="3" t="s">
        <v>234</v>
      </c>
      <c r="C61" s="120" t="s">
        <v>235</v>
      </c>
      <c r="D61" s="120" t="s">
        <v>236</v>
      </c>
    </row>
    <row r="62" spans="2:4" ht="18">
      <c r="B62" s="3" t="s">
        <v>237</v>
      </c>
      <c r="C62" s="120" t="s">
        <v>238</v>
      </c>
      <c r="D62" s="120" t="s">
        <v>239</v>
      </c>
    </row>
    <row r="63" spans="2:4" ht="18">
      <c r="B63" s="3" t="s">
        <v>240</v>
      </c>
      <c r="C63" s="120" t="s">
        <v>241</v>
      </c>
      <c r="D63" s="3" t="s">
        <v>242</v>
      </c>
    </row>
    <row r="64" spans="2:4" ht="18">
      <c r="B64" s="3" t="s">
        <v>243</v>
      </c>
      <c r="C64" s="120" t="s">
        <v>244</v>
      </c>
      <c r="D64" s="3" t="s">
        <v>245</v>
      </c>
    </row>
    <row r="65" spans="2:5" ht="18.75">
      <c r="B65" s="3" t="s">
        <v>246</v>
      </c>
      <c r="C65" s="120" t="s">
        <v>247</v>
      </c>
      <c r="D65" s="3" t="s">
        <v>248</v>
      </c>
      <c r="E65" s="150"/>
    </row>
    <row r="66" spans="2:4" ht="18.75">
      <c r="B66" s="3" t="s">
        <v>249</v>
      </c>
      <c r="C66" s="120" t="s">
        <v>250</v>
      </c>
      <c r="D66" s="3" t="s">
        <v>251</v>
      </c>
    </row>
    <row r="67" spans="2:4" ht="18.75">
      <c r="B67" s="3" t="s">
        <v>252</v>
      </c>
      <c r="C67" s="120" t="s">
        <v>253</v>
      </c>
      <c r="D67" s="121" t="s">
        <v>254</v>
      </c>
    </row>
    <row r="68" ht="15">
      <c r="C68" s="120"/>
    </row>
    <row r="69" ht="15">
      <c r="C69" s="120"/>
    </row>
    <row r="70" ht="15">
      <c r="C70" s="120"/>
    </row>
    <row r="71" ht="15">
      <c r="C71" s="124"/>
    </row>
    <row r="72" ht="15">
      <c r="C72" s="124"/>
    </row>
  </sheetData>
  <sheetProtection/>
  <printOptions/>
  <pageMargins left="0.7" right="0.7" top="0.75" bottom="0.75" header="0.3" footer="0.3"/>
  <pageSetup fitToHeight="1" fitToWidth="1" horizontalDpi="1200" verticalDpi="1200" orientation="portrait" scale="5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2017-07-31T19:23:11Z</dcterms:created>
  <dcterms:modified xsi:type="dcterms:W3CDTF">2022-06-02T18:26:21Z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