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ustomProperty14.bin" ContentType="application/vnd.openxmlformats-officedocument.spreadsheetml.customProperty"/>
  <Override PartName="/xl/customProperty15.bin" ContentType="application/vnd.openxmlformats-officedocument.spreadsheetml.customProperty"/>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ilgov.sharepoint.com/teams/IPA.Team/Shared Documents/2024 LTP/Drafts for October 20 Filing/Appendices/"/>
    </mc:Choice>
  </mc:AlternateContent>
  <xr:revisionPtr revIDLastSave="0" documentId="8_{841BF700-97DA-4C6A-A91F-7FBEEED9FE36}" xr6:coauthVersionLast="47" xr6:coauthVersionMax="47" xr10:uidLastSave="{00000000-0000-0000-0000-000000000000}"/>
  <bookViews>
    <workbookView xWindow="-28920" yWindow="-120" windowWidth="29040" windowHeight="17640" xr2:uid="{9DBC5021-4E64-4817-ABB6-936E9A43EEEB}"/>
  </bookViews>
  <sheets>
    <sheet name="Appendix B Annotations" sheetId="23" r:id="rId1"/>
    <sheet name="Collections and ACP" sheetId="8" r:id="rId2"/>
    <sheet name="Indexed REC Calculator" sheetId="1" r:id="rId3"/>
    <sheet name="Indexed REC Activities" sheetId="2" r:id="rId4"/>
    <sheet name="Indexed REC Spend" sheetId="5" r:id="rId5"/>
    <sheet name="ABP Future Assumptions" sheetId="18" r:id="rId6"/>
    <sheet name="24-25 ABP Activities" sheetId="19" r:id="rId7"/>
    <sheet name="24-25 ABP Summary" sheetId="22" r:id="rId8"/>
    <sheet name="Projected ABP RECs" sheetId="21" r:id="rId9"/>
    <sheet name="Projected ABP Spend" sheetId="20" r:id="rId10"/>
    <sheet name="ABP Under Contract" sheetId="16" r:id="rId11"/>
    <sheet name="Total REC Deliveries" sheetId="9" r:id="rId12"/>
    <sheet name="Ch. 3 Tables and Graphs" sheetId="7" state="hidden" r:id="rId13"/>
    <sheet name="REC Spend projected" sheetId="10" r:id="rId14"/>
    <sheet name="$ Tables and Graphs" sheetId="12" state="hidden" r:id="rId15"/>
  </sheets>
  <definedNames>
    <definedName name="_ftn1" localSheetId="12">'Ch. 3 Tables and Graphs'!#REF!</definedName>
    <definedName name="_ftn2" localSheetId="12">'Ch. 3 Tables and Graphs'!#REF!</definedName>
    <definedName name="_ftn3" localSheetId="12">'Ch. 3 Tables and Graphs'!#REF!</definedName>
    <definedName name="_ftn4" localSheetId="12">'Ch. 3 Tables and Graphs'!#REF!</definedName>
    <definedName name="_ftnref1" localSheetId="12">'Ch. 3 Tables and Graphs'!$D$193</definedName>
    <definedName name="_ftnref2" localSheetId="12">'Ch. 3 Tables and Graphs'!$E$193</definedName>
    <definedName name="_ftnref3" localSheetId="12">'Ch. 3 Tables and Graphs'!$F$193</definedName>
    <definedName name="_ftnref4" localSheetId="12">'Ch. 3 Tables and Graphs'!$C$196</definedName>
    <definedName name="_xlnm.Print_Area" localSheetId="14">'$ Tables and Graphs'!$A$1:$AM$119</definedName>
    <definedName name="_xlnm.Print_Area" localSheetId="6">'24-25 ABP Activities'!$B$3:$X$123</definedName>
    <definedName name="_xlnm.Print_Area" localSheetId="5">'ABP Future Assumptions'!$A$1:$P$94</definedName>
    <definedName name="_xlnm.Print_Area" localSheetId="0">'Appendix B Annotations'!$A$1:$J$118</definedName>
    <definedName name="_xlnm.Print_Area" localSheetId="9">'Projected ABP Spend'!$A$10:$T$175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 i="1" l="1"/>
  <c r="S37" i="9"/>
  <c r="AE4" i="10" l="1"/>
  <c r="AG4" i="10"/>
  <c r="AG5" i="10"/>
  <c r="D11" i="21"/>
  <c r="D17" i="21" s="1"/>
  <c r="D175" i="21" s="1"/>
  <c r="C175" i="21"/>
  <c r="C174" i="21"/>
  <c r="B164" i="21"/>
  <c r="C176" i="21"/>
  <c r="D176" i="21"/>
  <c r="E176" i="21"/>
  <c r="H176" i="21"/>
  <c r="I176" i="21"/>
  <c r="J176" i="21"/>
  <c r="K176" i="21"/>
  <c r="L176" i="21"/>
  <c r="M176" i="21"/>
  <c r="N176" i="21"/>
  <c r="O176" i="21"/>
  <c r="P176" i="21"/>
  <c r="Q176" i="21"/>
  <c r="R176" i="21"/>
  <c r="S176" i="21"/>
  <c r="T176" i="21"/>
  <c r="U176" i="21"/>
  <c r="B166" i="21"/>
  <c r="B183" i="21"/>
  <c r="B182" i="21"/>
  <c r="B181" i="21"/>
  <c r="C181" i="21"/>
  <c r="B180" i="21"/>
  <c r="B179" i="21"/>
  <c r="B178" i="21"/>
  <c r="B177" i="21"/>
  <c r="B176" i="21"/>
  <c r="B175" i="21"/>
  <c r="C164" i="21"/>
  <c r="D174" i="21"/>
  <c r="E174" i="21"/>
  <c r="F174" i="21"/>
  <c r="G174" i="21"/>
  <c r="H174" i="21"/>
  <c r="I174" i="21"/>
  <c r="J174" i="21"/>
  <c r="K174" i="21"/>
  <c r="L174" i="21"/>
  <c r="M174" i="21"/>
  <c r="N174" i="21"/>
  <c r="O174" i="21"/>
  <c r="P174" i="21"/>
  <c r="Q174" i="21"/>
  <c r="R174" i="21"/>
  <c r="S174" i="21"/>
  <c r="T174" i="21"/>
  <c r="U174" i="21"/>
  <c r="K141" i="7" l="1" a="1"/>
  <c r="K141" i="7" s="1"/>
  <c r="F9" i="12"/>
  <c r="O10" i="12"/>
  <c r="P4" i="10" l="1"/>
  <c r="AD4" i="10"/>
  <c r="Z4" i="10"/>
  <c r="AC4" i="10"/>
  <c r="K75" i="8"/>
  <c r="K10" i="8"/>
  <c r="AB7" i="10"/>
  <c r="E149" i="8"/>
  <c r="E141" i="8"/>
  <c r="C149" i="8"/>
  <c r="AA31" i="10"/>
  <c r="AA4" i="10"/>
  <c r="G141" i="7"/>
  <c r="G9" i="8"/>
  <c r="G5" i="8"/>
  <c r="K5" i="8"/>
  <c r="F5" i="8"/>
  <c r="K36" i="8"/>
  <c r="K106" i="8"/>
  <c r="K105" i="8"/>
  <c r="K7" i="8"/>
  <c r="M4" i="10"/>
  <c r="F194" i="7"/>
  <c r="G194" i="7"/>
  <c r="H5" i="8"/>
  <c r="H6" i="8"/>
  <c r="H7" i="8"/>
  <c r="H8" i="8"/>
  <c r="H9" i="8"/>
  <c r="H10" i="8"/>
  <c r="H11" i="8"/>
  <c r="H12" i="8"/>
  <c r="H13" i="8"/>
  <c r="H14" i="8"/>
  <c r="H15" i="8"/>
  <c r="H16" i="8"/>
  <c r="H17" i="8"/>
  <c r="H18" i="8"/>
  <c r="H19" i="8"/>
  <c r="H20" i="8"/>
  <c r="H21" i="8"/>
  <c r="H22" i="8"/>
  <c r="H23" i="8"/>
  <c r="H24" i="8"/>
  <c r="H25" i="8"/>
  <c r="H26" i="8"/>
  <c r="H27" i="8"/>
  <c r="H28" i="8"/>
  <c r="H29" i="8"/>
  <c r="H4" i="8"/>
  <c r="J5" i="8"/>
  <c r="J6" i="8"/>
  <c r="J7" i="8"/>
  <c r="J8" i="8"/>
  <c r="J9" i="8"/>
  <c r="J10" i="8"/>
  <c r="J11" i="8"/>
  <c r="J12" i="8"/>
  <c r="J13" i="8"/>
  <c r="J14" i="8"/>
  <c r="J15" i="8"/>
  <c r="J16" i="8"/>
  <c r="J17" i="8"/>
  <c r="J18" i="8"/>
  <c r="J19" i="8"/>
  <c r="J20" i="8"/>
  <c r="J21" i="8"/>
  <c r="J22" i="8"/>
  <c r="J23" i="8"/>
  <c r="J24" i="8"/>
  <c r="J25" i="8"/>
  <c r="J26" i="8"/>
  <c r="J27" i="8"/>
  <c r="J28" i="8"/>
  <c r="J29" i="8"/>
  <c r="J4" i="8"/>
  <c r="I5" i="8"/>
  <c r="I6" i="8"/>
  <c r="I7" i="8"/>
  <c r="I8" i="8"/>
  <c r="I9" i="8"/>
  <c r="I10" i="8"/>
  <c r="I11" i="8"/>
  <c r="I12" i="8"/>
  <c r="I13" i="8"/>
  <c r="I14" i="8"/>
  <c r="I15" i="8"/>
  <c r="I16" i="8"/>
  <c r="I17" i="8"/>
  <c r="I18" i="8"/>
  <c r="I19" i="8"/>
  <c r="I20" i="8"/>
  <c r="I21" i="8"/>
  <c r="I22" i="8"/>
  <c r="I23" i="8"/>
  <c r="I24" i="8"/>
  <c r="I25" i="8"/>
  <c r="I26" i="8"/>
  <c r="I27" i="8"/>
  <c r="I28" i="8"/>
  <c r="I29" i="8"/>
  <c r="I4" i="8"/>
  <c r="F4" i="8"/>
  <c r="E5" i="8"/>
  <c r="E6" i="8"/>
  <c r="E7" i="8"/>
  <c r="E8" i="8"/>
  <c r="E9" i="8"/>
  <c r="E10" i="8"/>
  <c r="E11" i="8"/>
  <c r="E12" i="8"/>
  <c r="E13" i="8"/>
  <c r="E14" i="8"/>
  <c r="E15" i="8"/>
  <c r="E16" i="8"/>
  <c r="E17" i="8"/>
  <c r="E18" i="8"/>
  <c r="E19" i="8"/>
  <c r="E20" i="8"/>
  <c r="E21" i="8"/>
  <c r="E22" i="8"/>
  <c r="E23" i="8"/>
  <c r="E24" i="8"/>
  <c r="E25" i="8"/>
  <c r="E26" i="8"/>
  <c r="E27" i="8"/>
  <c r="E28" i="8"/>
  <c r="E29" i="8"/>
  <c r="E4" i="8"/>
  <c r="T4" i="9"/>
  <c r="D5" i="7"/>
  <c r="S4" i="9"/>
  <c r="D167" i="7"/>
  <c r="M4" i="9" l="1"/>
  <c r="H4" i="9"/>
  <c r="T33" i="9"/>
  <c r="U33" i="9"/>
  <c r="S90" i="9"/>
  <c r="S91" i="9"/>
  <c r="S92" i="9"/>
  <c r="S93" i="9"/>
  <c r="S94" i="9"/>
  <c r="S95" i="9"/>
  <c r="S96" i="9"/>
  <c r="S97" i="9"/>
  <c r="S98" i="9"/>
  <c r="S99" i="9"/>
  <c r="S100" i="9"/>
  <c r="S101" i="9"/>
  <c r="S102" i="9"/>
  <c r="S103" i="9"/>
  <c r="S104" i="9"/>
  <c r="S105" i="9"/>
  <c r="S106" i="9"/>
  <c r="S107" i="9"/>
  <c r="S108" i="9"/>
  <c r="S109" i="9"/>
  <c r="S110" i="9"/>
  <c r="S111" i="9"/>
  <c r="S112" i="9"/>
  <c r="S89" i="9"/>
  <c r="S62" i="9"/>
  <c r="S63" i="9"/>
  <c r="S64" i="9"/>
  <c r="S65" i="9"/>
  <c r="S66" i="9"/>
  <c r="S67" i="9"/>
  <c r="S68" i="9"/>
  <c r="S69" i="9"/>
  <c r="S70" i="9"/>
  <c r="S71" i="9"/>
  <c r="S72" i="9"/>
  <c r="S73" i="9"/>
  <c r="S74" i="9"/>
  <c r="S75" i="9"/>
  <c r="S76" i="9"/>
  <c r="S77" i="9"/>
  <c r="S78" i="9"/>
  <c r="S79" i="9"/>
  <c r="S80" i="9"/>
  <c r="S81" i="9"/>
  <c r="S82" i="9"/>
  <c r="S83" i="9"/>
  <c r="S84" i="9"/>
  <c r="S61" i="9"/>
  <c r="S34" i="9"/>
  <c r="S35" i="9"/>
  <c r="S36" i="9"/>
  <c r="S38" i="9"/>
  <c r="S39" i="9"/>
  <c r="S40" i="9"/>
  <c r="S41" i="9"/>
  <c r="S42" i="9"/>
  <c r="S43" i="9"/>
  <c r="S44" i="9"/>
  <c r="S45" i="9"/>
  <c r="S46" i="9"/>
  <c r="S47" i="9"/>
  <c r="S48" i="9"/>
  <c r="S49" i="9"/>
  <c r="S50" i="9"/>
  <c r="S51" i="9"/>
  <c r="S52" i="9"/>
  <c r="S53" i="9"/>
  <c r="S54" i="9"/>
  <c r="S55" i="9"/>
  <c r="S56" i="9"/>
  <c r="S33" i="9"/>
  <c r="S5" i="9"/>
  <c r="S6" i="9"/>
  <c r="S7" i="9"/>
  <c r="S8" i="9"/>
  <c r="S9" i="9"/>
  <c r="S10" i="9"/>
  <c r="S11" i="9"/>
  <c r="S12" i="9"/>
  <c r="S13" i="9"/>
  <c r="S14" i="9"/>
  <c r="S15" i="9"/>
  <c r="S16" i="9"/>
  <c r="S17" i="9"/>
  <c r="S18" i="9"/>
  <c r="S19" i="9"/>
  <c r="S20" i="9"/>
  <c r="S21" i="9"/>
  <c r="S22" i="9"/>
  <c r="S23" i="9"/>
  <c r="S24" i="9"/>
  <c r="S25" i="9"/>
  <c r="S26" i="9"/>
  <c r="S27" i="9"/>
  <c r="R33" i="9"/>
  <c r="H33" i="9"/>
  <c r="T61" i="9"/>
  <c r="E60" i="7" l="1"/>
  <c r="S88" i="12" l="1"/>
  <c r="R88" i="12"/>
  <c r="G8" i="18" l="1"/>
  <c r="G86" i="18" l="1"/>
  <c r="G85" i="18"/>
  <c r="G84" i="18"/>
  <c r="G83" i="18"/>
  <c r="G81" i="18"/>
  <c r="G80" i="18"/>
  <c r="G79" i="18"/>
  <c r="G78" i="18"/>
  <c r="G77" i="18"/>
  <c r="G74" i="18"/>
  <c r="G73" i="18"/>
  <c r="G72" i="18"/>
  <c r="G71" i="18"/>
  <c r="G70" i="18"/>
  <c r="G69" i="18"/>
  <c r="G68" i="18"/>
  <c r="G66" i="18"/>
  <c r="G65" i="18"/>
  <c r="G64" i="18"/>
  <c r="G63" i="18"/>
  <c r="G62" i="18"/>
  <c r="G61" i="18"/>
  <c r="G60" i="18"/>
  <c r="G56" i="18"/>
  <c r="G55" i="18"/>
  <c r="G54" i="18"/>
  <c r="G53" i="18"/>
  <c r="G52" i="18"/>
  <c r="G49" i="18"/>
  <c r="G48" i="18"/>
  <c r="G47" i="18"/>
  <c r="G46" i="18"/>
  <c r="G45" i="18"/>
  <c r="G42" i="18"/>
  <c r="G41" i="18"/>
  <c r="G40" i="18"/>
  <c r="G39" i="18"/>
  <c r="G38" i="18"/>
  <c r="G37" i="18"/>
  <c r="G36" i="18"/>
  <c r="G34" i="18"/>
  <c r="G32" i="18"/>
  <c r="G31" i="18"/>
  <c r="G30" i="18"/>
  <c r="G29" i="18"/>
  <c r="G28" i="18"/>
  <c r="G24" i="18"/>
  <c r="G23" i="18"/>
  <c r="G22" i="18"/>
  <c r="G21" i="18"/>
  <c r="G18" i="18"/>
  <c r="G17" i="18"/>
  <c r="G16" i="18"/>
  <c r="G15" i="18"/>
  <c r="G12" i="18"/>
  <c r="G11" i="18"/>
  <c r="G9" i="18"/>
  <c r="I8" i="18"/>
  <c r="I5" i="10" l="1"/>
  <c r="I6" i="10"/>
  <c r="I7" i="10"/>
  <c r="I8" i="10"/>
  <c r="I9" i="10"/>
  <c r="I10" i="10"/>
  <c r="I11" i="10"/>
  <c r="I12" i="10"/>
  <c r="I13" i="10"/>
  <c r="I14" i="10"/>
  <c r="I15" i="10"/>
  <c r="I16" i="10"/>
  <c r="I17" i="10"/>
  <c r="I18" i="10"/>
  <c r="I19" i="10"/>
  <c r="I20" i="10"/>
  <c r="I21" i="10"/>
  <c r="I22" i="10"/>
  <c r="I23" i="10"/>
  <c r="I24" i="10"/>
  <c r="I25" i="10"/>
  <c r="I26" i="10"/>
  <c r="I27" i="10"/>
  <c r="M5" i="9"/>
  <c r="M6" i="9"/>
  <c r="M7" i="9"/>
  <c r="M8" i="9"/>
  <c r="M9" i="9"/>
  <c r="M10" i="9"/>
  <c r="M11" i="9"/>
  <c r="M12" i="9"/>
  <c r="M13" i="9"/>
  <c r="M14" i="9"/>
  <c r="M15" i="9"/>
  <c r="M16" i="9"/>
  <c r="M17" i="9"/>
  <c r="M18" i="9"/>
  <c r="M19" i="9"/>
  <c r="M20" i="9"/>
  <c r="M21" i="9"/>
  <c r="M22" i="9"/>
  <c r="M23" i="9"/>
  <c r="M24" i="9"/>
  <c r="M25" i="9"/>
  <c r="M26" i="9"/>
  <c r="M27" i="9"/>
  <c r="I4" i="10"/>
  <c r="D110" i="12"/>
  <c r="AD39" i="9" l="1"/>
  <c r="T6" i="9"/>
  <c r="E42" i="8"/>
  <c r="J42" i="8"/>
  <c r="AG7" i="9"/>
  <c r="Y86" i="10"/>
  <c r="X86" i="10"/>
  <c r="W86" i="10"/>
  <c r="Y59" i="10"/>
  <c r="X59" i="10"/>
  <c r="W59" i="10"/>
  <c r="Y32" i="10"/>
  <c r="X32" i="10"/>
  <c r="W32" i="10"/>
  <c r="W31" i="10"/>
  <c r="K42" i="8" l="1"/>
  <c r="B5" i="10"/>
  <c r="C5" i="10"/>
  <c r="D5" i="10"/>
  <c r="Z5" i="10"/>
  <c r="B6" i="10"/>
  <c r="C6" i="10"/>
  <c r="D6" i="10"/>
  <c r="B7" i="10"/>
  <c r="C7" i="10"/>
  <c r="D7" i="10"/>
  <c r="B8" i="10"/>
  <c r="C8" i="10"/>
  <c r="D8" i="10"/>
  <c r="E8" i="10"/>
  <c r="F8" i="10"/>
  <c r="C9" i="10"/>
  <c r="D9" i="10"/>
  <c r="E9" i="10"/>
  <c r="F9" i="10"/>
  <c r="C10" i="10"/>
  <c r="D10" i="10"/>
  <c r="E10" i="10"/>
  <c r="F10" i="10"/>
  <c r="C11" i="10"/>
  <c r="D11" i="10"/>
  <c r="E11" i="10"/>
  <c r="F11" i="10"/>
  <c r="C12" i="10"/>
  <c r="D12" i="10"/>
  <c r="D131" i="12" s="1"/>
  <c r="D161" i="12" s="1"/>
  <c r="E12" i="10"/>
  <c r="F12" i="10"/>
  <c r="C13" i="10"/>
  <c r="D13" i="10"/>
  <c r="E13" i="10"/>
  <c r="F13" i="10"/>
  <c r="C14" i="10"/>
  <c r="D14" i="10"/>
  <c r="E14" i="10"/>
  <c r="F14" i="10"/>
  <c r="D15" i="10"/>
  <c r="E15" i="10"/>
  <c r="D16" i="10"/>
  <c r="E16" i="10"/>
  <c r="D17" i="10"/>
  <c r="E17" i="10"/>
  <c r="D18" i="10"/>
  <c r="E18" i="10"/>
  <c r="D19" i="10"/>
  <c r="E19" i="10"/>
  <c r="D20" i="10"/>
  <c r="E20" i="10"/>
  <c r="D21" i="10"/>
  <c r="E21" i="10"/>
  <c r="D22" i="10"/>
  <c r="E22" i="10"/>
  <c r="D23" i="10"/>
  <c r="E23" i="10"/>
  <c r="D24" i="10"/>
  <c r="E24" i="10"/>
  <c r="D25" i="10"/>
  <c r="E25" i="10"/>
  <c r="D26" i="10"/>
  <c r="E26" i="10"/>
  <c r="D27" i="10"/>
  <c r="E27" i="10"/>
  <c r="F2" i="1"/>
  <c r="F6" i="1" s="1"/>
  <c r="G2" i="1"/>
  <c r="G6" i="1" s="1"/>
  <c r="H6" i="1"/>
  <c r="I2" i="1"/>
  <c r="I6" i="1" s="1"/>
  <c r="J2" i="1"/>
  <c r="J6" i="1" s="1"/>
  <c r="K2" i="1"/>
  <c r="K6" i="1" s="1"/>
  <c r="L2" i="1"/>
  <c r="L6" i="1" s="1"/>
  <c r="M2" i="1"/>
  <c r="M6" i="1" s="1"/>
  <c r="N2" i="1"/>
  <c r="N6" i="1" s="1"/>
  <c r="O2" i="1"/>
  <c r="O6" i="1" s="1"/>
  <c r="P2" i="1"/>
  <c r="P6" i="1" s="1"/>
  <c r="Q2" i="1"/>
  <c r="Q6" i="1" s="1"/>
  <c r="R2" i="1"/>
  <c r="R6" i="1" s="1"/>
  <c r="S2" i="1"/>
  <c r="S6" i="1" s="1"/>
  <c r="T2" i="1"/>
  <c r="T6" i="1" s="1"/>
  <c r="U2" i="1"/>
  <c r="U6" i="1" s="1"/>
  <c r="V2" i="1"/>
  <c r="V6" i="1" s="1"/>
  <c r="W2" i="1"/>
  <c r="W6" i="1" s="1"/>
  <c r="X2" i="1"/>
  <c r="X6" i="1" s="1"/>
  <c r="E2" i="1"/>
  <c r="E6" i="1" s="1"/>
  <c r="D6" i="1"/>
  <c r="I123" i="12"/>
  <c r="I153" i="12" s="1"/>
  <c r="H123" i="12"/>
  <c r="H153" i="12" s="1"/>
  <c r="G124" i="12"/>
  <c r="G154" i="12" s="1"/>
  <c r="G125" i="12"/>
  <c r="G155" i="12" s="1"/>
  <c r="G126" i="12"/>
  <c r="G156" i="12" s="1"/>
  <c r="G123" i="12"/>
  <c r="G153" i="12" s="1"/>
  <c r="F123" i="12"/>
  <c r="F153" i="12" s="1"/>
  <c r="C123" i="12"/>
  <c r="C153" i="12" s="1"/>
  <c r="H69" i="2"/>
  <c r="I124" i="12"/>
  <c r="I154" i="12" s="1"/>
  <c r="H124" i="12"/>
  <c r="H154" i="12" s="1"/>
  <c r="H125" i="12"/>
  <c r="H155" i="12" s="1"/>
  <c r="H126" i="12"/>
  <c r="H156" i="12" s="1"/>
  <c r="F124" i="12"/>
  <c r="F154" i="12" s="1"/>
  <c r="F125" i="12"/>
  <c r="F155" i="12" s="1"/>
  <c r="F126" i="12"/>
  <c r="F156" i="12" s="1"/>
  <c r="F128" i="12"/>
  <c r="F158" i="12" s="1"/>
  <c r="F129" i="12"/>
  <c r="F159" i="12" s="1"/>
  <c r="F132" i="12"/>
  <c r="F162" i="12" s="1"/>
  <c r="F136" i="12"/>
  <c r="F166" i="12" s="1"/>
  <c r="F138" i="12"/>
  <c r="F168" i="12" s="1"/>
  <c r="F140" i="12"/>
  <c r="F170" i="12" s="1"/>
  <c r="E124" i="12"/>
  <c r="E154" i="12" s="1"/>
  <c r="E125" i="12"/>
  <c r="E155" i="12" s="1"/>
  <c r="E126" i="12"/>
  <c r="E156" i="12" s="1"/>
  <c r="E127" i="12"/>
  <c r="E157" i="12" s="1"/>
  <c r="E128" i="12"/>
  <c r="E158" i="12" s="1"/>
  <c r="E129" i="12"/>
  <c r="E159" i="12" s="1"/>
  <c r="E130" i="12"/>
  <c r="E160" i="12" s="1"/>
  <c r="E131" i="12"/>
  <c r="E161" i="12" s="1"/>
  <c r="E132" i="12"/>
  <c r="E162" i="12" s="1"/>
  <c r="E133" i="12"/>
  <c r="E163" i="12" s="1"/>
  <c r="E134" i="12"/>
  <c r="E164" i="12" s="1"/>
  <c r="E135" i="12"/>
  <c r="E165" i="12" s="1"/>
  <c r="E136" i="12"/>
  <c r="E166" i="12" s="1"/>
  <c r="E137" i="12"/>
  <c r="E167" i="12" s="1"/>
  <c r="E138" i="12"/>
  <c r="E168" i="12" s="1"/>
  <c r="E139" i="12"/>
  <c r="E169" i="12" s="1"/>
  <c r="E140" i="12"/>
  <c r="E170" i="12" s="1"/>
  <c r="E141" i="12"/>
  <c r="E171" i="12" s="1"/>
  <c r="E142" i="12"/>
  <c r="E172" i="12" s="1"/>
  <c r="E143" i="12"/>
  <c r="E173" i="12" s="1"/>
  <c r="E144" i="12"/>
  <c r="E174" i="12" s="1"/>
  <c r="E145" i="12"/>
  <c r="E175" i="12" s="1"/>
  <c r="E123" i="12"/>
  <c r="E153" i="12" s="1"/>
  <c r="D135" i="12"/>
  <c r="D165" i="12" s="1"/>
  <c r="D139" i="12"/>
  <c r="D169" i="12" s="1"/>
  <c r="D140" i="12"/>
  <c r="D170" i="12" s="1"/>
  <c r="D145" i="12"/>
  <c r="D175" i="12" s="1"/>
  <c r="C124" i="12"/>
  <c r="C125" i="12"/>
  <c r="C155" i="12" s="1"/>
  <c r="C126" i="12"/>
  <c r="C156" i="12" s="1"/>
  <c r="C127" i="12"/>
  <c r="C157" i="12" s="1"/>
  <c r="C128" i="12"/>
  <c r="C158" i="12" s="1"/>
  <c r="C129" i="12"/>
  <c r="C159" i="12" s="1"/>
  <c r="C130" i="12"/>
  <c r="C160" i="12" s="1"/>
  <c r="C131" i="12"/>
  <c r="C161" i="12" s="1"/>
  <c r="C132" i="12"/>
  <c r="C162" i="12" s="1"/>
  <c r="C133" i="12"/>
  <c r="C163" i="12" s="1"/>
  <c r="C134" i="12"/>
  <c r="C164" i="12" s="1"/>
  <c r="C135" i="12"/>
  <c r="C165" i="12" s="1"/>
  <c r="C136" i="12"/>
  <c r="C166" i="12" s="1"/>
  <c r="C137" i="12"/>
  <c r="C167" i="12" s="1"/>
  <c r="C138" i="12"/>
  <c r="C168" i="12" s="1"/>
  <c r="C139" i="12"/>
  <c r="C169" i="12" s="1"/>
  <c r="C140" i="12"/>
  <c r="C170" i="12" s="1"/>
  <c r="C141" i="12"/>
  <c r="C171" i="12" s="1"/>
  <c r="C142" i="12"/>
  <c r="C172" i="12" s="1"/>
  <c r="C143" i="12"/>
  <c r="C173" i="12" s="1"/>
  <c r="C144" i="12"/>
  <c r="C174" i="12" s="1"/>
  <c r="C145" i="12"/>
  <c r="C175" i="12" s="1"/>
  <c r="D127" i="12" l="1"/>
  <c r="D157" i="12" s="1"/>
  <c r="D125" i="12"/>
  <c r="D155" i="12" s="1"/>
  <c r="F137" i="12"/>
  <c r="F167" i="12" s="1"/>
  <c r="D143" i="12"/>
  <c r="D173" i="12" s="1"/>
  <c r="F135" i="12"/>
  <c r="F165" i="12" s="1"/>
  <c r="D141" i="12"/>
  <c r="D171" i="12" s="1"/>
  <c r="F145" i="12"/>
  <c r="F175" i="12" s="1"/>
  <c r="F139" i="12"/>
  <c r="F169" i="12" s="1"/>
  <c r="D137" i="12"/>
  <c r="D167" i="12" s="1"/>
  <c r="F134" i="12"/>
  <c r="F164" i="12" s="1"/>
  <c r="F144" i="12"/>
  <c r="F174" i="12" s="1"/>
  <c r="F142" i="12"/>
  <c r="F172" i="12" s="1"/>
  <c r="F141" i="12"/>
  <c r="F171" i="12" s="1"/>
  <c r="D129" i="12"/>
  <c r="D159" i="12" s="1"/>
  <c r="D124" i="12"/>
  <c r="D154" i="12" s="1"/>
  <c r="F143" i="12"/>
  <c r="F173" i="12" s="1"/>
  <c r="F130" i="12"/>
  <c r="F160" i="12" s="1"/>
  <c r="F133" i="12"/>
  <c r="F163" i="12" s="1"/>
  <c r="D133" i="12"/>
  <c r="D163" i="12" s="1"/>
  <c r="F131" i="12"/>
  <c r="F161" i="12" s="1"/>
  <c r="D132" i="12"/>
  <c r="D162" i="12" s="1"/>
  <c r="D126" i="12"/>
  <c r="D156" i="12" s="1"/>
  <c r="D138" i="12"/>
  <c r="D168" i="12" s="1"/>
  <c r="D130" i="12"/>
  <c r="D160" i="12" s="1"/>
  <c r="F127" i="12"/>
  <c r="F157" i="12" s="1"/>
  <c r="D144" i="12"/>
  <c r="D174" i="12" s="1"/>
  <c r="D136" i="12"/>
  <c r="D166" i="12" s="1"/>
  <c r="D128" i="12"/>
  <c r="D158" i="12" s="1"/>
  <c r="D142" i="12"/>
  <c r="D172" i="12" s="1"/>
  <c r="D134" i="12"/>
  <c r="D164" i="12" s="1"/>
  <c r="C154" i="12"/>
  <c r="I74" i="2"/>
  <c r="H74" i="2"/>
  <c r="J74" i="2"/>
  <c r="H75" i="2"/>
  <c r="J74" i="21"/>
  <c r="B3" i="21"/>
  <c r="C4" i="21"/>
  <c r="B2" i="21"/>
  <c r="C6" i="21"/>
  <c r="K60" i="18"/>
  <c r="F3" i="5"/>
  <c r="G37" i="5"/>
  <c r="H33" i="12"/>
  <c r="B168" i="20"/>
  <c r="B167" i="20"/>
  <c r="D33" i="1"/>
  <c r="B168" i="21"/>
  <c r="B165" i="21"/>
  <c r="I9" i="18"/>
  <c r="K8" i="18"/>
  <c r="C6" i="18"/>
  <c r="D60" i="1"/>
  <c r="C68" i="2"/>
  <c r="J68" i="2"/>
  <c r="F74" i="2"/>
  <c r="G74" i="2"/>
  <c r="K74" i="2"/>
  <c r="L74" i="2"/>
  <c r="M74" i="2"/>
  <c r="N74" i="2"/>
  <c r="O74" i="2"/>
  <c r="P74" i="2"/>
  <c r="Q74" i="2"/>
  <c r="R74" i="2"/>
  <c r="S74" i="2"/>
  <c r="T74" i="2"/>
  <c r="U74" i="2"/>
  <c r="V74" i="2"/>
  <c r="W74" i="2"/>
  <c r="X74" i="2"/>
  <c r="Y74" i="2"/>
  <c r="Z74" i="2"/>
  <c r="D68" i="2"/>
  <c r="E68" i="2"/>
  <c r="F68" i="2"/>
  <c r="G68" i="2"/>
  <c r="H68" i="2"/>
  <c r="I68" i="2"/>
  <c r="K68" i="2"/>
  <c r="L68" i="2"/>
  <c r="M68" i="2"/>
  <c r="N68" i="2"/>
  <c r="O68" i="2"/>
  <c r="P68" i="2"/>
  <c r="Q68" i="2"/>
  <c r="R68" i="2"/>
  <c r="S68" i="2"/>
  <c r="T68" i="2"/>
  <c r="U68" i="2"/>
  <c r="V68" i="2"/>
  <c r="W68" i="2"/>
  <c r="X68" i="2"/>
  <c r="Y68" i="2"/>
  <c r="Z68" i="2"/>
  <c r="D69" i="2"/>
  <c r="E69" i="2"/>
  <c r="E71" i="2" s="1"/>
  <c r="F69" i="2"/>
  <c r="G69" i="2"/>
  <c r="I69" i="2"/>
  <c r="D70" i="2"/>
  <c r="E70" i="2"/>
  <c r="F70" i="2"/>
  <c r="G70" i="2"/>
  <c r="H70" i="2"/>
  <c r="I70" i="2"/>
  <c r="C70" i="2"/>
  <c r="C69" i="2"/>
  <c r="G89" i="12"/>
  <c r="H89" i="12"/>
  <c r="I89" i="12"/>
  <c r="J89" i="12"/>
  <c r="K89" i="12"/>
  <c r="L89" i="12"/>
  <c r="M89" i="12"/>
  <c r="N89" i="12"/>
  <c r="H90" i="12"/>
  <c r="I90" i="12"/>
  <c r="J90" i="12"/>
  <c r="K90" i="12"/>
  <c r="L90" i="12"/>
  <c r="M90" i="12"/>
  <c r="N90" i="12"/>
  <c r="G91" i="12"/>
  <c r="H91" i="12"/>
  <c r="I91" i="12"/>
  <c r="J91" i="12"/>
  <c r="K91" i="12"/>
  <c r="L91" i="12"/>
  <c r="M91" i="12"/>
  <c r="N91" i="12"/>
  <c r="G92" i="12"/>
  <c r="H92" i="12"/>
  <c r="I92" i="12"/>
  <c r="J92" i="12"/>
  <c r="K92" i="12"/>
  <c r="L92" i="12"/>
  <c r="M92" i="12"/>
  <c r="N92" i="12"/>
  <c r="G93" i="12"/>
  <c r="H93" i="12"/>
  <c r="I93" i="12"/>
  <c r="J93" i="12"/>
  <c r="K93" i="12"/>
  <c r="L93" i="12"/>
  <c r="M93" i="12"/>
  <c r="N93" i="12"/>
  <c r="G94" i="12"/>
  <c r="H94" i="12"/>
  <c r="I94" i="12"/>
  <c r="J94" i="12"/>
  <c r="K94" i="12"/>
  <c r="L94" i="12"/>
  <c r="M94" i="12"/>
  <c r="N94" i="12"/>
  <c r="H88" i="12"/>
  <c r="I88" i="12"/>
  <c r="J88" i="12"/>
  <c r="K88" i="12"/>
  <c r="L88" i="12"/>
  <c r="M88" i="12"/>
  <c r="N88" i="12"/>
  <c r="G88" i="12"/>
  <c r="F89" i="12"/>
  <c r="F90" i="12"/>
  <c r="F91" i="12"/>
  <c r="F92" i="12"/>
  <c r="F88" i="12"/>
  <c r="F60" i="12"/>
  <c r="C89" i="12"/>
  <c r="C90" i="12"/>
  <c r="C91" i="12"/>
  <c r="C92" i="12"/>
  <c r="C93" i="12"/>
  <c r="C94" i="12"/>
  <c r="C95" i="12"/>
  <c r="C96" i="12"/>
  <c r="C97" i="12"/>
  <c r="C98" i="12"/>
  <c r="C99" i="12"/>
  <c r="C100" i="12"/>
  <c r="C101" i="12"/>
  <c r="C102" i="12"/>
  <c r="C103" i="12"/>
  <c r="C104" i="12"/>
  <c r="C105" i="12"/>
  <c r="C106" i="12"/>
  <c r="C107" i="12"/>
  <c r="C108" i="12"/>
  <c r="C109" i="12"/>
  <c r="C110" i="12"/>
  <c r="C88" i="12"/>
  <c r="C82" i="12"/>
  <c r="D27" i="9"/>
  <c r="E27" i="9"/>
  <c r="F27" i="9"/>
  <c r="G27" i="9"/>
  <c r="C27" i="9"/>
  <c r="B27" i="9"/>
  <c r="C4" i="12"/>
  <c r="C60" i="12"/>
  <c r="C32" i="12"/>
  <c r="B4" i="9"/>
  <c r="D4" i="9"/>
  <c r="I75" i="2"/>
  <c r="E86" i="10"/>
  <c r="F86" i="10"/>
  <c r="G86" i="10"/>
  <c r="J86" i="10"/>
  <c r="K86" i="10"/>
  <c r="L86" i="10"/>
  <c r="O86" i="10"/>
  <c r="Q86" i="10"/>
  <c r="R86" i="10"/>
  <c r="S86" i="10"/>
  <c r="T86" i="10"/>
  <c r="U86" i="10"/>
  <c r="V86" i="10"/>
  <c r="E87" i="10"/>
  <c r="F87" i="10"/>
  <c r="G87" i="10"/>
  <c r="J87" i="10"/>
  <c r="K87" i="10"/>
  <c r="L87" i="10"/>
  <c r="O87" i="10"/>
  <c r="Q87" i="10"/>
  <c r="R87" i="10"/>
  <c r="S87" i="10"/>
  <c r="T87" i="10"/>
  <c r="U87" i="10"/>
  <c r="V87" i="10"/>
  <c r="E88" i="10"/>
  <c r="F88" i="10"/>
  <c r="G88" i="10"/>
  <c r="J88" i="10"/>
  <c r="K88" i="10"/>
  <c r="L88" i="10"/>
  <c r="O88" i="10"/>
  <c r="Q88" i="10"/>
  <c r="R88" i="10"/>
  <c r="S88" i="10"/>
  <c r="T88" i="10"/>
  <c r="U88" i="10"/>
  <c r="V88" i="10"/>
  <c r="E89" i="10"/>
  <c r="F89" i="10"/>
  <c r="G89" i="10"/>
  <c r="O89" i="10"/>
  <c r="E90" i="10"/>
  <c r="F90" i="10"/>
  <c r="G90" i="10"/>
  <c r="O90" i="10"/>
  <c r="E91" i="10"/>
  <c r="F91" i="10"/>
  <c r="G91" i="10"/>
  <c r="O91" i="10"/>
  <c r="E92" i="10"/>
  <c r="F92" i="10"/>
  <c r="G92" i="10"/>
  <c r="O92" i="10"/>
  <c r="E93" i="10"/>
  <c r="F93" i="10"/>
  <c r="G93" i="10"/>
  <c r="O93" i="10"/>
  <c r="E94" i="10"/>
  <c r="F94" i="10"/>
  <c r="G94" i="10"/>
  <c r="O94" i="10"/>
  <c r="E95" i="10"/>
  <c r="F95" i="10"/>
  <c r="G95" i="10"/>
  <c r="O95" i="10"/>
  <c r="E96" i="10"/>
  <c r="F96" i="10"/>
  <c r="G96" i="10"/>
  <c r="O96" i="10"/>
  <c r="E97" i="10"/>
  <c r="F97" i="10"/>
  <c r="G97" i="10"/>
  <c r="O97" i="10"/>
  <c r="E98" i="10"/>
  <c r="F98" i="10"/>
  <c r="G98" i="10"/>
  <c r="O98" i="10"/>
  <c r="E99" i="10"/>
  <c r="F99" i="10"/>
  <c r="G99" i="10"/>
  <c r="O99" i="10"/>
  <c r="E100" i="10"/>
  <c r="F100" i="10"/>
  <c r="G100" i="10"/>
  <c r="O100" i="10"/>
  <c r="E101" i="10"/>
  <c r="F101" i="10"/>
  <c r="G101" i="10"/>
  <c r="O101" i="10"/>
  <c r="E102" i="10"/>
  <c r="F102" i="10"/>
  <c r="G102" i="10"/>
  <c r="O102" i="10"/>
  <c r="E103" i="10"/>
  <c r="F103" i="10"/>
  <c r="G103" i="10"/>
  <c r="O103" i="10"/>
  <c r="E104" i="10"/>
  <c r="F104" i="10"/>
  <c r="G104" i="10"/>
  <c r="O104" i="10"/>
  <c r="E105" i="10"/>
  <c r="F105" i="10"/>
  <c r="G105" i="10"/>
  <c r="O105" i="10"/>
  <c r="E106" i="10"/>
  <c r="F106" i="10"/>
  <c r="G106" i="10"/>
  <c r="O106" i="10"/>
  <c r="E107" i="10"/>
  <c r="F107" i="10"/>
  <c r="G107" i="10"/>
  <c r="O107" i="10"/>
  <c r="E108" i="10"/>
  <c r="F108" i="10"/>
  <c r="G108" i="10"/>
  <c r="O108" i="10"/>
  <c r="B86" i="10"/>
  <c r="C86" i="10"/>
  <c r="D86" i="10"/>
  <c r="B87" i="10"/>
  <c r="C87" i="10"/>
  <c r="D87" i="10"/>
  <c r="B88" i="10"/>
  <c r="C88" i="10"/>
  <c r="D88" i="10"/>
  <c r="B89" i="10"/>
  <c r="C89" i="10"/>
  <c r="D89" i="10"/>
  <c r="B90" i="10"/>
  <c r="C90" i="10"/>
  <c r="D90" i="10"/>
  <c r="B91" i="10"/>
  <c r="C91" i="10"/>
  <c r="D91" i="10"/>
  <c r="B92" i="10"/>
  <c r="C92" i="10"/>
  <c r="D92" i="10"/>
  <c r="B93" i="10"/>
  <c r="C93" i="10"/>
  <c r="D93" i="10"/>
  <c r="B94" i="10"/>
  <c r="C94" i="10"/>
  <c r="D94" i="10"/>
  <c r="B95" i="10"/>
  <c r="C95" i="10"/>
  <c r="D95" i="10"/>
  <c r="B96" i="10"/>
  <c r="C96" i="10"/>
  <c r="D96" i="10"/>
  <c r="B97" i="10"/>
  <c r="C97" i="10"/>
  <c r="D97" i="10"/>
  <c r="B98" i="10"/>
  <c r="C98" i="10"/>
  <c r="D98" i="10"/>
  <c r="B99" i="10"/>
  <c r="C99" i="10"/>
  <c r="D99" i="10"/>
  <c r="B100" i="10"/>
  <c r="C100" i="10"/>
  <c r="D100" i="10"/>
  <c r="B101" i="10"/>
  <c r="C101" i="10"/>
  <c r="D101" i="10"/>
  <c r="B102" i="10"/>
  <c r="C102" i="10"/>
  <c r="D102" i="10"/>
  <c r="B103" i="10"/>
  <c r="C103" i="10"/>
  <c r="D103" i="10"/>
  <c r="B104" i="10"/>
  <c r="C104" i="10"/>
  <c r="D104" i="10"/>
  <c r="B105" i="10"/>
  <c r="C105" i="10"/>
  <c r="D105" i="10"/>
  <c r="B106" i="10"/>
  <c r="C106" i="10"/>
  <c r="D106" i="10"/>
  <c r="B107" i="10"/>
  <c r="C107" i="10"/>
  <c r="D107" i="10"/>
  <c r="B108" i="10"/>
  <c r="C108" i="10"/>
  <c r="D108" i="10"/>
  <c r="O85" i="10"/>
  <c r="R85" i="10"/>
  <c r="S85" i="10"/>
  <c r="Q85" i="10"/>
  <c r="T85" i="10"/>
  <c r="U85" i="10"/>
  <c r="V85" i="10"/>
  <c r="W85" i="10"/>
  <c r="X85" i="10"/>
  <c r="Y85" i="10"/>
  <c r="D145" i="8"/>
  <c r="D170" i="8"/>
  <c r="D171" i="8"/>
  <c r="B152" i="8"/>
  <c r="J75" i="8"/>
  <c r="Q61" i="10"/>
  <c r="J77" i="18"/>
  <c r="K77" i="18" s="1"/>
  <c r="J78" i="18"/>
  <c r="J79" i="18"/>
  <c r="J80" i="18"/>
  <c r="J81" i="18"/>
  <c r="C2" i="21" l="1"/>
  <c r="H27" i="9"/>
  <c r="D88" i="12"/>
  <c r="Z85" i="10"/>
  <c r="D89" i="12"/>
  <c r="Z86" i="10"/>
  <c r="C71" i="2"/>
  <c r="D71" i="2"/>
  <c r="B144" i="8"/>
  <c r="B145" i="8" s="1"/>
  <c r="C152" i="8" l="1"/>
  <c r="F9" i="1"/>
  <c r="E33" i="1"/>
  <c r="E60" i="1"/>
  <c r="E143" i="8"/>
  <c r="E142" i="8"/>
  <c r="C144" i="8"/>
  <c r="E144" i="8" s="1"/>
  <c r="G33" i="1" l="1"/>
  <c r="F2" i="5"/>
  <c r="F60" i="1"/>
  <c r="F63" i="1" s="1"/>
  <c r="F44" i="5" s="1"/>
  <c r="F33" i="1"/>
  <c r="F36" i="1" s="1"/>
  <c r="C145" i="8"/>
  <c r="E145" i="8" s="1"/>
  <c r="O5" i="12"/>
  <c r="O7" i="12"/>
  <c r="O8" i="12"/>
  <c r="O9" i="12"/>
  <c r="O4" i="12"/>
  <c r="D196" i="7"/>
  <c r="F196" i="7" s="1"/>
  <c r="D195" i="7"/>
  <c r="F195" i="7" s="1"/>
  <c r="D194" i="7"/>
  <c r="K50" i="8"/>
  <c r="B160" i="8" s="1"/>
  <c r="I56" i="18"/>
  <c r="I55" i="18"/>
  <c r="I54" i="18"/>
  <c r="I53" i="18"/>
  <c r="I52" i="18"/>
  <c r="I49" i="18"/>
  <c r="I48" i="18"/>
  <c r="I47" i="18"/>
  <c r="I46" i="18"/>
  <c r="I45" i="18"/>
  <c r="I42" i="18"/>
  <c r="I41" i="18"/>
  <c r="I40" i="18"/>
  <c r="I39" i="18"/>
  <c r="I38" i="18"/>
  <c r="I37" i="18"/>
  <c r="I36" i="18"/>
  <c r="I34" i="18"/>
  <c r="I33" i="18"/>
  <c r="I32" i="18"/>
  <c r="I31" i="18"/>
  <c r="I30" i="18"/>
  <c r="I29" i="18"/>
  <c r="I28" i="18"/>
  <c r="I86" i="18"/>
  <c r="I85" i="18"/>
  <c r="I84" i="18"/>
  <c r="I83" i="18"/>
  <c r="I81" i="18"/>
  <c r="I80" i="18"/>
  <c r="I79" i="18"/>
  <c r="I78" i="18"/>
  <c r="I77" i="18"/>
  <c r="I74" i="18"/>
  <c r="I73" i="18"/>
  <c r="I72" i="18"/>
  <c r="I71" i="18"/>
  <c r="I70" i="18"/>
  <c r="I69" i="18"/>
  <c r="I68" i="18"/>
  <c r="I66" i="18"/>
  <c r="I65" i="18"/>
  <c r="I64" i="18"/>
  <c r="I63" i="18"/>
  <c r="I62" i="18"/>
  <c r="I61" i="18"/>
  <c r="I60" i="18"/>
  <c r="I24" i="18"/>
  <c r="I23" i="18"/>
  <c r="I22" i="18"/>
  <c r="I21" i="18"/>
  <c r="I18" i="18"/>
  <c r="I17" i="18"/>
  <c r="I16" i="18"/>
  <c r="I15" i="18"/>
  <c r="I12" i="18"/>
  <c r="I11" i="18"/>
  <c r="I6" i="18" s="1"/>
  <c r="B2" i="20" s="1"/>
  <c r="B165" i="20" s="1"/>
  <c r="I67" i="18"/>
  <c r="I19" i="18"/>
  <c r="D6" i="21"/>
  <c r="E6" i="21" s="1"/>
  <c r="F6" i="21" s="1"/>
  <c r="G6" i="21" s="1"/>
  <c r="H6" i="21" s="1"/>
  <c r="I6" i="21" s="1"/>
  <c r="J6" i="21" s="1"/>
  <c r="K6" i="21" s="1"/>
  <c r="L6" i="21" s="1"/>
  <c r="M6" i="21" s="1"/>
  <c r="N6" i="21" s="1"/>
  <c r="O6" i="21" s="1"/>
  <c r="P6" i="21" s="1"/>
  <c r="Q6" i="21" s="1"/>
  <c r="R6" i="21" s="1"/>
  <c r="S6" i="21" s="1"/>
  <c r="T6" i="21" s="1"/>
  <c r="U6" i="21" s="1"/>
  <c r="D4" i="21"/>
  <c r="E4" i="21" s="1"/>
  <c r="F4" i="21" s="1"/>
  <c r="G4" i="21" s="1"/>
  <c r="H4" i="21" s="1"/>
  <c r="I4" i="21" s="1"/>
  <c r="J4" i="21" s="1"/>
  <c r="K4" i="21" s="1"/>
  <c r="L4" i="21" s="1"/>
  <c r="M4" i="21" s="1"/>
  <c r="N4" i="21" s="1"/>
  <c r="O4" i="21" s="1"/>
  <c r="P4" i="21" s="1"/>
  <c r="Q4" i="21" s="1"/>
  <c r="R4" i="21" s="1"/>
  <c r="S4" i="21" s="1"/>
  <c r="T4" i="21" s="1"/>
  <c r="U4" i="21" s="1"/>
  <c r="H87" i="18"/>
  <c r="H86" i="18"/>
  <c r="H85" i="18"/>
  <c r="H84" i="18"/>
  <c r="H83" i="18"/>
  <c r="H81" i="18"/>
  <c r="H80" i="18"/>
  <c r="H79" i="18"/>
  <c r="H78" i="18"/>
  <c r="H77" i="18"/>
  <c r="L85" i="10"/>
  <c r="K85" i="10"/>
  <c r="J85" i="10"/>
  <c r="F85" i="10"/>
  <c r="G85" i="10"/>
  <c r="E85" i="10"/>
  <c r="O81" i="10"/>
  <c r="G81" i="10"/>
  <c r="F81" i="10"/>
  <c r="C81" i="10"/>
  <c r="B81" i="10"/>
  <c r="O73" i="10"/>
  <c r="O74" i="10"/>
  <c r="O75" i="10"/>
  <c r="O76" i="10"/>
  <c r="O77" i="10"/>
  <c r="O78" i="10"/>
  <c r="O79" i="10"/>
  <c r="O80" i="10"/>
  <c r="L61" i="10"/>
  <c r="L60" i="10"/>
  <c r="L59" i="10"/>
  <c r="L58" i="10"/>
  <c r="K61" i="10"/>
  <c r="K60" i="10"/>
  <c r="K59" i="10"/>
  <c r="K58" i="10"/>
  <c r="J61" i="10"/>
  <c r="J60" i="10"/>
  <c r="J59" i="10"/>
  <c r="J58" i="10"/>
  <c r="G80" i="10"/>
  <c r="G79" i="10"/>
  <c r="G78" i="10"/>
  <c r="G77" i="10"/>
  <c r="G76" i="10"/>
  <c r="G75" i="10"/>
  <c r="G74" i="10"/>
  <c r="G73" i="10"/>
  <c r="G72" i="10"/>
  <c r="G71" i="10"/>
  <c r="G70" i="10"/>
  <c r="G69" i="10"/>
  <c r="G68" i="10"/>
  <c r="G67" i="10"/>
  <c r="G66" i="10"/>
  <c r="G65" i="10"/>
  <c r="G64" i="10"/>
  <c r="G63" i="10"/>
  <c r="G62" i="10"/>
  <c r="G61" i="10"/>
  <c r="G60" i="10"/>
  <c r="G59" i="10"/>
  <c r="G58" i="10"/>
  <c r="F80" i="10"/>
  <c r="F79" i="10"/>
  <c r="F78" i="10"/>
  <c r="F77" i="10"/>
  <c r="F76" i="10"/>
  <c r="F75" i="10"/>
  <c r="F74" i="10"/>
  <c r="F73" i="10"/>
  <c r="F72" i="10"/>
  <c r="F71" i="10"/>
  <c r="F70" i="10"/>
  <c r="F69" i="10"/>
  <c r="F61" i="10"/>
  <c r="F60" i="10"/>
  <c r="F59" i="10"/>
  <c r="F58" i="10"/>
  <c r="E59" i="10"/>
  <c r="E60" i="10"/>
  <c r="E61" i="10"/>
  <c r="E58" i="10"/>
  <c r="O49" i="10"/>
  <c r="O50" i="10"/>
  <c r="O51" i="10"/>
  <c r="O52" i="10"/>
  <c r="O53" i="10"/>
  <c r="O54" i="10"/>
  <c r="J32" i="10"/>
  <c r="K32" i="10"/>
  <c r="L32" i="10"/>
  <c r="J33" i="10"/>
  <c r="K33" i="10"/>
  <c r="L33" i="10"/>
  <c r="J34" i="10"/>
  <c r="K34" i="10"/>
  <c r="L34" i="10"/>
  <c r="K31" i="10"/>
  <c r="L31" i="10"/>
  <c r="J31" i="10"/>
  <c r="E31" i="10"/>
  <c r="F31" i="10"/>
  <c r="G31" i="10"/>
  <c r="E32" i="10"/>
  <c r="F32" i="10"/>
  <c r="G32" i="10"/>
  <c r="E33" i="10"/>
  <c r="F33" i="10"/>
  <c r="G33" i="10"/>
  <c r="E34" i="10"/>
  <c r="F34" i="10"/>
  <c r="G34" i="10"/>
  <c r="G35" i="10"/>
  <c r="G36" i="10"/>
  <c r="G37" i="10"/>
  <c r="G38" i="10"/>
  <c r="G39" i="10"/>
  <c r="G40" i="10"/>
  <c r="G41" i="10"/>
  <c r="F42" i="10"/>
  <c r="G42" i="10"/>
  <c r="F43" i="10"/>
  <c r="G43" i="10"/>
  <c r="F44" i="10"/>
  <c r="G44" i="10"/>
  <c r="F45" i="10"/>
  <c r="G45" i="10"/>
  <c r="F46" i="10"/>
  <c r="G46" i="10"/>
  <c r="F47" i="10"/>
  <c r="G47" i="10"/>
  <c r="F48" i="10"/>
  <c r="G48" i="10"/>
  <c r="F49" i="10"/>
  <c r="G49" i="10"/>
  <c r="F50" i="10"/>
  <c r="G50" i="10"/>
  <c r="F51" i="10"/>
  <c r="G51" i="10"/>
  <c r="F52" i="10"/>
  <c r="G52" i="10"/>
  <c r="F53" i="10"/>
  <c r="G53" i="10"/>
  <c r="F54" i="10"/>
  <c r="G54" i="10"/>
  <c r="B54" i="10"/>
  <c r="C54" i="10"/>
  <c r="F61" i="12"/>
  <c r="G61" i="12"/>
  <c r="H61" i="12"/>
  <c r="I61" i="12"/>
  <c r="J61" i="12"/>
  <c r="K61" i="12"/>
  <c r="L61" i="12"/>
  <c r="M61" i="12"/>
  <c r="N61" i="12"/>
  <c r="F62" i="12"/>
  <c r="H62" i="12"/>
  <c r="I62" i="12"/>
  <c r="J62" i="12"/>
  <c r="K62" i="12"/>
  <c r="L62" i="12"/>
  <c r="M62" i="12"/>
  <c r="N62" i="12"/>
  <c r="F63" i="12"/>
  <c r="G63" i="12"/>
  <c r="H63" i="12"/>
  <c r="I63" i="12"/>
  <c r="J63" i="12"/>
  <c r="K63" i="12"/>
  <c r="L63" i="12"/>
  <c r="M63" i="12"/>
  <c r="N63" i="12"/>
  <c r="F64" i="12"/>
  <c r="G64" i="12"/>
  <c r="H64" i="12"/>
  <c r="I64" i="12"/>
  <c r="J64" i="12"/>
  <c r="K64" i="12"/>
  <c r="L64" i="12"/>
  <c r="M64" i="12"/>
  <c r="N64" i="12"/>
  <c r="G65" i="12"/>
  <c r="H65" i="12"/>
  <c r="I65" i="12"/>
  <c r="J65" i="12"/>
  <c r="K65" i="12"/>
  <c r="L65" i="12"/>
  <c r="M65" i="12"/>
  <c r="N65" i="12"/>
  <c r="G66" i="12"/>
  <c r="H66" i="12"/>
  <c r="I66" i="12"/>
  <c r="J66" i="12"/>
  <c r="K66" i="12"/>
  <c r="L66" i="12"/>
  <c r="M66" i="12"/>
  <c r="N66" i="12"/>
  <c r="G60" i="12"/>
  <c r="H60" i="12"/>
  <c r="I60" i="12"/>
  <c r="J60" i="12"/>
  <c r="K60" i="12"/>
  <c r="L60" i="12"/>
  <c r="M60" i="12"/>
  <c r="N60" i="12"/>
  <c r="F33" i="12"/>
  <c r="G33" i="12"/>
  <c r="I33" i="12"/>
  <c r="J33" i="12"/>
  <c r="K33" i="12"/>
  <c r="L33" i="12"/>
  <c r="M33" i="12"/>
  <c r="N33" i="12"/>
  <c r="F34" i="12"/>
  <c r="H34" i="12"/>
  <c r="I34" i="12"/>
  <c r="J34" i="12"/>
  <c r="K34" i="12"/>
  <c r="L34" i="12"/>
  <c r="M34" i="12"/>
  <c r="N34" i="12"/>
  <c r="F35" i="12"/>
  <c r="G35" i="12"/>
  <c r="H35" i="12"/>
  <c r="I35" i="12"/>
  <c r="J35" i="12"/>
  <c r="K35" i="12"/>
  <c r="L35" i="12"/>
  <c r="M35" i="12"/>
  <c r="N35" i="12"/>
  <c r="F36" i="12"/>
  <c r="G36" i="12"/>
  <c r="H36" i="12"/>
  <c r="I36" i="12"/>
  <c r="J36" i="12"/>
  <c r="K36" i="12"/>
  <c r="L36" i="12"/>
  <c r="M36" i="12"/>
  <c r="N36" i="12"/>
  <c r="G37" i="12"/>
  <c r="H37" i="12"/>
  <c r="I37" i="12"/>
  <c r="J37" i="12"/>
  <c r="K37" i="12"/>
  <c r="L37" i="12"/>
  <c r="M37" i="12"/>
  <c r="N37" i="12"/>
  <c r="G38" i="12"/>
  <c r="H38" i="12"/>
  <c r="I38" i="12"/>
  <c r="J38" i="12"/>
  <c r="K38" i="12"/>
  <c r="L38" i="12"/>
  <c r="M38" i="12"/>
  <c r="N38" i="12"/>
  <c r="G32" i="12"/>
  <c r="H32" i="12"/>
  <c r="I32" i="12"/>
  <c r="J32" i="12"/>
  <c r="K32" i="12"/>
  <c r="L32" i="12"/>
  <c r="M32" i="12"/>
  <c r="N32" i="12"/>
  <c r="F32" i="12"/>
  <c r="C61" i="12"/>
  <c r="C62" i="12"/>
  <c r="C63" i="12"/>
  <c r="C64" i="12"/>
  <c r="C65" i="12"/>
  <c r="C66" i="12"/>
  <c r="C67" i="12"/>
  <c r="C68" i="12"/>
  <c r="C69" i="12"/>
  <c r="C70" i="12"/>
  <c r="C71" i="12"/>
  <c r="C72" i="12"/>
  <c r="C73" i="12"/>
  <c r="C74" i="12"/>
  <c r="C75" i="12"/>
  <c r="C76" i="12"/>
  <c r="C77" i="12"/>
  <c r="C78" i="12"/>
  <c r="C79" i="12"/>
  <c r="C80" i="12"/>
  <c r="C81" i="12"/>
  <c r="C54" i="12"/>
  <c r="C53" i="12"/>
  <c r="C52" i="12"/>
  <c r="C51" i="12"/>
  <c r="C50" i="12"/>
  <c r="C49" i="12"/>
  <c r="C48" i="12"/>
  <c r="C47" i="12"/>
  <c r="C46" i="12"/>
  <c r="C45" i="12"/>
  <c r="C44" i="12"/>
  <c r="C43" i="12"/>
  <c r="C42" i="12"/>
  <c r="C41" i="12"/>
  <c r="C40" i="12"/>
  <c r="C39" i="12"/>
  <c r="C38" i="12"/>
  <c r="C37" i="12"/>
  <c r="C36" i="12"/>
  <c r="C35" i="12"/>
  <c r="C34" i="12"/>
  <c r="C33" i="12"/>
  <c r="Y94" i="12"/>
  <c r="Y93" i="12"/>
  <c r="Y92" i="12"/>
  <c r="X92" i="12"/>
  <c r="Y91" i="12"/>
  <c r="X91" i="12"/>
  <c r="X90" i="12"/>
  <c r="Y89" i="12"/>
  <c r="X89" i="12"/>
  <c r="Y88" i="12"/>
  <c r="X88" i="12"/>
  <c r="G32" i="7"/>
  <c r="G33" i="7"/>
  <c r="G34" i="7"/>
  <c r="G35" i="7"/>
  <c r="G31" i="7"/>
  <c r="F33" i="7"/>
  <c r="F34" i="7"/>
  <c r="F35" i="7"/>
  <c r="F36" i="7"/>
  <c r="F31" i="7"/>
  <c r="C26" i="12"/>
  <c r="C25" i="12"/>
  <c r="W5" i="12"/>
  <c r="X5" i="12"/>
  <c r="Y5" i="12"/>
  <c r="W6" i="12"/>
  <c r="X6" i="12"/>
  <c r="W7" i="12"/>
  <c r="X7" i="12"/>
  <c r="Y7" i="12"/>
  <c r="X8" i="12"/>
  <c r="Y8" i="12"/>
  <c r="Y9" i="12"/>
  <c r="Y10" i="12"/>
  <c r="Y4" i="12"/>
  <c r="X4" i="12"/>
  <c r="W4" i="12"/>
  <c r="D173" i="20"/>
  <c r="E173" i="20"/>
  <c r="F173" i="20"/>
  <c r="G173" i="20"/>
  <c r="H173" i="20"/>
  <c r="I173" i="20"/>
  <c r="J173" i="20"/>
  <c r="K173" i="20"/>
  <c r="L173" i="20"/>
  <c r="M173" i="20"/>
  <c r="N173" i="20"/>
  <c r="O173" i="20"/>
  <c r="P173" i="20"/>
  <c r="Q173" i="20"/>
  <c r="R173" i="20"/>
  <c r="S173" i="20"/>
  <c r="T173" i="20"/>
  <c r="U173" i="20"/>
  <c r="C173" i="20"/>
  <c r="C5" i="12"/>
  <c r="D5" i="12"/>
  <c r="C6" i="12"/>
  <c r="D6" i="12"/>
  <c r="C7" i="12"/>
  <c r="D7" i="12"/>
  <c r="C8" i="12"/>
  <c r="C9" i="12"/>
  <c r="C10" i="12"/>
  <c r="C11" i="12"/>
  <c r="C12" i="12"/>
  <c r="C13" i="12"/>
  <c r="C14" i="12"/>
  <c r="C15" i="12"/>
  <c r="C16" i="12"/>
  <c r="C17" i="12"/>
  <c r="C18" i="12"/>
  <c r="C19" i="12"/>
  <c r="C20" i="12"/>
  <c r="C21" i="12"/>
  <c r="C22" i="12"/>
  <c r="C23" i="12"/>
  <c r="C24" i="12"/>
  <c r="D4" i="12"/>
  <c r="Q152" i="21"/>
  <c r="P152" i="21"/>
  <c r="O152" i="21"/>
  <c r="N152" i="21"/>
  <c r="M152" i="21"/>
  <c r="L152" i="21"/>
  <c r="K152" i="21"/>
  <c r="J152" i="21"/>
  <c r="I152" i="21"/>
  <c r="H152" i="21"/>
  <c r="G152" i="21"/>
  <c r="F152" i="21"/>
  <c r="E152" i="21"/>
  <c r="D152" i="21"/>
  <c r="C152" i="21"/>
  <c r="D142" i="7"/>
  <c r="E142" i="7"/>
  <c r="D143" i="7"/>
  <c r="E143" i="7"/>
  <c r="D144" i="7"/>
  <c r="E144" i="7"/>
  <c r="D145" i="7"/>
  <c r="E145" i="7"/>
  <c r="D146" i="7"/>
  <c r="E146" i="7"/>
  <c r="D147" i="7"/>
  <c r="E147" i="7"/>
  <c r="D148" i="7"/>
  <c r="E148" i="7"/>
  <c r="D149" i="7"/>
  <c r="E149" i="7"/>
  <c r="D150" i="7"/>
  <c r="E150" i="7"/>
  <c r="D151" i="7"/>
  <c r="E151" i="7"/>
  <c r="D152" i="7"/>
  <c r="E152" i="7"/>
  <c r="D153" i="7"/>
  <c r="E153" i="7"/>
  <c r="D154" i="7"/>
  <c r="E154" i="7"/>
  <c r="D155" i="7"/>
  <c r="E155" i="7"/>
  <c r="D156" i="7"/>
  <c r="E156" i="7"/>
  <c r="D157" i="7"/>
  <c r="E157" i="7"/>
  <c r="D158" i="7"/>
  <c r="E158" i="7"/>
  <c r="D159" i="7"/>
  <c r="E159" i="7"/>
  <c r="D160" i="7"/>
  <c r="E160" i="7"/>
  <c r="D161" i="7"/>
  <c r="E161" i="7"/>
  <c r="D162" i="7"/>
  <c r="E162" i="7"/>
  <c r="D163" i="7"/>
  <c r="E163" i="7"/>
  <c r="D141" i="7"/>
  <c r="D109" i="7"/>
  <c r="F109" i="7"/>
  <c r="G109" i="7"/>
  <c r="I109" i="7"/>
  <c r="D88" i="7"/>
  <c r="F88" i="7"/>
  <c r="G88" i="7"/>
  <c r="H88" i="7"/>
  <c r="I88" i="7"/>
  <c r="D89" i="7"/>
  <c r="F89" i="7"/>
  <c r="G89" i="7"/>
  <c r="H89" i="7"/>
  <c r="I89" i="7"/>
  <c r="D90" i="7"/>
  <c r="F90" i="7"/>
  <c r="G90" i="7"/>
  <c r="H90" i="7"/>
  <c r="I90" i="7"/>
  <c r="D91" i="7"/>
  <c r="F91" i="7"/>
  <c r="G91" i="7"/>
  <c r="I91" i="7"/>
  <c r="D92" i="7"/>
  <c r="F92" i="7"/>
  <c r="G92" i="7"/>
  <c r="I92" i="7"/>
  <c r="D93" i="7"/>
  <c r="F93" i="7"/>
  <c r="G93" i="7"/>
  <c r="I93" i="7"/>
  <c r="D94" i="7"/>
  <c r="F94" i="7"/>
  <c r="G94" i="7"/>
  <c r="I94" i="7"/>
  <c r="D95" i="7"/>
  <c r="F95" i="7"/>
  <c r="G95" i="7"/>
  <c r="I95" i="7"/>
  <c r="D96" i="7"/>
  <c r="F96" i="7"/>
  <c r="G96" i="7"/>
  <c r="I96" i="7"/>
  <c r="D97" i="7"/>
  <c r="F97" i="7"/>
  <c r="G97" i="7"/>
  <c r="I97" i="7"/>
  <c r="D98" i="7"/>
  <c r="F98" i="7"/>
  <c r="G98" i="7"/>
  <c r="I98" i="7"/>
  <c r="D99" i="7"/>
  <c r="F99" i="7"/>
  <c r="G99" i="7"/>
  <c r="I99" i="7"/>
  <c r="D100" i="7"/>
  <c r="F100" i="7"/>
  <c r="G100" i="7"/>
  <c r="I100" i="7"/>
  <c r="D101" i="7"/>
  <c r="F101" i="7"/>
  <c r="G101" i="7"/>
  <c r="I101" i="7"/>
  <c r="D102" i="7"/>
  <c r="F102" i="7"/>
  <c r="G102" i="7"/>
  <c r="I102" i="7"/>
  <c r="D103" i="7"/>
  <c r="F103" i="7"/>
  <c r="G103" i="7"/>
  <c r="I103" i="7"/>
  <c r="D104" i="7"/>
  <c r="F104" i="7"/>
  <c r="G104" i="7"/>
  <c r="I104" i="7"/>
  <c r="D105" i="7"/>
  <c r="F105" i="7"/>
  <c r="G105" i="7"/>
  <c r="I105" i="7"/>
  <c r="D106" i="7"/>
  <c r="F106" i="7"/>
  <c r="G106" i="7"/>
  <c r="I106" i="7"/>
  <c r="D107" i="7"/>
  <c r="F107" i="7"/>
  <c r="G107" i="7"/>
  <c r="I107" i="7"/>
  <c r="D108" i="7"/>
  <c r="F108" i="7"/>
  <c r="G108" i="7"/>
  <c r="I108" i="7"/>
  <c r="I87" i="7"/>
  <c r="G87" i="7"/>
  <c r="F87" i="7"/>
  <c r="D87" i="7"/>
  <c r="D7" i="7"/>
  <c r="D54" i="10"/>
  <c r="E54" i="10"/>
  <c r="E35" i="10"/>
  <c r="F64" i="10"/>
  <c r="E65" i="10"/>
  <c r="F65" i="10"/>
  <c r="E66" i="10"/>
  <c r="E67" i="10"/>
  <c r="F67" i="10"/>
  <c r="E41" i="10"/>
  <c r="F41" i="10"/>
  <c r="E69" i="10"/>
  <c r="E43" i="10"/>
  <c r="E73" i="10"/>
  <c r="E74" i="10"/>
  <c r="E75" i="10"/>
  <c r="E49" i="10"/>
  <c r="E77" i="10"/>
  <c r="E51" i="10"/>
  <c r="E53" i="10"/>
  <c r="C4" i="10"/>
  <c r="C85" i="10" s="1"/>
  <c r="D4" i="10"/>
  <c r="D85" i="10" s="1"/>
  <c r="B4" i="10"/>
  <c r="AG112" i="9"/>
  <c r="AH112" i="9" s="1"/>
  <c r="AG84" i="9"/>
  <c r="AH84" i="9" s="1"/>
  <c r="AL5" i="9"/>
  <c r="AL6" i="9"/>
  <c r="AL7" i="9"/>
  <c r="AE56" i="9"/>
  <c r="AF56" i="9"/>
  <c r="F79" i="2"/>
  <c r="G79" i="2" s="1"/>
  <c r="H79" i="2" s="1"/>
  <c r="I79" i="2" s="1"/>
  <c r="J79" i="2" s="1"/>
  <c r="J89" i="2" s="1"/>
  <c r="T90" i="9"/>
  <c r="T92" i="9"/>
  <c r="L105" i="9"/>
  <c r="L106" i="9"/>
  <c r="L107" i="9"/>
  <c r="L108" i="9"/>
  <c r="L109" i="9"/>
  <c r="L110" i="9"/>
  <c r="L111" i="9"/>
  <c r="L112" i="9"/>
  <c r="T89" i="9"/>
  <c r="T62" i="9"/>
  <c r="T63" i="9"/>
  <c r="T64" i="9"/>
  <c r="L77" i="9"/>
  <c r="L78" i="9"/>
  <c r="L79" i="9"/>
  <c r="L80" i="9"/>
  <c r="L81" i="9"/>
  <c r="L82" i="9"/>
  <c r="L83" i="9"/>
  <c r="L84" i="9"/>
  <c r="T36" i="9"/>
  <c r="L49" i="9"/>
  <c r="L50" i="9"/>
  <c r="L51" i="9"/>
  <c r="L52" i="9"/>
  <c r="L53" i="9"/>
  <c r="L54" i="9"/>
  <c r="L55" i="9"/>
  <c r="L56" i="9"/>
  <c r="T91" i="9"/>
  <c r="U112" i="9"/>
  <c r="U32" i="9"/>
  <c r="U60" i="9"/>
  <c r="U84" i="9"/>
  <c r="T5" i="9"/>
  <c r="T7" i="9"/>
  <c r="T32" i="9"/>
  <c r="T34" i="9"/>
  <c r="T35" i="9"/>
  <c r="D62" i="7" s="1"/>
  <c r="T60" i="9"/>
  <c r="R5" i="9"/>
  <c r="R6" i="9"/>
  <c r="R7" i="9"/>
  <c r="X21" i="5"/>
  <c r="X22" i="5"/>
  <c r="X42" i="5"/>
  <c r="X43" i="5"/>
  <c r="X63" i="5"/>
  <c r="X64" i="5"/>
  <c r="Z61" i="2"/>
  <c r="C87" i="9"/>
  <c r="D87" i="9"/>
  <c r="E87" i="9"/>
  <c r="F87" i="9"/>
  <c r="G87" i="9"/>
  <c r="B87" i="9"/>
  <c r="B90" i="9"/>
  <c r="C90" i="9"/>
  <c r="D90" i="9"/>
  <c r="E90" i="9"/>
  <c r="F90" i="9"/>
  <c r="G90" i="9"/>
  <c r="B91" i="9"/>
  <c r="C91" i="9"/>
  <c r="D91" i="9"/>
  <c r="E91" i="9"/>
  <c r="F91" i="9"/>
  <c r="G91" i="9"/>
  <c r="B92" i="9"/>
  <c r="C92" i="9"/>
  <c r="D92" i="9"/>
  <c r="E92" i="9"/>
  <c r="F92" i="9"/>
  <c r="G92" i="9"/>
  <c r="B93" i="9"/>
  <c r="C93" i="9"/>
  <c r="D93" i="9"/>
  <c r="E93" i="9"/>
  <c r="F93" i="9"/>
  <c r="G93" i="9"/>
  <c r="B94" i="9"/>
  <c r="C94" i="9"/>
  <c r="D94" i="9"/>
  <c r="E94" i="9"/>
  <c r="F94" i="9"/>
  <c r="G94" i="9"/>
  <c r="B95" i="9"/>
  <c r="C95" i="9"/>
  <c r="D95" i="9"/>
  <c r="E95" i="9"/>
  <c r="F95" i="9"/>
  <c r="G95" i="9"/>
  <c r="B96" i="9"/>
  <c r="C96" i="9"/>
  <c r="D96" i="9"/>
  <c r="E96" i="9"/>
  <c r="F96" i="9"/>
  <c r="G96" i="9"/>
  <c r="B97" i="9"/>
  <c r="C97" i="9"/>
  <c r="D97" i="9"/>
  <c r="E97" i="9"/>
  <c r="F97" i="9"/>
  <c r="G97" i="9"/>
  <c r="B98" i="9"/>
  <c r="C98" i="9"/>
  <c r="D98" i="9"/>
  <c r="E98" i="9"/>
  <c r="F98" i="9"/>
  <c r="G98" i="9"/>
  <c r="B99" i="9"/>
  <c r="C99" i="9"/>
  <c r="D99" i="9"/>
  <c r="E99" i="9"/>
  <c r="F99" i="9"/>
  <c r="G99" i="9"/>
  <c r="B100" i="9"/>
  <c r="C100" i="9"/>
  <c r="D100" i="9"/>
  <c r="E100" i="9"/>
  <c r="F100" i="9"/>
  <c r="G100" i="9"/>
  <c r="B101" i="9"/>
  <c r="C101" i="9"/>
  <c r="D101" i="9"/>
  <c r="E101" i="9"/>
  <c r="F101" i="9"/>
  <c r="G101" i="9"/>
  <c r="B102" i="9"/>
  <c r="C102" i="9"/>
  <c r="D102" i="9"/>
  <c r="E102" i="9"/>
  <c r="F102" i="9"/>
  <c r="G102" i="9"/>
  <c r="B103" i="9"/>
  <c r="C103" i="9"/>
  <c r="D103" i="9"/>
  <c r="E103" i="9"/>
  <c r="F103" i="9"/>
  <c r="G103" i="9"/>
  <c r="B104" i="9"/>
  <c r="C104" i="9"/>
  <c r="D104" i="9"/>
  <c r="E104" i="9"/>
  <c r="F104" i="9"/>
  <c r="G104" i="9"/>
  <c r="B105" i="9"/>
  <c r="C105" i="9"/>
  <c r="D105" i="9"/>
  <c r="E105" i="9"/>
  <c r="F105" i="9"/>
  <c r="G105" i="9"/>
  <c r="B106" i="9"/>
  <c r="C106" i="9"/>
  <c r="D106" i="9"/>
  <c r="E106" i="9"/>
  <c r="F106" i="9"/>
  <c r="G106" i="9"/>
  <c r="B107" i="9"/>
  <c r="C107" i="9"/>
  <c r="D107" i="9"/>
  <c r="E107" i="9"/>
  <c r="F107" i="9"/>
  <c r="G107" i="9"/>
  <c r="B108" i="9"/>
  <c r="C108" i="9"/>
  <c r="D108" i="9"/>
  <c r="E108" i="9"/>
  <c r="F108" i="9"/>
  <c r="G108" i="9"/>
  <c r="B109" i="9"/>
  <c r="C109" i="9"/>
  <c r="D109" i="9"/>
  <c r="E109" i="9"/>
  <c r="F109" i="9"/>
  <c r="G109" i="9"/>
  <c r="B110" i="9"/>
  <c r="C110" i="9"/>
  <c r="D110" i="9"/>
  <c r="E110" i="9"/>
  <c r="F110" i="9"/>
  <c r="G110" i="9"/>
  <c r="B111" i="9"/>
  <c r="C111" i="9"/>
  <c r="D111" i="9"/>
  <c r="E111" i="9"/>
  <c r="F111" i="9"/>
  <c r="G111" i="9"/>
  <c r="C89" i="9"/>
  <c r="D89" i="9"/>
  <c r="E89" i="9"/>
  <c r="F89" i="9"/>
  <c r="G89" i="9"/>
  <c r="B89" i="9"/>
  <c r="C59" i="9"/>
  <c r="D59" i="9"/>
  <c r="E59" i="9"/>
  <c r="F59" i="9"/>
  <c r="G59" i="9"/>
  <c r="B59" i="9"/>
  <c r="B62" i="9"/>
  <c r="C62" i="9"/>
  <c r="D62" i="9"/>
  <c r="E62" i="9"/>
  <c r="F62" i="9"/>
  <c r="G62" i="9"/>
  <c r="B63" i="9"/>
  <c r="C63" i="9"/>
  <c r="D63" i="9"/>
  <c r="E63" i="9"/>
  <c r="F63" i="9"/>
  <c r="G63" i="9"/>
  <c r="B64" i="9"/>
  <c r="C64" i="9"/>
  <c r="D64" i="9"/>
  <c r="E64" i="9"/>
  <c r="F64" i="9"/>
  <c r="G64" i="9"/>
  <c r="B65" i="9"/>
  <c r="C65" i="9"/>
  <c r="D65" i="9"/>
  <c r="E65" i="9"/>
  <c r="F65" i="9"/>
  <c r="G65" i="9"/>
  <c r="B66" i="9"/>
  <c r="C66" i="9"/>
  <c r="D66" i="9"/>
  <c r="E66" i="9"/>
  <c r="F66" i="9"/>
  <c r="G66" i="9"/>
  <c r="B67" i="9"/>
  <c r="C67" i="9"/>
  <c r="D67" i="9"/>
  <c r="E67" i="9"/>
  <c r="F67" i="9"/>
  <c r="G67" i="9"/>
  <c r="B68" i="9"/>
  <c r="C68" i="9"/>
  <c r="D68" i="9"/>
  <c r="E68" i="9"/>
  <c r="F68" i="9"/>
  <c r="G68" i="9"/>
  <c r="B69" i="9"/>
  <c r="C69" i="9"/>
  <c r="D69" i="9"/>
  <c r="E69" i="9"/>
  <c r="F69" i="9"/>
  <c r="G69" i="9"/>
  <c r="B70" i="9"/>
  <c r="C70" i="9"/>
  <c r="D70" i="9"/>
  <c r="E70" i="9"/>
  <c r="F70" i="9"/>
  <c r="G70" i="9"/>
  <c r="B71" i="9"/>
  <c r="C71" i="9"/>
  <c r="D71" i="9"/>
  <c r="E71" i="9"/>
  <c r="F71" i="9"/>
  <c r="G71" i="9"/>
  <c r="B72" i="9"/>
  <c r="C72" i="9"/>
  <c r="D72" i="9"/>
  <c r="E72" i="9"/>
  <c r="F72" i="9"/>
  <c r="G72" i="9"/>
  <c r="B73" i="9"/>
  <c r="C73" i="9"/>
  <c r="D73" i="9"/>
  <c r="E73" i="9"/>
  <c r="F73" i="9"/>
  <c r="G73" i="9"/>
  <c r="B74" i="9"/>
  <c r="C74" i="9"/>
  <c r="D74" i="9"/>
  <c r="E74" i="9"/>
  <c r="F74" i="9"/>
  <c r="G74" i="9"/>
  <c r="B75" i="9"/>
  <c r="C75" i="9"/>
  <c r="D75" i="9"/>
  <c r="E75" i="9"/>
  <c r="F75" i="9"/>
  <c r="G75" i="9"/>
  <c r="B76" i="9"/>
  <c r="C76" i="9"/>
  <c r="D76" i="9"/>
  <c r="E76" i="9"/>
  <c r="F76" i="9"/>
  <c r="G76" i="9"/>
  <c r="B77" i="9"/>
  <c r="C77" i="9"/>
  <c r="D77" i="9"/>
  <c r="E77" i="9"/>
  <c r="F77" i="9"/>
  <c r="G77" i="9"/>
  <c r="B78" i="9"/>
  <c r="C78" i="9"/>
  <c r="D78" i="9"/>
  <c r="E78" i="9"/>
  <c r="F78" i="9"/>
  <c r="G78" i="9"/>
  <c r="B79" i="9"/>
  <c r="C79" i="9"/>
  <c r="D79" i="9"/>
  <c r="E79" i="9"/>
  <c r="F79" i="9"/>
  <c r="G79" i="9"/>
  <c r="B80" i="9"/>
  <c r="C80" i="9"/>
  <c r="D80" i="9"/>
  <c r="E80" i="9"/>
  <c r="F80" i="9"/>
  <c r="G80" i="9"/>
  <c r="B81" i="9"/>
  <c r="C81" i="9"/>
  <c r="D81" i="9"/>
  <c r="E81" i="9"/>
  <c r="F81" i="9"/>
  <c r="G81" i="9"/>
  <c r="B82" i="9"/>
  <c r="C82" i="9"/>
  <c r="D82" i="9"/>
  <c r="E82" i="9"/>
  <c r="F82" i="9"/>
  <c r="G82" i="9"/>
  <c r="B83" i="9"/>
  <c r="C83" i="9"/>
  <c r="D83" i="9"/>
  <c r="E83" i="9"/>
  <c r="F83" i="9"/>
  <c r="G83" i="9"/>
  <c r="C61" i="9"/>
  <c r="D61" i="9"/>
  <c r="E61" i="9"/>
  <c r="F61" i="9"/>
  <c r="G61" i="9"/>
  <c r="B61" i="9"/>
  <c r="B34" i="9"/>
  <c r="C34" i="9"/>
  <c r="D34" i="9"/>
  <c r="E34" i="9"/>
  <c r="F34" i="9"/>
  <c r="G34" i="9"/>
  <c r="B35" i="9"/>
  <c r="C35" i="9"/>
  <c r="D35" i="9"/>
  <c r="E35" i="9"/>
  <c r="F35" i="9"/>
  <c r="G35" i="9"/>
  <c r="B36" i="9"/>
  <c r="C36" i="9"/>
  <c r="D36" i="9"/>
  <c r="E36" i="9"/>
  <c r="F36" i="9"/>
  <c r="G36" i="9"/>
  <c r="B37" i="9"/>
  <c r="C37" i="9"/>
  <c r="D37" i="9"/>
  <c r="E37" i="9"/>
  <c r="F37" i="9"/>
  <c r="G37" i="9"/>
  <c r="B38" i="9"/>
  <c r="C38" i="9"/>
  <c r="D38" i="9"/>
  <c r="E38" i="9"/>
  <c r="F38" i="9"/>
  <c r="G38" i="9"/>
  <c r="B39" i="9"/>
  <c r="C39" i="9"/>
  <c r="D39" i="9"/>
  <c r="E39" i="9"/>
  <c r="F39" i="9"/>
  <c r="G39" i="9"/>
  <c r="B40" i="9"/>
  <c r="C40" i="9"/>
  <c r="D40" i="9"/>
  <c r="E40" i="9"/>
  <c r="F40" i="9"/>
  <c r="G40" i="9"/>
  <c r="B41" i="9"/>
  <c r="C41" i="9"/>
  <c r="D41" i="9"/>
  <c r="E41" i="9"/>
  <c r="F41" i="9"/>
  <c r="G41" i="9"/>
  <c r="B42" i="9"/>
  <c r="C42" i="9"/>
  <c r="D42" i="9"/>
  <c r="E42" i="9"/>
  <c r="F42" i="9"/>
  <c r="G42" i="9"/>
  <c r="B43" i="9"/>
  <c r="C43" i="9"/>
  <c r="D43" i="9"/>
  <c r="E43" i="9"/>
  <c r="F43" i="9"/>
  <c r="G43" i="9"/>
  <c r="B44" i="9"/>
  <c r="C44" i="9"/>
  <c r="D44" i="9"/>
  <c r="E44" i="9"/>
  <c r="F44" i="9"/>
  <c r="G44" i="9"/>
  <c r="B45" i="9"/>
  <c r="C45" i="9"/>
  <c r="D45" i="9"/>
  <c r="E45" i="9"/>
  <c r="F45" i="9"/>
  <c r="G45" i="9"/>
  <c r="B46" i="9"/>
  <c r="C46" i="9"/>
  <c r="D46" i="9"/>
  <c r="E46" i="9"/>
  <c r="F46" i="9"/>
  <c r="G46" i="9"/>
  <c r="B47" i="9"/>
  <c r="C47" i="9"/>
  <c r="D47" i="9"/>
  <c r="E47" i="9"/>
  <c r="F47" i="9"/>
  <c r="G47" i="9"/>
  <c r="B48" i="9"/>
  <c r="C48" i="9"/>
  <c r="D48" i="9"/>
  <c r="E48" i="9"/>
  <c r="F48" i="9"/>
  <c r="G48" i="9"/>
  <c r="B49" i="9"/>
  <c r="C49" i="9"/>
  <c r="D49" i="9"/>
  <c r="E49" i="9"/>
  <c r="F49" i="9"/>
  <c r="G49" i="9"/>
  <c r="B50" i="9"/>
  <c r="C50" i="9"/>
  <c r="D50" i="9"/>
  <c r="E50" i="9"/>
  <c r="F50" i="9"/>
  <c r="G50" i="9"/>
  <c r="B51" i="9"/>
  <c r="C51" i="9"/>
  <c r="D51" i="9"/>
  <c r="E51" i="9"/>
  <c r="F51" i="9"/>
  <c r="G51" i="9"/>
  <c r="B52" i="9"/>
  <c r="C52" i="9"/>
  <c r="D52" i="9"/>
  <c r="E52" i="9"/>
  <c r="F52" i="9"/>
  <c r="G52" i="9"/>
  <c r="B53" i="9"/>
  <c r="C53" i="9"/>
  <c r="D53" i="9"/>
  <c r="E53" i="9"/>
  <c r="F53" i="9"/>
  <c r="G53" i="9"/>
  <c r="B54" i="9"/>
  <c r="C54" i="9"/>
  <c r="D54" i="9"/>
  <c r="E54" i="9"/>
  <c r="F54" i="9"/>
  <c r="G54" i="9"/>
  <c r="B55" i="9"/>
  <c r="C55" i="9"/>
  <c r="D55" i="9"/>
  <c r="E55" i="9"/>
  <c r="F55" i="9"/>
  <c r="G55" i="9"/>
  <c r="C33" i="9"/>
  <c r="D33" i="9"/>
  <c r="E33" i="9"/>
  <c r="F33" i="9"/>
  <c r="G33" i="9"/>
  <c r="B33" i="9"/>
  <c r="G31" i="9"/>
  <c r="F31" i="9"/>
  <c r="E31" i="9"/>
  <c r="D31" i="9"/>
  <c r="C31" i="9"/>
  <c r="B31" i="9"/>
  <c r="B5" i="9"/>
  <c r="C5" i="9"/>
  <c r="D5" i="9"/>
  <c r="E5" i="9"/>
  <c r="F5" i="9"/>
  <c r="G5" i="9"/>
  <c r="B6" i="9"/>
  <c r="C6" i="9"/>
  <c r="D6" i="9"/>
  <c r="E6" i="9"/>
  <c r="F6" i="9"/>
  <c r="G6" i="9"/>
  <c r="B7" i="9"/>
  <c r="C7" i="9"/>
  <c r="D7" i="9"/>
  <c r="E7" i="9"/>
  <c r="F7" i="9"/>
  <c r="G7" i="9"/>
  <c r="B8" i="9"/>
  <c r="C8" i="9"/>
  <c r="D8" i="9"/>
  <c r="E8" i="9"/>
  <c r="F8" i="9"/>
  <c r="G8" i="9"/>
  <c r="B9" i="9"/>
  <c r="C9" i="9"/>
  <c r="D9" i="9"/>
  <c r="E9" i="9"/>
  <c r="F9" i="9"/>
  <c r="G9" i="9"/>
  <c r="B10" i="9"/>
  <c r="C10" i="9"/>
  <c r="D10" i="9"/>
  <c r="E10" i="9"/>
  <c r="F10" i="9"/>
  <c r="G10" i="9"/>
  <c r="B11" i="9"/>
  <c r="C11" i="9"/>
  <c r="D11" i="9"/>
  <c r="E11" i="9"/>
  <c r="F11" i="9"/>
  <c r="G11" i="9"/>
  <c r="B12" i="9"/>
  <c r="C12" i="9"/>
  <c r="D12" i="9"/>
  <c r="E12" i="9"/>
  <c r="F12" i="9"/>
  <c r="G12" i="9"/>
  <c r="B13" i="9"/>
  <c r="C13" i="9"/>
  <c r="D13" i="9"/>
  <c r="E13" i="9"/>
  <c r="F13" i="9"/>
  <c r="G13" i="9"/>
  <c r="B14" i="9"/>
  <c r="C14" i="9"/>
  <c r="D14" i="9"/>
  <c r="E14" i="9"/>
  <c r="F14" i="9"/>
  <c r="G14" i="9"/>
  <c r="B15" i="9"/>
  <c r="C15" i="9"/>
  <c r="D15" i="9"/>
  <c r="E15" i="9"/>
  <c r="F15" i="9"/>
  <c r="G15" i="9"/>
  <c r="B16" i="9"/>
  <c r="C16" i="9"/>
  <c r="D16" i="9"/>
  <c r="E16" i="9"/>
  <c r="F16" i="9"/>
  <c r="G16" i="9"/>
  <c r="B17" i="9"/>
  <c r="C17" i="9"/>
  <c r="D17" i="9"/>
  <c r="E17" i="9"/>
  <c r="F17" i="9"/>
  <c r="G17" i="9"/>
  <c r="B18" i="9"/>
  <c r="C18" i="9"/>
  <c r="D18" i="9"/>
  <c r="E18" i="9"/>
  <c r="F18" i="9"/>
  <c r="G18" i="9"/>
  <c r="B19" i="9"/>
  <c r="C19" i="9"/>
  <c r="D19" i="9"/>
  <c r="E19" i="9"/>
  <c r="F19" i="9"/>
  <c r="G19" i="9"/>
  <c r="B20" i="9"/>
  <c r="C20" i="9"/>
  <c r="D20" i="9"/>
  <c r="E20" i="9"/>
  <c r="F20" i="9"/>
  <c r="G20" i="9"/>
  <c r="B21" i="9"/>
  <c r="C21" i="9"/>
  <c r="D21" i="9"/>
  <c r="E21" i="9"/>
  <c r="F21" i="9"/>
  <c r="G21" i="9"/>
  <c r="B22" i="9"/>
  <c r="C22" i="9"/>
  <c r="D22" i="9"/>
  <c r="E22" i="9"/>
  <c r="F22" i="9"/>
  <c r="G22" i="9"/>
  <c r="B23" i="9"/>
  <c r="C23" i="9"/>
  <c r="D23" i="9"/>
  <c r="E23" i="9"/>
  <c r="F23" i="9"/>
  <c r="G23" i="9"/>
  <c r="B24" i="9"/>
  <c r="C24" i="9"/>
  <c r="D24" i="9"/>
  <c r="E24" i="9"/>
  <c r="F24" i="9"/>
  <c r="G24" i="9"/>
  <c r="B25" i="9"/>
  <c r="C25" i="9"/>
  <c r="D25" i="9"/>
  <c r="E25" i="9"/>
  <c r="F25" i="9"/>
  <c r="G25" i="9"/>
  <c r="B26" i="9"/>
  <c r="C26" i="9"/>
  <c r="D26" i="9"/>
  <c r="E26" i="9"/>
  <c r="F26" i="9"/>
  <c r="G26" i="9"/>
  <c r="C4" i="9"/>
  <c r="E4" i="9"/>
  <c r="F4" i="9"/>
  <c r="G4" i="9"/>
  <c r="D34" i="20"/>
  <c r="E43" i="20" s="1"/>
  <c r="F52" i="20" s="1"/>
  <c r="G61" i="20" s="1"/>
  <c r="H70" i="20" s="1"/>
  <c r="I79" i="20" s="1"/>
  <c r="J88" i="20" s="1"/>
  <c r="K97" i="20" s="1"/>
  <c r="L106" i="20" s="1"/>
  <c r="M115" i="20" s="1"/>
  <c r="N124" i="20" s="1"/>
  <c r="O133" i="20" s="1"/>
  <c r="P142" i="20" s="1"/>
  <c r="Q151" i="20" s="1"/>
  <c r="R160" i="20" s="1"/>
  <c r="D33" i="20"/>
  <c r="E42" i="20" s="1"/>
  <c r="F51" i="20" s="1"/>
  <c r="G60" i="20" s="1"/>
  <c r="H69" i="20" s="1"/>
  <c r="I78" i="20" s="1"/>
  <c r="J87" i="20" s="1"/>
  <c r="K96" i="20" s="1"/>
  <c r="L105" i="20" s="1"/>
  <c r="M114" i="20" s="1"/>
  <c r="N123" i="20" s="1"/>
  <c r="O132" i="20" s="1"/>
  <c r="P141" i="20" s="1"/>
  <c r="Q150" i="20" s="1"/>
  <c r="R159" i="20" s="1"/>
  <c r="D32" i="20"/>
  <c r="E41" i="20" s="1"/>
  <c r="F50" i="20" s="1"/>
  <c r="G59" i="20" s="1"/>
  <c r="H68" i="20" s="1"/>
  <c r="I77" i="20" s="1"/>
  <c r="J86" i="20" s="1"/>
  <c r="K95" i="20" s="1"/>
  <c r="L104" i="20" s="1"/>
  <c r="M113" i="20" s="1"/>
  <c r="N122" i="20" s="1"/>
  <c r="O131" i="20" s="1"/>
  <c r="P140" i="20" s="1"/>
  <c r="Q149" i="20" s="1"/>
  <c r="R158" i="20" s="1"/>
  <c r="D31" i="20"/>
  <c r="E40" i="20" s="1"/>
  <c r="F49" i="20" s="1"/>
  <c r="G58" i="20" s="1"/>
  <c r="H67" i="20" s="1"/>
  <c r="I76" i="20" s="1"/>
  <c r="J85" i="20" s="1"/>
  <c r="K94" i="20" s="1"/>
  <c r="L103" i="20" s="1"/>
  <c r="M112" i="20" s="1"/>
  <c r="N121" i="20" s="1"/>
  <c r="O130" i="20" s="1"/>
  <c r="P139" i="20" s="1"/>
  <c r="Q148" i="20" s="1"/>
  <c r="R157" i="20" s="1"/>
  <c r="D30" i="20"/>
  <c r="E39" i="20" s="1"/>
  <c r="F48" i="20" s="1"/>
  <c r="G57" i="20" s="1"/>
  <c r="H66" i="20" s="1"/>
  <c r="I75" i="20" s="1"/>
  <c r="J84" i="20" s="1"/>
  <c r="K93" i="20" s="1"/>
  <c r="L102" i="20" s="1"/>
  <c r="M111" i="20" s="1"/>
  <c r="N120" i="20" s="1"/>
  <c r="O129" i="20" s="1"/>
  <c r="P138" i="20" s="1"/>
  <c r="Q147" i="20" s="1"/>
  <c r="R156" i="20" s="1"/>
  <c r="D29" i="20"/>
  <c r="E38" i="20" s="1"/>
  <c r="F47" i="20" s="1"/>
  <c r="G56" i="20" s="1"/>
  <c r="H65" i="20" s="1"/>
  <c r="I74" i="20" s="1"/>
  <c r="J83" i="20" s="1"/>
  <c r="K92" i="20" s="1"/>
  <c r="L101" i="20" s="1"/>
  <c r="M110" i="20" s="1"/>
  <c r="N119" i="20" s="1"/>
  <c r="O128" i="20" s="1"/>
  <c r="P137" i="20" s="1"/>
  <c r="Q146" i="20" s="1"/>
  <c r="R155" i="20" s="1"/>
  <c r="U19" i="21"/>
  <c r="U28" i="21" s="1"/>
  <c r="D19" i="21"/>
  <c r="D28" i="21" s="1"/>
  <c r="D37" i="21" s="1"/>
  <c r="D46" i="21" s="1"/>
  <c r="D55" i="21" s="1"/>
  <c r="D64" i="21" s="1"/>
  <c r="D73" i="21" s="1"/>
  <c r="D82" i="21" s="1"/>
  <c r="D91" i="21" s="1"/>
  <c r="D100" i="21" s="1"/>
  <c r="D109" i="21" s="1"/>
  <c r="D118" i="21" s="1"/>
  <c r="D127" i="21" s="1"/>
  <c r="D136" i="21" s="1"/>
  <c r="D145" i="21" s="1"/>
  <c r="D154" i="21" s="1"/>
  <c r="D163" i="21" s="1"/>
  <c r="D173" i="21" s="1"/>
  <c r="E19" i="21"/>
  <c r="E28" i="21" s="1"/>
  <c r="E37" i="21" s="1"/>
  <c r="E46" i="21" s="1"/>
  <c r="E55" i="21" s="1"/>
  <c r="E64" i="21" s="1"/>
  <c r="E73" i="21" s="1"/>
  <c r="E82" i="21" s="1"/>
  <c r="E91" i="21" s="1"/>
  <c r="E100" i="21" s="1"/>
  <c r="E109" i="21" s="1"/>
  <c r="E118" i="21" s="1"/>
  <c r="E127" i="21" s="1"/>
  <c r="E136" i="21" s="1"/>
  <c r="E145" i="21" s="1"/>
  <c r="E154" i="21" s="1"/>
  <c r="E163" i="21" s="1"/>
  <c r="E173" i="21" s="1"/>
  <c r="F19" i="21"/>
  <c r="F28" i="21" s="1"/>
  <c r="F37" i="21" s="1"/>
  <c r="F46" i="21" s="1"/>
  <c r="F55" i="21" s="1"/>
  <c r="F64" i="21" s="1"/>
  <c r="F73" i="21" s="1"/>
  <c r="F82" i="21" s="1"/>
  <c r="F91" i="21" s="1"/>
  <c r="F100" i="21" s="1"/>
  <c r="F109" i="21" s="1"/>
  <c r="F118" i="21" s="1"/>
  <c r="F127" i="21" s="1"/>
  <c r="F136" i="21" s="1"/>
  <c r="F145" i="21" s="1"/>
  <c r="F154" i="21" s="1"/>
  <c r="F163" i="21" s="1"/>
  <c r="F173" i="21" s="1"/>
  <c r="G19" i="21"/>
  <c r="G28" i="21" s="1"/>
  <c r="G37" i="21" s="1"/>
  <c r="G46" i="21" s="1"/>
  <c r="G55" i="21" s="1"/>
  <c r="G64" i="21" s="1"/>
  <c r="G73" i="21" s="1"/>
  <c r="G82" i="21" s="1"/>
  <c r="G91" i="21" s="1"/>
  <c r="G100" i="21" s="1"/>
  <c r="G109" i="21" s="1"/>
  <c r="G118" i="21" s="1"/>
  <c r="G127" i="21" s="1"/>
  <c r="G136" i="21" s="1"/>
  <c r="G145" i="21" s="1"/>
  <c r="G154" i="21" s="1"/>
  <c r="G163" i="21" s="1"/>
  <c r="G173" i="21" s="1"/>
  <c r="H19" i="21"/>
  <c r="H28" i="21" s="1"/>
  <c r="H37" i="21" s="1"/>
  <c r="H46" i="21" s="1"/>
  <c r="H55" i="21" s="1"/>
  <c r="H64" i="21" s="1"/>
  <c r="H73" i="21" s="1"/>
  <c r="H82" i="21" s="1"/>
  <c r="H91" i="21" s="1"/>
  <c r="H100" i="21" s="1"/>
  <c r="H109" i="21" s="1"/>
  <c r="H118" i="21" s="1"/>
  <c r="H127" i="21" s="1"/>
  <c r="H136" i="21" s="1"/>
  <c r="H145" i="21" s="1"/>
  <c r="H154" i="21" s="1"/>
  <c r="H163" i="21" s="1"/>
  <c r="H173" i="21" s="1"/>
  <c r="I19" i="21"/>
  <c r="I28" i="21" s="1"/>
  <c r="I37" i="21" s="1"/>
  <c r="I46" i="21" s="1"/>
  <c r="I55" i="21" s="1"/>
  <c r="I64" i="21" s="1"/>
  <c r="I73" i="21" s="1"/>
  <c r="I82" i="21" s="1"/>
  <c r="I91" i="21" s="1"/>
  <c r="I100" i="21" s="1"/>
  <c r="I109" i="21" s="1"/>
  <c r="I118" i="21" s="1"/>
  <c r="I127" i="21" s="1"/>
  <c r="I136" i="21" s="1"/>
  <c r="I145" i="21" s="1"/>
  <c r="I154" i="21" s="1"/>
  <c r="I163" i="21" s="1"/>
  <c r="I173" i="21" s="1"/>
  <c r="J19" i="21"/>
  <c r="J28" i="21" s="1"/>
  <c r="J37" i="21" s="1"/>
  <c r="J46" i="21" s="1"/>
  <c r="J55" i="21" s="1"/>
  <c r="J64" i="21" s="1"/>
  <c r="J73" i="21" s="1"/>
  <c r="J82" i="21" s="1"/>
  <c r="J91" i="21" s="1"/>
  <c r="J100" i="21" s="1"/>
  <c r="J109" i="21" s="1"/>
  <c r="J118" i="21" s="1"/>
  <c r="J127" i="21" s="1"/>
  <c r="J136" i="21" s="1"/>
  <c r="J145" i="21" s="1"/>
  <c r="J154" i="21" s="1"/>
  <c r="J163" i="21" s="1"/>
  <c r="J173" i="21" s="1"/>
  <c r="K19" i="21"/>
  <c r="K28" i="21" s="1"/>
  <c r="K37" i="21" s="1"/>
  <c r="K46" i="21" s="1"/>
  <c r="K55" i="21" s="1"/>
  <c r="K64" i="21" s="1"/>
  <c r="K73" i="21" s="1"/>
  <c r="K82" i="21" s="1"/>
  <c r="K91" i="21" s="1"/>
  <c r="K100" i="21" s="1"/>
  <c r="K109" i="21" s="1"/>
  <c r="K118" i="21" s="1"/>
  <c r="K127" i="21" s="1"/>
  <c r="K136" i="21" s="1"/>
  <c r="K145" i="21" s="1"/>
  <c r="K154" i="21" s="1"/>
  <c r="K163" i="21" s="1"/>
  <c r="K173" i="21" s="1"/>
  <c r="L19" i="21"/>
  <c r="L28" i="21" s="1"/>
  <c r="L37" i="21" s="1"/>
  <c r="L46" i="21" s="1"/>
  <c r="L55" i="21" s="1"/>
  <c r="L64" i="21" s="1"/>
  <c r="L73" i="21" s="1"/>
  <c r="L82" i="21" s="1"/>
  <c r="L91" i="21" s="1"/>
  <c r="L100" i="21" s="1"/>
  <c r="L109" i="21" s="1"/>
  <c r="L118" i="21" s="1"/>
  <c r="L127" i="21" s="1"/>
  <c r="L136" i="21" s="1"/>
  <c r="L145" i="21" s="1"/>
  <c r="L154" i="21" s="1"/>
  <c r="L163" i="21" s="1"/>
  <c r="L173" i="21" s="1"/>
  <c r="M19" i="21"/>
  <c r="M28" i="21" s="1"/>
  <c r="M37" i="21" s="1"/>
  <c r="M46" i="21" s="1"/>
  <c r="M55" i="21" s="1"/>
  <c r="M64" i="21" s="1"/>
  <c r="M73" i="21" s="1"/>
  <c r="M82" i="21" s="1"/>
  <c r="M91" i="21" s="1"/>
  <c r="M100" i="21" s="1"/>
  <c r="M109" i="21" s="1"/>
  <c r="M118" i="21" s="1"/>
  <c r="M127" i="21" s="1"/>
  <c r="M136" i="21" s="1"/>
  <c r="M145" i="21" s="1"/>
  <c r="M154" i="21" s="1"/>
  <c r="M163" i="21" s="1"/>
  <c r="M173" i="21" s="1"/>
  <c r="N19" i="21"/>
  <c r="N28" i="21" s="1"/>
  <c r="N37" i="21" s="1"/>
  <c r="N46" i="21" s="1"/>
  <c r="N55" i="21" s="1"/>
  <c r="N64" i="21" s="1"/>
  <c r="N73" i="21" s="1"/>
  <c r="N82" i="21" s="1"/>
  <c r="N91" i="21" s="1"/>
  <c r="N100" i="21" s="1"/>
  <c r="N109" i="21" s="1"/>
  <c r="N118" i="21" s="1"/>
  <c r="N127" i="21" s="1"/>
  <c r="N136" i="21" s="1"/>
  <c r="N145" i="21" s="1"/>
  <c r="N154" i="21" s="1"/>
  <c r="N163" i="21" s="1"/>
  <c r="N173" i="21" s="1"/>
  <c r="O19" i="21"/>
  <c r="O28" i="21" s="1"/>
  <c r="O37" i="21" s="1"/>
  <c r="O46" i="21" s="1"/>
  <c r="O55" i="21" s="1"/>
  <c r="O64" i="21" s="1"/>
  <c r="O73" i="21" s="1"/>
  <c r="O82" i="21" s="1"/>
  <c r="O91" i="21" s="1"/>
  <c r="O100" i="21" s="1"/>
  <c r="O109" i="21" s="1"/>
  <c r="O118" i="21" s="1"/>
  <c r="O127" i="21" s="1"/>
  <c r="O136" i="21" s="1"/>
  <c r="O145" i="21" s="1"/>
  <c r="O154" i="21" s="1"/>
  <c r="O163" i="21" s="1"/>
  <c r="O173" i="21" s="1"/>
  <c r="P19" i="21"/>
  <c r="P28" i="21" s="1"/>
  <c r="P37" i="21" s="1"/>
  <c r="P46" i="21" s="1"/>
  <c r="P55" i="21" s="1"/>
  <c r="P64" i="21" s="1"/>
  <c r="P73" i="21" s="1"/>
  <c r="P82" i="21" s="1"/>
  <c r="P91" i="21" s="1"/>
  <c r="P100" i="21" s="1"/>
  <c r="P109" i="21" s="1"/>
  <c r="P118" i="21" s="1"/>
  <c r="P127" i="21" s="1"/>
  <c r="P136" i="21" s="1"/>
  <c r="P145" i="21" s="1"/>
  <c r="P154" i="21" s="1"/>
  <c r="P163" i="21" s="1"/>
  <c r="P173" i="21" s="1"/>
  <c r="Q19" i="21"/>
  <c r="Q28" i="21" s="1"/>
  <c r="Q37" i="21" s="1"/>
  <c r="Q46" i="21" s="1"/>
  <c r="Q55" i="21" s="1"/>
  <c r="Q64" i="21" s="1"/>
  <c r="Q73" i="21" s="1"/>
  <c r="Q82" i="21" s="1"/>
  <c r="Q91" i="21" s="1"/>
  <c r="Q100" i="21" s="1"/>
  <c r="Q109" i="21" s="1"/>
  <c r="Q118" i="21" s="1"/>
  <c r="Q127" i="21" s="1"/>
  <c r="Q136" i="21" s="1"/>
  <c r="Q145" i="21" s="1"/>
  <c r="Q154" i="21" s="1"/>
  <c r="Q163" i="21" s="1"/>
  <c r="Q173" i="21" s="1"/>
  <c r="R19" i="21"/>
  <c r="R28" i="21" s="1"/>
  <c r="R37" i="21" s="1"/>
  <c r="R46" i="21" s="1"/>
  <c r="R55" i="21" s="1"/>
  <c r="R64" i="21" s="1"/>
  <c r="R73" i="21" s="1"/>
  <c r="R82" i="21" s="1"/>
  <c r="R91" i="21" s="1"/>
  <c r="R100" i="21" s="1"/>
  <c r="R109" i="21" s="1"/>
  <c r="R118" i="21" s="1"/>
  <c r="R127" i="21" s="1"/>
  <c r="R136" i="21" s="1"/>
  <c r="R145" i="21" s="1"/>
  <c r="R154" i="21" s="1"/>
  <c r="R163" i="21" s="1"/>
  <c r="R173" i="21" s="1"/>
  <c r="S19" i="21"/>
  <c r="S28" i="21" s="1"/>
  <c r="S37" i="21" s="1"/>
  <c r="S46" i="21" s="1"/>
  <c r="S55" i="21" s="1"/>
  <c r="S64" i="21" s="1"/>
  <c r="S73" i="21" s="1"/>
  <c r="S82" i="21" s="1"/>
  <c r="S91" i="21" s="1"/>
  <c r="S100" i="21" s="1"/>
  <c r="S109" i="21" s="1"/>
  <c r="S118" i="21" s="1"/>
  <c r="S127" i="21" s="1"/>
  <c r="S136" i="21" s="1"/>
  <c r="S145" i="21" s="1"/>
  <c r="S154" i="21" s="1"/>
  <c r="S163" i="21" s="1"/>
  <c r="S173" i="21" s="1"/>
  <c r="T19" i="21"/>
  <c r="T28" i="21" s="1"/>
  <c r="T37" i="21" s="1"/>
  <c r="T46" i="21" s="1"/>
  <c r="T55" i="21" s="1"/>
  <c r="T64" i="21" s="1"/>
  <c r="C19" i="21"/>
  <c r="C28" i="21" s="1"/>
  <c r="C37" i="21" s="1"/>
  <c r="C46" i="21" s="1"/>
  <c r="C55" i="21" s="1"/>
  <c r="C64" i="21" s="1"/>
  <c r="C73" i="21" s="1"/>
  <c r="C82" i="21" s="1"/>
  <c r="C91" i="21" s="1"/>
  <c r="C100" i="21" s="1"/>
  <c r="C109" i="21" s="1"/>
  <c r="C118" i="21" s="1"/>
  <c r="C127" i="21" s="1"/>
  <c r="C136" i="21" s="1"/>
  <c r="C145" i="21" s="1"/>
  <c r="C154" i="21" s="1"/>
  <c r="C163" i="21" s="1"/>
  <c r="C173" i="21" s="1"/>
  <c r="D62" i="19"/>
  <c r="D61" i="19"/>
  <c r="D60" i="19"/>
  <c r="D59" i="19"/>
  <c r="D58" i="19"/>
  <c r="D56" i="19"/>
  <c r="D55" i="19"/>
  <c r="D54" i="19"/>
  <c r="D53" i="19"/>
  <c r="D52" i="19"/>
  <c r="D49" i="19"/>
  <c r="D48" i="19"/>
  <c r="D46" i="19"/>
  <c r="D45" i="19"/>
  <c r="D44" i="19"/>
  <c r="D43" i="19"/>
  <c r="D42" i="19"/>
  <c r="D41" i="19"/>
  <c r="D39" i="19"/>
  <c r="D38" i="19"/>
  <c r="D37" i="19"/>
  <c r="D36" i="19"/>
  <c r="D35" i="19"/>
  <c r="D34" i="19"/>
  <c r="D31" i="19"/>
  <c r="D30" i="19"/>
  <c r="D28" i="19"/>
  <c r="D27" i="19"/>
  <c r="D26" i="19"/>
  <c r="D25" i="19"/>
  <c r="D24" i="19"/>
  <c r="D22" i="19"/>
  <c r="D21" i="19"/>
  <c r="D20" i="19"/>
  <c r="D19" i="19"/>
  <c r="D18" i="19"/>
  <c r="D15" i="19"/>
  <c r="D14" i="19"/>
  <c r="D12" i="19"/>
  <c r="D11" i="19"/>
  <c r="C1" i="22"/>
  <c r="C10" i="22" s="1"/>
  <c r="D1" i="22"/>
  <c r="D10" i="22" s="1"/>
  <c r="E1" i="22"/>
  <c r="E10" i="22" s="1"/>
  <c r="F1" i="22"/>
  <c r="F10" i="22" s="1"/>
  <c r="G1" i="22"/>
  <c r="G10" i="22" s="1"/>
  <c r="H1" i="22"/>
  <c r="H10" i="22" s="1"/>
  <c r="I1" i="22"/>
  <c r="I10" i="22" s="1"/>
  <c r="J1" i="22"/>
  <c r="J10" i="22" s="1"/>
  <c r="K1" i="22"/>
  <c r="K10" i="22" s="1"/>
  <c r="L1" i="22"/>
  <c r="L10" i="22" s="1"/>
  <c r="M1" i="22"/>
  <c r="M10" i="22" s="1"/>
  <c r="N1" i="22"/>
  <c r="N10" i="22" s="1"/>
  <c r="O1" i="22"/>
  <c r="O10" i="22" s="1"/>
  <c r="P1" i="22"/>
  <c r="P10" i="22" s="1"/>
  <c r="Q1" i="22"/>
  <c r="Q10" i="22" s="1"/>
  <c r="R1" i="22"/>
  <c r="R10" i="22" s="1"/>
  <c r="S1" i="22"/>
  <c r="S10" i="22" s="1"/>
  <c r="T1" i="22"/>
  <c r="T10" i="22" s="1"/>
  <c r="B1" i="22"/>
  <c r="B10" i="22" s="1"/>
  <c r="B15" i="22"/>
  <c r="C15" i="20" s="1"/>
  <c r="C26" i="21"/>
  <c r="C35" i="21"/>
  <c r="D35" i="21"/>
  <c r="C44" i="21"/>
  <c r="D44" i="21"/>
  <c r="E44" i="21"/>
  <c r="C53" i="21"/>
  <c r="D53" i="21"/>
  <c r="E53" i="21"/>
  <c r="F53" i="21"/>
  <c r="C62" i="21"/>
  <c r="D62" i="21"/>
  <c r="E62" i="21"/>
  <c r="F62" i="21"/>
  <c r="G62" i="21"/>
  <c r="C71" i="21"/>
  <c r="D71" i="21"/>
  <c r="E71" i="21"/>
  <c r="F71" i="21"/>
  <c r="G71" i="21"/>
  <c r="H71" i="21"/>
  <c r="I71" i="21"/>
  <c r="J71" i="21"/>
  <c r="K71" i="21"/>
  <c r="L71" i="21"/>
  <c r="M71" i="21"/>
  <c r="N71" i="21"/>
  <c r="O71" i="21"/>
  <c r="P71" i="21"/>
  <c r="Q71" i="21"/>
  <c r="R71" i="21"/>
  <c r="S71" i="21"/>
  <c r="T71" i="21"/>
  <c r="U71" i="21"/>
  <c r="K83" i="21"/>
  <c r="L92" i="21" s="1"/>
  <c r="M101" i="21" s="1"/>
  <c r="N110" i="21" s="1"/>
  <c r="O119" i="21" s="1"/>
  <c r="P128" i="21" s="1"/>
  <c r="Q137" i="21" s="1"/>
  <c r="R146" i="21" s="1"/>
  <c r="K74" i="21"/>
  <c r="L83" i="21" s="1"/>
  <c r="L74" i="21"/>
  <c r="M74" i="21"/>
  <c r="N83" i="21" s="1"/>
  <c r="O92" i="21" s="1"/>
  <c r="P101" i="21" s="1"/>
  <c r="Q110" i="21" s="1"/>
  <c r="N74" i="21"/>
  <c r="O83" i="21" s="1"/>
  <c r="P92" i="21" s="1"/>
  <c r="Q101" i="21" s="1"/>
  <c r="O74" i="21"/>
  <c r="P83" i="21" s="1"/>
  <c r="Q92" i="21" s="1"/>
  <c r="R101" i="21" s="1"/>
  <c r="S110" i="21" s="1"/>
  <c r="T119" i="21" s="1"/>
  <c r="U128" i="21" s="1"/>
  <c r="P74" i="21"/>
  <c r="Q74" i="21"/>
  <c r="R74" i="21"/>
  <c r="S74" i="21"/>
  <c r="T83" i="21" s="1"/>
  <c r="U92" i="21" s="1"/>
  <c r="T74" i="21"/>
  <c r="U83" i="21" s="1"/>
  <c r="U74" i="21"/>
  <c r="J75" i="21"/>
  <c r="K84" i="21" s="1"/>
  <c r="L93" i="21" s="1"/>
  <c r="M102" i="21" s="1"/>
  <c r="K75" i="21"/>
  <c r="L84" i="21" s="1"/>
  <c r="M93" i="21" s="1"/>
  <c r="N102" i="21" s="1"/>
  <c r="O111" i="21" s="1"/>
  <c r="P120" i="21" s="1"/>
  <c r="Q129" i="21" s="1"/>
  <c r="R138" i="21" s="1"/>
  <c r="S147" i="21" s="1"/>
  <c r="T156" i="21" s="1"/>
  <c r="L75" i="21"/>
  <c r="M84" i="21" s="1"/>
  <c r="N93" i="21" s="1"/>
  <c r="O102" i="21" s="1"/>
  <c r="P111" i="21" s="1"/>
  <c r="Q120" i="21" s="1"/>
  <c r="M75" i="21"/>
  <c r="N84" i="21" s="1"/>
  <c r="N75" i="21"/>
  <c r="O84" i="21" s="1"/>
  <c r="P93" i="21" s="1"/>
  <c r="O75" i="21"/>
  <c r="P84" i="21" s="1"/>
  <c r="Q93" i="21" s="1"/>
  <c r="R102" i="21" s="1"/>
  <c r="P75" i="21"/>
  <c r="Q84" i="21" s="1"/>
  <c r="R93" i="21" s="1"/>
  <c r="S102" i="21" s="1"/>
  <c r="T111" i="21" s="1"/>
  <c r="U120" i="21" s="1"/>
  <c r="Q75" i="21"/>
  <c r="R84" i="21" s="1"/>
  <c r="S93" i="21" s="1"/>
  <c r="T102" i="21" s="1"/>
  <c r="U111" i="21" s="1"/>
  <c r="R75" i="21"/>
  <c r="S84" i="21" s="1"/>
  <c r="T93" i="21" s="1"/>
  <c r="U102" i="21" s="1"/>
  <c r="S75" i="21"/>
  <c r="T84" i="21" s="1"/>
  <c r="U93" i="21" s="1"/>
  <c r="T75" i="21"/>
  <c r="U84" i="21" s="1"/>
  <c r="U75" i="21"/>
  <c r="J76" i="21"/>
  <c r="K85" i="21" s="1"/>
  <c r="K76" i="21"/>
  <c r="L85" i="21" s="1"/>
  <c r="M94" i="21" s="1"/>
  <c r="N103" i="21" s="1"/>
  <c r="O112" i="21" s="1"/>
  <c r="P121" i="21" s="1"/>
  <c r="Q130" i="21" s="1"/>
  <c r="R139" i="21" s="1"/>
  <c r="S148" i="21" s="1"/>
  <c r="T157" i="21" s="1"/>
  <c r="L76" i="21"/>
  <c r="M85" i="21" s="1"/>
  <c r="N94" i="21" s="1"/>
  <c r="M76" i="21"/>
  <c r="N85" i="21" s="1"/>
  <c r="O94" i="21" s="1"/>
  <c r="P103" i="21" s="1"/>
  <c r="Q112" i="21" s="1"/>
  <c r="R121" i="21" s="1"/>
  <c r="S130" i="21" s="1"/>
  <c r="T139" i="21" s="1"/>
  <c r="U148" i="21" s="1"/>
  <c r="N76" i="21"/>
  <c r="O85" i="21" s="1"/>
  <c r="P94" i="21" s="1"/>
  <c r="Q103" i="21" s="1"/>
  <c r="R112" i="21" s="1"/>
  <c r="S121" i="21" s="1"/>
  <c r="T130" i="21" s="1"/>
  <c r="U139" i="21" s="1"/>
  <c r="O76" i="21"/>
  <c r="P85" i="21" s="1"/>
  <c r="Q94" i="21" s="1"/>
  <c r="R103" i="21" s="1"/>
  <c r="S112" i="21" s="1"/>
  <c r="T121" i="21" s="1"/>
  <c r="U130" i="21" s="1"/>
  <c r="P76" i="21"/>
  <c r="Q85" i="21" s="1"/>
  <c r="R94" i="21" s="1"/>
  <c r="S103" i="21" s="1"/>
  <c r="T112" i="21" s="1"/>
  <c r="U121" i="21" s="1"/>
  <c r="Q76" i="21"/>
  <c r="R85" i="21" s="1"/>
  <c r="S94" i="21" s="1"/>
  <c r="T103" i="21" s="1"/>
  <c r="U112" i="21" s="1"/>
  <c r="R76" i="21"/>
  <c r="S85" i="21" s="1"/>
  <c r="S76" i="21"/>
  <c r="T85" i="21" s="1"/>
  <c r="U94" i="21" s="1"/>
  <c r="T76" i="21"/>
  <c r="U85" i="21" s="1"/>
  <c r="U76" i="21"/>
  <c r="J77" i="21"/>
  <c r="K86" i="21" s="1"/>
  <c r="K77" i="21"/>
  <c r="L86" i="21" s="1"/>
  <c r="M95" i="21" s="1"/>
  <c r="N104" i="21" s="1"/>
  <c r="L77" i="21"/>
  <c r="M86" i="21" s="1"/>
  <c r="N95" i="21" s="1"/>
  <c r="O104" i="21" s="1"/>
  <c r="P113" i="21" s="1"/>
  <c r="Q122" i="21" s="1"/>
  <c r="R131" i="21" s="1"/>
  <c r="S140" i="21" s="1"/>
  <c r="T149" i="21" s="1"/>
  <c r="U158" i="21" s="1"/>
  <c r="M77" i="21"/>
  <c r="N86" i="21" s="1"/>
  <c r="O95" i="21" s="1"/>
  <c r="P104" i="21" s="1"/>
  <c r="Q113" i="21" s="1"/>
  <c r="R122" i="21" s="1"/>
  <c r="S131" i="21" s="1"/>
  <c r="T140" i="21" s="1"/>
  <c r="U149" i="21" s="1"/>
  <c r="N77" i="21"/>
  <c r="O86" i="21" s="1"/>
  <c r="P95" i="21" s="1"/>
  <c r="Q104" i="21" s="1"/>
  <c r="R113" i="21" s="1"/>
  <c r="S122" i="21" s="1"/>
  <c r="T131" i="21" s="1"/>
  <c r="U140" i="21" s="1"/>
  <c r="O77" i="21"/>
  <c r="P86" i="21" s="1"/>
  <c r="P77" i="21"/>
  <c r="Q77" i="21"/>
  <c r="R86" i="21" s="1"/>
  <c r="S95" i="21" s="1"/>
  <c r="T104" i="21" s="1"/>
  <c r="U113" i="21" s="1"/>
  <c r="R77" i="21"/>
  <c r="S86" i="21" s="1"/>
  <c r="T95" i="21" s="1"/>
  <c r="U104" i="21" s="1"/>
  <c r="S77" i="21"/>
  <c r="T86" i="21" s="1"/>
  <c r="U95" i="21" s="1"/>
  <c r="T77" i="21"/>
  <c r="U86" i="21" s="1"/>
  <c r="U77" i="21"/>
  <c r="J78" i="21"/>
  <c r="K87" i="21" s="1"/>
  <c r="L96" i="21" s="1"/>
  <c r="M105" i="21" s="1"/>
  <c r="N114" i="21" s="1"/>
  <c r="O123" i="21" s="1"/>
  <c r="P132" i="21" s="1"/>
  <c r="Q141" i="21" s="1"/>
  <c r="R150" i="21" s="1"/>
  <c r="S159" i="21" s="1"/>
  <c r="K78" i="21"/>
  <c r="L87" i="21" s="1"/>
  <c r="M96" i="21" s="1"/>
  <c r="N105" i="21" s="1"/>
  <c r="O114" i="21" s="1"/>
  <c r="P123" i="21" s="1"/>
  <c r="Q132" i="21" s="1"/>
  <c r="R141" i="21" s="1"/>
  <c r="S150" i="21" s="1"/>
  <c r="T159" i="21" s="1"/>
  <c r="L78" i="21"/>
  <c r="M78" i="21"/>
  <c r="N87" i="21" s="1"/>
  <c r="O96" i="21" s="1"/>
  <c r="P105" i="21" s="1"/>
  <c r="Q114" i="21" s="1"/>
  <c r="R123" i="21" s="1"/>
  <c r="S132" i="21" s="1"/>
  <c r="T141" i="21" s="1"/>
  <c r="U150" i="21" s="1"/>
  <c r="N78" i="21"/>
  <c r="O87" i="21" s="1"/>
  <c r="P96" i="21" s="1"/>
  <c r="Q105" i="21" s="1"/>
  <c r="R114" i="21" s="1"/>
  <c r="S123" i="21" s="1"/>
  <c r="T132" i="21" s="1"/>
  <c r="U141" i="21" s="1"/>
  <c r="O78" i="21"/>
  <c r="P87" i="21" s="1"/>
  <c r="Q96" i="21" s="1"/>
  <c r="R105" i="21" s="1"/>
  <c r="S114" i="21" s="1"/>
  <c r="T123" i="21" s="1"/>
  <c r="U132" i="21" s="1"/>
  <c r="P78" i="21"/>
  <c r="Q87" i="21" s="1"/>
  <c r="R96" i="21" s="1"/>
  <c r="Q78" i="21"/>
  <c r="R87" i="21" s="1"/>
  <c r="S96" i="21" s="1"/>
  <c r="T105" i="21" s="1"/>
  <c r="U114" i="21" s="1"/>
  <c r="R78" i="21"/>
  <c r="S87" i="21" s="1"/>
  <c r="T96" i="21" s="1"/>
  <c r="U105" i="21" s="1"/>
  <c r="S78" i="21"/>
  <c r="T87" i="21" s="1"/>
  <c r="U96" i="21" s="1"/>
  <c r="T78" i="21"/>
  <c r="U78" i="21"/>
  <c r="J79" i="21"/>
  <c r="K88" i="21" s="1"/>
  <c r="L97" i="21" s="1"/>
  <c r="M106" i="21" s="1"/>
  <c r="N115" i="21" s="1"/>
  <c r="O124" i="21" s="1"/>
  <c r="P133" i="21" s="1"/>
  <c r="Q142" i="21" s="1"/>
  <c r="R151" i="21" s="1"/>
  <c r="S160" i="21" s="1"/>
  <c r="K79" i="21"/>
  <c r="L88" i="21" s="1"/>
  <c r="M97" i="21" s="1"/>
  <c r="N106" i="21" s="1"/>
  <c r="O115" i="21" s="1"/>
  <c r="P124" i="21" s="1"/>
  <c r="Q133" i="21" s="1"/>
  <c r="R142" i="21" s="1"/>
  <c r="S151" i="21" s="1"/>
  <c r="T160" i="21" s="1"/>
  <c r="L79" i="21"/>
  <c r="M88" i="21" s="1"/>
  <c r="N97" i="21" s="1"/>
  <c r="O106" i="21" s="1"/>
  <c r="P115" i="21" s="1"/>
  <c r="Q124" i="21" s="1"/>
  <c r="R133" i="21" s="1"/>
  <c r="S142" i="21" s="1"/>
  <c r="T151" i="21" s="1"/>
  <c r="U160" i="21" s="1"/>
  <c r="M79" i="21"/>
  <c r="N88" i="21" s="1"/>
  <c r="O97" i="21" s="1"/>
  <c r="P106" i="21" s="1"/>
  <c r="Q115" i="21" s="1"/>
  <c r="R124" i="21" s="1"/>
  <c r="S133" i="21" s="1"/>
  <c r="T142" i="21" s="1"/>
  <c r="U151" i="21" s="1"/>
  <c r="N79" i="21"/>
  <c r="O88" i="21" s="1"/>
  <c r="P97" i="21" s="1"/>
  <c r="Q106" i="21" s="1"/>
  <c r="R115" i="21" s="1"/>
  <c r="S124" i="21" s="1"/>
  <c r="T133" i="21" s="1"/>
  <c r="U142" i="21" s="1"/>
  <c r="O79" i="21"/>
  <c r="P88" i="21" s="1"/>
  <c r="Q97" i="21" s="1"/>
  <c r="R106" i="21" s="1"/>
  <c r="S115" i="21" s="1"/>
  <c r="T124" i="21" s="1"/>
  <c r="U133" i="21" s="1"/>
  <c r="P79" i="21"/>
  <c r="Q79" i="21"/>
  <c r="R88" i="21" s="1"/>
  <c r="S97" i="21" s="1"/>
  <c r="T106" i="21" s="1"/>
  <c r="U115" i="21" s="1"/>
  <c r="R79" i="21"/>
  <c r="S88" i="21" s="1"/>
  <c r="T97" i="21" s="1"/>
  <c r="U106" i="21" s="1"/>
  <c r="S79" i="21"/>
  <c r="T88" i="21" s="1"/>
  <c r="U97" i="21" s="1"/>
  <c r="T79" i="21"/>
  <c r="U88" i="21" s="1"/>
  <c r="U79" i="21"/>
  <c r="C80" i="21"/>
  <c r="D80" i="21"/>
  <c r="E80" i="21"/>
  <c r="F80" i="21"/>
  <c r="G80" i="21"/>
  <c r="H80" i="21"/>
  <c r="I80" i="21"/>
  <c r="M83" i="21"/>
  <c r="N92" i="21" s="1"/>
  <c r="O101" i="21" s="1"/>
  <c r="P110" i="21" s="1"/>
  <c r="Q119" i="21" s="1"/>
  <c r="R128" i="21" s="1"/>
  <c r="Q86" i="21"/>
  <c r="R95" i="21" s="1"/>
  <c r="S104" i="21" s="1"/>
  <c r="T113" i="21" s="1"/>
  <c r="U122" i="21" s="1"/>
  <c r="M87" i="21"/>
  <c r="U87" i="21"/>
  <c r="Q88" i="21"/>
  <c r="R97" i="21" s="1"/>
  <c r="S106" i="21" s="1"/>
  <c r="T115" i="21" s="1"/>
  <c r="U124" i="21" s="1"/>
  <c r="C89" i="21"/>
  <c r="D89" i="21"/>
  <c r="E89" i="21"/>
  <c r="F89" i="21"/>
  <c r="G89" i="21"/>
  <c r="H89" i="21"/>
  <c r="I89" i="21"/>
  <c r="J89" i="21"/>
  <c r="C98" i="21"/>
  <c r="D98" i="21"/>
  <c r="E98" i="21"/>
  <c r="F98" i="21"/>
  <c r="G98" i="21"/>
  <c r="H98" i="21"/>
  <c r="I98" i="21"/>
  <c r="J98" i="21"/>
  <c r="K98" i="21"/>
  <c r="C107" i="21"/>
  <c r="D107" i="21"/>
  <c r="E107" i="21"/>
  <c r="F107" i="21"/>
  <c r="F180" i="21" s="1"/>
  <c r="G107" i="21"/>
  <c r="H107" i="21"/>
  <c r="I107" i="21"/>
  <c r="J107" i="21"/>
  <c r="J180" i="21" s="1"/>
  <c r="K107" i="21"/>
  <c r="L107" i="21"/>
  <c r="C116" i="21"/>
  <c r="D116" i="21"/>
  <c r="E116" i="21"/>
  <c r="F116" i="21"/>
  <c r="G116" i="21"/>
  <c r="H116" i="21"/>
  <c r="I116" i="21"/>
  <c r="J116" i="21"/>
  <c r="K116" i="21"/>
  <c r="L116" i="21"/>
  <c r="M116" i="21"/>
  <c r="C125" i="21"/>
  <c r="D125" i="21"/>
  <c r="E125" i="21"/>
  <c r="F125" i="21"/>
  <c r="G125" i="21"/>
  <c r="G181" i="21" s="1"/>
  <c r="H125" i="21"/>
  <c r="I125" i="21"/>
  <c r="J125" i="21"/>
  <c r="K125" i="21"/>
  <c r="L125" i="21"/>
  <c r="M125" i="21"/>
  <c r="N125" i="21"/>
  <c r="C134" i="21"/>
  <c r="D134" i="21"/>
  <c r="E134" i="21"/>
  <c r="F134" i="21"/>
  <c r="G134" i="21"/>
  <c r="H134" i="21"/>
  <c r="I134" i="21"/>
  <c r="J134" i="21"/>
  <c r="K134" i="21"/>
  <c r="L134" i="21"/>
  <c r="M134" i="21"/>
  <c r="N134" i="21"/>
  <c r="O134" i="21"/>
  <c r="C143" i="21"/>
  <c r="C182" i="21" s="1"/>
  <c r="D143" i="21"/>
  <c r="D182" i="21" s="1"/>
  <c r="E143" i="21"/>
  <c r="E182" i="21" s="1"/>
  <c r="F143" i="21"/>
  <c r="F182" i="21" s="1"/>
  <c r="G143" i="21"/>
  <c r="G182" i="21" s="1"/>
  <c r="H143" i="21"/>
  <c r="H182" i="21" s="1"/>
  <c r="I143" i="21"/>
  <c r="I182" i="21" s="1"/>
  <c r="J143" i="21"/>
  <c r="K143" i="21"/>
  <c r="K182" i="21" s="1"/>
  <c r="L143" i="21"/>
  <c r="L182" i="21" s="1"/>
  <c r="M143" i="21"/>
  <c r="M182" i="21" s="1"/>
  <c r="N143" i="21"/>
  <c r="N182" i="21" s="1"/>
  <c r="O143" i="21"/>
  <c r="O182" i="21" s="1"/>
  <c r="P143" i="21"/>
  <c r="P182" i="21" s="1"/>
  <c r="C161" i="21"/>
  <c r="C183" i="21" s="1"/>
  <c r="D161" i="21"/>
  <c r="D183" i="21" s="1"/>
  <c r="E161" i="21"/>
  <c r="E183" i="21" s="1"/>
  <c r="F161" i="21"/>
  <c r="F183" i="21" s="1"/>
  <c r="G161" i="21"/>
  <c r="G183" i="21" s="1"/>
  <c r="H161" i="21"/>
  <c r="H183" i="21" s="1"/>
  <c r="I161" i="21"/>
  <c r="I183" i="21" s="1"/>
  <c r="J161" i="21"/>
  <c r="J183" i="21" s="1"/>
  <c r="K161" i="21"/>
  <c r="K183" i="21" s="1"/>
  <c r="L161" i="21"/>
  <c r="L183" i="21" s="1"/>
  <c r="M161" i="21"/>
  <c r="M183" i="21" s="1"/>
  <c r="N161" i="21"/>
  <c r="N183" i="21" s="1"/>
  <c r="O161" i="21"/>
  <c r="O183" i="21" s="1"/>
  <c r="P161" i="21"/>
  <c r="P183" i="21" s="1"/>
  <c r="Q161" i="21"/>
  <c r="Q183" i="21" s="1"/>
  <c r="R161" i="21"/>
  <c r="R183" i="21" s="1"/>
  <c r="C35" i="20"/>
  <c r="C176" i="20" s="1"/>
  <c r="C44" i="20"/>
  <c r="D44" i="20"/>
  <c r="C53" i="20"/>
  <c r="D53" i="20"/>
  <c r="E53" i="20"/>
  <c r="C62" i="20"/>
  <c r="D62" i="20"/>
  <c r="E62" i="20"/>
  <c r="F62" i="20"/>
  <c r="C71" i="20"/>
  <c r="D71" i="20"/>
  <c r="E71" i="20"/>
  <c r="E178" i="20" s="1"/>
  <c r="F71" i="20"/>
  <c r="G71" i="20"/>
  <c r="C80" i="20"/>
  <c r="D80" i="20"/>
  <c r="E80" i="20"/>
  <c r="F80" i="20"/>
  <c r="G80" i="20"/>
  <c r="H80" i="20"/>
  <c r="C89" i="20"/>
  <c r="D89" i="20"/>
  <c r="E89" i="20"/>
  <c r="F89" i="20"/>
  <c r="G89" i="20"/>
  <c r="H89" i="20"/>
  <c r="I89" i="20"/>
  <c r="C98" i="20"/>
  <c r="D98" i="20"/>
  <c r="D179" i="20" s="1"/>
  <c r="E98" i="20"/>
  <c r="F98" i="20"/>
  <c r="G98" i="20"/>
  <c r="H98" i="20"/>
  <c r="I98" i="20"/>
  <c r="J98" i="20"/>
  <c r="C107" i="20"/>
  <c r="D107" i="20"/>
  <c r="E107" i="20"/>
  <c r="F107" i="20"/>
  <c r="G107" i="20"/>
  <c r="H107" i="20"/>
  <c r="I107" i="20"/>
  <c r="J107" i="20"/>
  <c r="K107" i="20"/>
  <c r="C125" i="20"/>
  <c r="C181" i="20" s="1"/>
  <c r="C134" i="20"/>
  <c r="D134" i="20"/>
  <c r="C143" i="20"/>
  <c r="D143" i="20"/>
  <c r="E143" i="20"/>
  <c r="C152" i="20"/>
  <c r="D152" i="20"/>
  <c r="E152" i="20"/>
  <c r="F152" i="20"/>
  <c r="C161" i="20"/>
  <c r="C183" i="20" s="1"/>
  <c r="D161" i="20"/>
  <c r="D183" i="20" s="1"/>
  <c r="E161" i="20"/>
  <c r="E183" i="20" s="1"/>
  <c r="F161" i="20"/>
  <c r="F183" i="20" s="1"/>
  <c r="G161" i="20"/>
  <c r="G183" i="20" s="1"/>
  <c r="G67" i="19"/>
  <c r="H67" i="19" s="1"/>
  <c r="I67" i="19" s="1"/>
  <c r="J67" i="19" s="1"/>
  <c r="K67" i="19" s="1"/>
  <c r="L67" i="19" s="1"/>
  <c r="M67" i="19" s="1"/>
  <c r="N67" i="19" s="1"/>
  <c r="O67" i="19" s="1"/>
  <c r="P67" i="19" s="1"/>
  <c r="Q67" i="19" s="1"/>
  <c r="R67" i="19" s="1"/>
  <c r="S67" i="19" s="1"/>
  <c r="T67" i="19" s="1"/>
  <c r="U67" i="19" s="1"/>
  <c r="V67" i="19" s="1"/>
  <c r="W67" i="19" s="1"/>
  <c r="X67" i="19" s="1"/>
  <c r="D110" i="19"/>
  <c r="D109" i="19"/>
  <c r="D107" i="19"/>
  <c r="D106" i="19"/>
  <c r="D105" i="19"/>
  <c r="D104" i="19"/>
  <c r="D103" i="19"/>
  <c r="D102" i="19"/>
  <c r="D100" i="19"/>
  <c r="D99" i="19"/>
  <c r="D98" i="19"/>
  <c r="D97" i="19"/>
  <c r="D96" i="19"/>
  <c r="D95" i="19"/>
  <c r="D92" i="19"/>
  <c r="D91" i="19"/>
  <c r="D89" i="19"/>
  <c r="D88" i="19"/>
  <c r="D87" i="19"/>
  <c r="D86" i="19"/>
  <c r="D85" i="19"/>
  <c r="D83" i="19"/>
  <c r="D82" i="19"/>
  <c r="D81" i="19"/>
  <c r="D80" i="19"/>
  <c r="D79" i="19"/>
  <c r="D76" i="19"/>
  <c r="D75" i="19"/>
  <c r="D73" i="19"/>
  <c r="D72" i="19"/>
  <c r="G5" i="19"/>
  <c r="H5" i="19" s="1"/>
  <c r="I5" i="19" s="1"/>
  <c r="J5" i="19" s="1"/>
  <c r="K5" i="19" s="1"/>
  <c r="L5" i="19" s="1"/>
  <c r="M5" i="19" s="1"/>
  <c r="N5" i="19" s="1"/>
  <c r="O5" i="19" s="1"/>
  <c r="P5" i="19" s="1"/>
  <c r="Q5" i="19" s="1"/>
  <c r="R5" i="19" s="1"/>
  <c r="S5" i="19" s="1"/>
  <c r="T5" i="19" s="1"/>
  <c r="U5" i="19" s="1"/>
  <c r="V5" i="19" s="1"/>
  <c r="W5" i="19" s="1"/>
  <c r="X5" i="19" s="1"/>
  <c r="U9" i="19"/>
  <c r="Q2" i="22" s="1"/>
  <c r="R11" i="21" s="1"/>
  <c r="V9" i="19"/>
  <c r="R2" i="22" s="1"/>
  <c r="S11" i="21" s="1"/>
  <c r="W9" i="19"/>
  <c r="S2" i="22" s="1"/>
  <c r="T11" i="21" s="1"/>
  <c r="X9" i="19"/>
  <c r="T2" i="22" s="1"/>
  <c r="U11" i="21" s="1"/>
  <c r="U16" i="19"/>
  <c r="Q3" i="22" s="1"/>
  <c r="R12" i="21" s="1"/>
  <c r="V16" i="19"/>
  <c r="R3" i="22" s="1"/>
  <c r="S12" i="21" s="1"/>
  <c r="W16" i="19"/>
  <c r="S3" i="22" s="1"/>
  <c r="T12" i="21" s="1"/>
  <c r="X16" i="19"/>
  <c r="T3" i="22" s="1"/>
  <c r="U12" i="21" s="1"/>
  <c r="F29" i="19"/>
  <c r="B4" i="22" s="1"/>
  <c r="C13" i="21" s="1"/>
  <c r="C166" i="21" s="1"/>
  <c r="F47" i="19"/>
  <c r="B6" i="22" s="1"/>
  <c r="C15" i="21" s="1"/>
  <c r="C168" i="21" s="1"/>
  <c r="V47" i="19"/>
  <c r="R6" i="22" s="1"/>
  <c r="S15" i="21" s="1"/>
  <c r="W47" i="19"/>
  <c r="S6" i="22" s="1"/>
  <c r="T15" i="21" s="1"/>
  <c r="X47" i="19"/>
  <c r="T6" i="22" s="1"/>
  <c r="U15" i="21" s="1"/>
  <c r="U50" i="19"/>
  <c r="Q7" i="22" s="1"/>
  <c r="R16" i="21" s="1"/>
  <c r="V50" i="19"/>
  <c r="R7" i="22" s="1"/>
  <c r="S16" i="21" s="1"/>
  <c r="W50" i="19"/>
  <c r="S7" i="22" s="1"/>
  <c r="T16" i="21" s="1"/>
  <c r="X50" i="19"/>
  <c r="T7" i="22" s="1"/>
  <c r="U16" i="21" s="1"/>
  <c r="G70" i="19"/>
  <c r="H70" i="19"/>
  <c r="D11" i="22" s="1"/>
  <c r="E11" i="20" s="1"/>
  <c r="I70" i="19"/>
  <c r="E11" i="22" s="1"/>
  <c r="F11" i="20" s="1"/>
  <c r="J70" i="19"/>
  <c r="F11" i="22" s="1"/>
  <c r="G11" i="20" s="1"/>
  <c r="K70" i="19"/>
  <c r="G11" i="22" s="1"/>
  <c r="H11" i="20" s="1"/>
  <c r="L70" i="19"/>
  <c r="H11" i="22" s="1"/>
  <c r="I11" i="20" s="1"/>
  <c r="M70" i="19"/>
  <c r="I11" i="22" s="1"/>
  <c r="J11" i="20" s="1"/>
  <c r="N70" i="19"/>
  <c r="J11" i="22" s="1"/>
  <c r="K11" i="20" s="1"/>
  <c r="O70" i="19"/>
  <c r="K11" i="22" s="1"/>
  <c r="L11" i="20" s="1"/>
  <c r="P70" i="19"/>
  <c r="L11" i="22" s="1"/>
  <c r="M11" i="20" s="1"/>
  <c r="Q70" i="19"/>
  <c r="M11" i="22" s="1"/>
  <c r="N11" i="20" s="1"/>
  <c r="R70" i="19"/>
  <c r="N11" i="22" s="1"/>
  <c r="O11" i="20" s="1"/>
  <c r="S70" i="19"/>
  <c r="O11" i="22" s="1"/>
  <c r="P11" i="20" s="1"/>
  <c r="T70" i="19"/>
  <c r="P11" i="22" s="1"/>
  <c r="Q11" i="20" s="1"/>
  <c r="U70" i="19"/>
  <c r="Q11" i="22" s="1"/>
  <c r="R11" i="20" s="1"/>
  <c r="V70" i="19"/>
  <c r="R11" i="22" s="1"/>
  <c r="S11" i="20" s="1"/>
  <c r="M77" i="19"/>
  <c r="I12" i="22" s="1"/>
  <c r="J12" i="20" s="1"/>
  <c r="N77" i="19"/>
  <c r="J12" i="22" s="1"/>
  <c r="K12" i="20" s="1"/>
  <c r="O77" i="19"/>
  <c r="K12" i="22" s="1"/>
  <c r="L12" i="20" s="1"/>
  <c r="P77" i="19"/>
  <c r="L12" i="22" s="1"/>
  <c r="M12" i="20" s="1"/>
  <c r="Q77" i="19"/>
  <c r="M12" i="22" s="1"/>
  <c r="N12" i="20" s="1"/>
  <c r="R77" i="19"/>
  <c r="N12" i="22" s="1"/>
  <c r="O12" i="20" s="1"/>
  <c r="S77" i="19"/>
  <c r="O12" i="22" s="1"/>
  <c r="P12" i="20" s="1"/>
  <c r="T77" i="19"/>
  <c r="P12" i="22" s="1"/>
  <c r="Q12" i="20" s="1"/>
  <c r="U77" i="19"/>
  <c r="Q12" i="22" s="1"/>
  <c r="R12" i="20" s="1"/>
  <c r="V77" i="19"/>
  <c r="R12" i="22" s="1"/>
  <c r="S12" i="20" s="1"/>
  <c r="F90" i="19"/>
  <c r="B13" i="22" s="1"/>
  <c r="C13" i="20" s="1"/>
  <c r="N108" i="19"/>
  <c r="J15" i="22" s="1"/>
  <c r="K15" i="20" s="1"/>
  <c r="O108" i="19"/>
  <c r="K15" i="22" s="1"/>
  <c r="L15" i="20" s="1"/>
  <c r="P108" i="19"/>
  <c r="L15" i="22" s="1"/>
  <c r="M15" i="20" s="1"/>
  <c r="Q108" i="19"/>
  <c r="M15" i="22" s="1"/>
  <c r="N15" i="20" s="1"/>
  <c r="R108" i="19"/>
  <c r="N15" i="22" s="1"/>
  <c r="O15" i="20" s="1"/>
  <c r="S108" i="19"/>
  <c r="O15" i="22" s="1"/>
  <c r="P15" i="20" s="1"/>
  <c r="T108" i="19"/>
  <c r="P15" i="22" s="1"/>
  <c r="Q15" i="20" s="1"/>
  <c r="U108" i="19"/>
  <c r="Q15" i="22" s="1"/>
  <c r="R15" i="20" s="1"/>
  <c r="V108" i="19"/>
  <c r="R15" i="22" s="1"/>
  <c r="S15" i="20" s="1"/>
  <c r="M111" i="19"/>
  <c r="I16" i="22" s="1"/>
  <c r="J16" i="20" s="1"/>
  <c r="N111" i="19"/>
  <c r="J16" i="22" s="1"/>
  <c r="K16" i="20" s="1"/>
  <c r="O111" i="19"/>
  <c r="K16" i="22" s="1"/>
  <c r="L16" i="20" s="1"/>
  <c r="P111" i="19"/>
  <c r="L16" i="22" s="1"/>
  <c r="M16" i="20" s="1"/>
  <c r="Q111" i="19"/>
  <c r="M16" i="22" s="1"/>
  <c r="N16" i="20" s="1"/>
  <c r="R111" i="19"/>
  <c r="N16" i="22" s="1"/>
  <c r="O16" i="20" s="1"/>
  <c r="S111" i="19"/>
  <c r="O16" i="22" s="1"/>
  <c r="P16" i="20" s="1"/>
  <c r="T111" i="19"/>
  <c r="P16" i="22" s="1"/>
  <c r="Q16" i="20" s="1"/>
  <c r="U111" i="19"/>
  <c r="Q16" i="22" s="1"/>
  <c r="R16" i="20" s="1"/>
  <c r="J84" i="18"/>
  <c r="K84" i="18" s="1"/>
  <c r="L84" i="18" s="1"/>
  <c r="M84" i="18" s="1"/>
  <c r="N84" i="18" s="1"/>
  <c r="O84" i="18" s="1"/>
  <c r="P84" i="18" s="1"/>
  <c r="Q84" i="18" s="1"/>
  <c r="R84" i="18" s="1"/>
  <c r="S84" i="18" s="1"/>
  <c r="T84" i="18" s="1"/>
  <c r="U84" i="18" s="1"/>
  <c r="V84" i="18" s="1"/>
  <c r="W84" i="18" s="1"/>
  <c r="X84" i="18" s="1"/>
  <c r="Y84" i="18" s="1"/>
  <c r="Z84" i="18" s="1"/>
  <c r="J85" i="18"/>
  <c r="D121" i="19" s="1"/>
  <c r="J86" i="18"/>
  <c r="D122" i="19" s="1"/>
  <c r="J87" i="18"/>
  <c r="K87" i="18" s="1"/>
  <c r="L87" i="18" s="1"/>
  <c r="M87" i="18" s="1"/>
  <c r="N87" i="18" s="1"/>
  <c r="O87" i="18" s="1"/>
  <c r="P87" i="18" s="1"/>
  <c r="Q87" i="18" s="1"/>
  <c r="R87" i="18" s="1"/>
  <c r="S87" i="18" s="1"/>
  <c r="T87" i="18" s="1"/>
  <c r="U87" i="18" s="1"/>
  <c r="V87" i="18" s="1"/>
  <c r="W87" i="18" s="1"/>
  <c r="X87" i="18" s="1"/>
  <c r="Y87" i="18" s="1"/>
  <c r="Z87" i="18" s="1"/>
  <c r="J83" i="18"/>
  <c r="K78" i="18"/>
  <c r="L78" i="18" s="1"/>
  <c r="M78" i="18" s="1"/>
  <c r="N78" i="18" s="1"/>
  <c r="O78" i="18" s="1"/>
  <c r="P78" i="18" s="1"/>
  <c r="Q78" i="18" s="1"/>
  <c r="R78" i="18" s="1"/>
  <c r="S78" i="18" s="1"/>
  <c r="T78" i="18" s="1"/>
  <c r="U78" i="18" s="1"/>
  <c r="V78" i="18" s="1"/>
  <c r="W78" i="18" s="1"/>
  <c r="X78" i="18" s="1"/>
  <c r="Y78" i="18" s="1"/>
  <c r="Z78" i="18" s="1"/>
  <c r="K79" i="18"/>
  <c r="L79" i="18" s="1"/>
  <c r="M79" i="18" s="1"/>
  <c r="N79" i="18" s="1"/>
  <c r="O79" i="18" s="1"/>
  <c r="P79" i="18" s="1"/>
  <c r="Q79" i="18" s="1"/>
  <c r="R79" i="18" s="1"/>
  <c r="S79" i="18" s="1"/>
  <c r="T79" i="18" s="1"/>
  <c r="U79" i="18" s="1"/>
  <c r="V79" i="18" s="1"/>
  <c r="W79" i="18" s="1"/>
  <c r="X79" i="18" s="1"/>
  <c r="Y79" i="18" s="1"/>
  <c r="Z79" i="18" s="1"/>
  <c r="D116" i="19"/>
  <c r="D117" i="19"/>
  <c r="L77" i="18"/>
  <c r="M77" i="18" s="1"/>
  <c r="N77" i="18" s="1"/>
  <c r="O77" i="18" s="1"/>
  <c r="P77" i="18" s="1"/>
  <c r="Q77" i="18" s="1"/>
  <c r="R77" i="18" s="1"/>
  <c r="S77" i="18" s="1"/>
  <c r="T77" i="18" s="1"/>
  <c r="U77" i="18" s="1"/>
  <c r="V77" i="18" s="1"/>
  <c r="W77" i="18" s="1"/>
  <c r="X77" i="18" s="1"/>
  <c r="Y77" i="18" s="1"/>
  <c r="Z77" i="18" s="1"/>
  <c r="K47" i="18"/>
  <c r="L47" i="18" s="1"/>
  <c r="M47" i="18" s="1"/>
  <c r="N47" i="18" s="1"/>
  <c r="O47" i="18" s="1"/>
  <c r="P47" i="18" s="1"/>
  <c r="Q47" i="18" s="1"/>
  <c r="R47" i="18" s="1"/>
  <c r="S47" i="18" s="1"/>
  <c r="T47" i="18" s="1"/>
  <c r="U47" i="18" s="1"/>
  <c r="V47" i="18" s="1"/>
  <c r="W47" i="18" s="1"/>
  <c r="X47" i="18" s="1"/>
  <c r="Y47" i="18" s="1"/>
  <c r="Z47" i="18" s="1"/>
  <c r="K28" i="18"/>
  <c r="L28" i="18" s="1"/>
  <c r="K29" i="18"/>
  <c r="L29" i="18" s="1"/>
  <c r="M29" i="18" s="1"/>
  <c r="N29" i="18" s="1"/>
  <c r="O29" i="18" s="1"/>
  <c r="P29" i="18" s="1"/>
  <c r="Q29" i="18" s="1"/>
  <c r="R29" i="18" s="1"/>
  <c r="S29" i="18" s="1"/>
  <c r="T29" i="18" s="1"/>
  <c r="U29" i="18" s="1"/>
  <c r="V29" i="18" s="1"/>
  <c r="W29" i="18" s="1"/>
  <c r="X29" i="18" s="1"/>
  <c r="Y29" i="18" s="1"/>
  <c r="Z29" i="18" s="1"/>
  <c r="K30" i="18"/>
  <c r="L30" i="18" s="1"/>
  <c r="M30" i="18" s="1"/>
  <c r="N30" i="18" s="1"/>
  <c r="O30" i="18" s="1"/>
  <c r="P30" i="18" s="1"/>
  <c r="Q30" i="18" s="1"/>
  <c r="R30" i="18" s="1"/>
  <c r="S30" i="18" s="1"/>
  <c r="T30" i="18" s="1"/>
  <c r="U30" i="18" s="1"/>
  <c r="V30" i="18" s="1"/>
  <c r="W30" i="18" s="1"/>
  <c r="X30" i="18" s="1"/>
  <c r="Y30" i="18" s="1"/>
  <c r="Z30" i="18" s="1"/>
  <c r="K19" i="18"/>
  <c r="L19" i="18" s="1"/>
  <c r="M19" i="18" s="1"/>
  <c r="N19" i="18" s="1"/>
  <c r="O19" i="18" s="1"/>
  <c r="P19" i="18" s="1"/>
  <c r="Q19" i="18" s="1"/>
  <c r="R19" i="18" s="1"/>
  <c r="S19" i="18" s="1"/>
  <c r="T19" i="18" s="1"/>
  <c r="U19" i="18" s="1"/>
  <c r="V19" i="18" s="1"/>
  <c r="W19" i="18" s="1"/>
  <c r="X19" i="18" s="1"/>
  <c r="Y19" i="18" s="1"/>
  <c r="Z19" i="18" s="1"/>
  <c r="E75" i="18"/>
  <c r="E82" i="18" s="1"/>
  <c r="C75" i="18"/>
  <c r="C76" i="18" s="1"/>
  <c r="C51" i="19" s="1"/>
  <c r="K74" i="18"/>
  <c r="L74" i="18" s="1"/>
  <c r="M74" i="18" s="1"/>
  <c r="N74" i="18" s="1"/>
  <c r="O74" i="18" s="1"/>
  <c r="P74" i="18" s="1"/>
  <c r="Q74" i="18" s="1"/>
  <c r="R74" i="18" s="1"/>
  <c r="S74" i="18" s="1"/>
  <c r="T74" i="18" s="1"/>
  <c r="U74" i="18" s="1"/>
  <c r="V74" i="18" s="1"/>
  <c r="W74" i="18" s="1"/>
  <c r="X74" i="18" s="1"/>
  <c r="Y74" i="18" s="1"/>
  <c r="Z74" i="18" s="1"/>
  <c r="K73" i="18"/>
  <c r="L73" i="18" s="1"/>
  <c r="M73" i="18" s="1"/>
  <c r="N73" i="18" s="1"/>
  <c r="O73" i="18" s="1"/>
  <c r="P73" i="18" s="1"/>
  <c r="Q73" i="18" s="1"/>
  <c r="R73" i="18" s="1"/>
  <c r="S73" i="18" s="1"/>
  <c r="T73" i="18" s="1"/>
  <c r="U73" i="18" s="1"/>
  <c r="V73" i="18" s="1"/>
  <c r="W73" i="18" s="1"/>
  <c r="X73" i="18" s="1"/>
  <c r="Y73" i="18" s="1"/>
  <c r="Z73" i="18" s="1"/>
  <c r="K72" i="18"/>
  <c r="L72" i="18" s="1"/>
  <c r="M72" i="18" s="1"/>
  <c r="N72" i="18" s="1"/>
  <c r="O72" i="18" s="1"/>
  <c r="P72" i="18" s="1"/>
  <c r="Q72" i="18" s="1"/>
  <c r="R72" i="18" s="1"/>
  <c r="S72" i="18" s="1"/>
  <c r="T72" i="18" s="1"/>
  <c r="U72" i="18" s="1"/>
  <c r="V72" i="18" s="1"/>
  <c r="W72" i="18" s="1"/>
  <c r="X72" i="18" s="1"/>
  <c r="Y72" i="18" s="1"/>
  <c r="Z72" i="18" s="1"/>
  <c r="K71" i="18"/>
  <c r="L71" i="18" s="1"/>
  <c r="M71" i="18" s="1"/>
  <c r="N71" i="18" s="1"/>
  <c r="O71" i="18" s="1"/>
  <c r="P71" i="18" s="1"/>
  <c r="Q71" i="18" s="1"/>
  <c r="R71" i="18" s="1"/>
  <c r="S71" i="18" s="1"/>
  <c r="T71" i="18" s="1"/>
  <c r="U71" i="18" s="1"/>
  <c r="V71" i="18" s="1"/>
  <c r="W71" i="18" s="1"/>
  <c r="X71" i="18" s="1"/>
  <c r="Y71" i="18" s="1"/>
  <c r="Z71" i="18" s="1"/>
  <c r="K70" i="18"/>
  <c r="L70" i="18" s="1"/>
  <c r="M70" i="18" s="1"/>
  <c r="N70" i="18" s="1"/>
  <c r="O70" i="18" s="1"/>
  <c r="P70" i="18" s="1"/>
  <c r="Q70" i="18" s="1"/>
  <c r="R70" i="18" s="1"/>
  <c r="S70" i="18" s="1"/>
  <c r="T70" i="18" s="1"/>
  <c r="U70" i="18" s="1"/>
  <c r="V70" i="18" s="1"/>
  <c r="W70" i="18" s="1"/>
  <c r="X70" i="18" s="1"/>
  <c r="Y70" i="18" s="1"/>
  <c r="Z70" i="18" s="1"/>
  <c r="K69" i="18"/>
  <c r="L69" i="18" s="1"/>
  <c r="M69" i="18" s="1"/>
  <c r="N69" i="18" s="1"/>
  <c r="O69" i="18" s="1"/>
  <c r="P69" i="18" s="1"/>
  <c r="Q69" i="18" s="1"/>
  <c r="R69" i="18" s="1"/>
  <c r="S69" i="18" s="1"/>
  <c r="T69" i="18" s="1"/>
  <c r="U69" i="18" s="1"/>
  <c r="V69" i="18" s="1"/>
  <c r="W69" i="18" s="1"/>
  <c r="X69" i="18" s="1"/>
  <c r="Y69" i="18" s="1"/>
  <c r="Z69" i="18" s="1"/>
  <c r="K68" i="18"/>
  <c r="L68" i="18" s="1"/>
  <c r="M68" i="18" s="1"/>
  <c r="N68" i="18" s="1"/>
  <c r="O68" i="18" s="1"/>
  <c r="P68" i="18" s="1"/>
  <c r="Q68" i="18" s="1"/>
  <c r="R68" i="18" s="1"/>
  <c r="S68" i="18" s="1"/>
  <c r="T68" i="18" s="1"/>
  <c r="U68" i="18" s="1"/>
  <c r="V68" i="18" s="1"/>
  <c r="W68" i="18" s="1"/>
  <c r="X68" i="18" s="1"/>
  <c r="Y68" i="18" s="1"/>
  <c r="Z68" i="18" s="1"/>
  <c r="K66" i="18"/>
  <c r="L66" i="18" s="1"/>
  <c r="M66" i="18" s="1"/>
  <c r="N66" i="18" s="1"/>
  <c r="O66" i="18" s="1"/>
  <c r="P66" i="18" s="1"/>
  <c r="Q66" i="18" s="1"/>
  <c r="R66" i="18" s="1"/>
  <c r="S66" i="18" s="1"/>
  <c r="T66" i="18" s="1"/>
  <c r="U66" i="18" s="1"/>
  <c r="V66" i="18" s="1"/>
  <c r="W66" i="18" s="1"/>
  <c r="X66" i="18" s="1"/>
  <c r="Y66" i="18" s="1"/>
  <c r="Z66" i="18" s="1"/>
  <c r="K65" i="18"/>
  <c r="L65" i="18" s="1"/>
  <c r="M65" i="18" s="1"/>
  <c r="N65" i="18" s="1"/>
  <c r="O65" i="18" s="1"/>
  <c r="P65" i="18" s="1"/>
  <c r="Q65" i="18" s="1"/>
  <c r="R65" i="18" s="1"/>
  <c r="S65" i="18" s="1"/>
  <c r="T65" i="18" s="1"/>
  <c r="U65" i="18" s="1"/>
  <c r="V65" i="18" s="1"/>
  <c r="W65" i="18" s="1"/>
  <c r="X65" i="18" s="1"/>
  <c r="Y65" i="18" s="1"/>
  <c r="Z65" i="18" s="1"/>
  <c r="K64" i="18"/>
  <c r="L64" i="18" s="1"/>
  <c r="M64" i="18" s="1"/>
  <c r="N64" i="18" s="1"/>
  <c r="O64" i="18" s="1"/>
  <c r="P64" i="18" s="1"/>
  <c r="Q64" i="18" s="1"/>
  <c r="R64" i="18" s="1"/>
  <c r="S64" i="18" s="1"/>
  <c r="T64" i="18" s="1"/>
  <c r="U64" i="18" s="1"/>
  <c r="V64" i="18" s="1"/>
  <c r="W64" i="18" s="1"/>
  <c r="X64" i="18" s="1"/>
  <c r="Y64" i="18" s="1"/>
  <c r="Z64" i="18" s="1"/>
  <c r="K63" i="18"/>
  <c r="L63" i="18" s="1"/>
  <c r="M63" i="18" s="1"/>
  <c r="N63" i="18" s="1"/>
  <c r="O63" i="18" s="1"/>
  <c r="P63" i="18" s="1"/>
  <c r="Q63" i="18" s="1"/>
  <c r="R63" i="18" s="1"/>
  <c r="S63" i="18" s="1"/>
  <c r="T63" i="18" s="1"/>
  <c r="U63" i="18" s="1"/>
  <c r="V63" i="18" s="1"/>
  <c r="W63" i="18" s="1"/>
  <c r="X63" i="18" s="1"/>
  <c r="Y63" i="18" s="1"/>
  <c r="Z63" i="18" s="1"/>
  <c r="K62" i="18"/>
  <c r="L62" i="18" s="1"/>
  <c r="M62" i="18" s="1"/>
  <c r="N62" i="18" s="1"/>
  <c r="O62" i="18" s="1"/>
  <c r="P62" i="18" s="1"/>
  <c r="Q62" i="18" s="1"/>
  <c r="R62" i="18" s="1"/>
  <c r="S62" i="18" s="1"/>
  <c r="T62" i="18" s="1"/>
  <c r="U62" i="18" s="1"/>
  <c r="V62" i="18" s="1"/>
  <c r="W62" i="18" s="1"/>
  <c r="X62" i="18" s="1"/>
  <c r="Y62" i="18" s="1"/>
  <c r="Z62" i="18" s="1"/>
  <c r="K61" i="18"/>
  <c r="L61" i="18" s="1"/>
  <c r="M61" i="18" s="1"/>
  <c r="N61" i="18" s="1"/>
  <c r="O61" i="18" s="1"/>
  <c r="P61" i="18" s="1"/>
  <c r="Q61" i="18" s="1"/>
  <c r="R61" i="18" s="1"/>
  <c r="S61" i="18" s="1"/>
  <c r="T61" i="18" s="1"/>
  <c r="U61" i="18" s="1"/>
  <c r="V61" i="18" s="1"/>
  <c r="W61" i="18" s="1"/>
  <c r="X61" i="18" s="1"/>
  <c r="Y61" i="18" s="1"/>
  <c r="Z61" i="18" s="1"/>
  <c r="L60" i="18"/>
  <c r="M60" i="18" s="1"/>
  <c r="N60" i="18" s="1"/>
  <c r="O60" i="18" s="1"/>
  <c r="P60" i="18" s="1"/>
  <c r="Q60" i="18" s="1"/>
  <c r="R60" i="18" s="1"/>
  <c r="S60" i="18" s="1"/>
  <c r="T60" i="18" s="1"/>
  <c r="U60" i="18" s="1"/>
  <c r="V60" i="18" s="1"/>
  <c r="W60" i="18" s="1"/>
  <c r="X60" i="18" s="1"/>
  <c r="Y60" i="18" s="1"/>
  <c r="Z60" i="18" s="1"/>
  <c r="E58" i="18"/>
  <c r="E67" i="18" s="1"/>
  <c r="C58" i="18"/>
  <c r="C67" i="18" s="1"/>
  <c r="C110" i="19" s="1"/>
  <c r="K57" i="18"/>
  <c r="L57" i="18" s="1"/>
  <c r="M57" i="18" s="1"/>
  <c r="N57" i="18" s="1"/>
  <c r="O57" i="18" s="1"/>
  <c r="P57" i="18" s="1"/>
  <c r="Q57" i="18" s="1"/>
  <c r="R57" i="18" s="1"/>
  <c r="S57" i="18" s="1"/>
  <c r="T57" i="18" s="1"/>
  <c r="U57" i="18" s="1"/>
  <c r="V57" i="18" s="1"/>
  <c r="W57" i="18" s="1"/>
  <c r="X57" i="18" s="1"/>
  <c r="Y57" i="18" s="1"/>
  <c r="Z57" i="18" s="1"/>
  <c r="K56" i="18"/>
  <c r="L56" i="18" s="1"/>
  <c r="M56" i="18" s="1"/>
  <c r="N56" i="18" s="1"/>
  <c r="O56" i="18" s="1"/>
  <c r="P56" i="18" s="1"/>
  <c r="Q56" i="18" s="1"/>
  <c r="R56" i="18" s="1"/>
  <c r="S56" i="18" s="1"/>
  <c r="T56" i="18" s="1"/>
  <c r="U56" i="18" s="1"/>
  <c r="V56" i="18" s="1"/>
  <c r="W56" i="18" s="1"/>
  <c r="X56" i="18" s="1"/>
  <c r="Y56" i="18" s="1"/>
  <c r="Z56" i="18" s="1"/>
  <c r="K55" i="18"/>
  <c r="L55" i="18" s="1"/>
  <c r="M55" i="18" s="1"/>
  <c r="N55" i="18" s="1"/>
  <c r="O55" i="18" s="1"/>
  <c r="P55" i="18" s="1"/>
  <c r="Q55" i="18" s="1"/>
  <c r="R55" i="18" s="1"/>
  <c r="S55" i="18" s="1"/>
  <c r="T55" i="18" s="1"/>
  <c r="U55" i="18" s="1"/>
  <c r="V55" i="18" s="1"/>
  <c r="W55" i="18" s="1"/>
  <c r="X55" i="18" s="1"/>
  <c r="Y55" i="18" s="1"/>
  <c r="Z55" i="18" s="1"/>
  <c r="K54" i="18"/>
  <c r="L54" i="18" s="1"/>
  <c r="M54" i="18" s="1"/>
  <c r="N54" i="18" s="1"/>
  <c r="O54" i="18" s="1"/>
  <c r="P54" i="18" s="1"/>
  <c r="Q54" i="18" s="1"/>
  <c r="R54" i="18" s="1"/>
  <c r="S54" i="18" s="1"/>
  <c r="T54" i="18" s="1"/>
  <c r="U54" i="18" s="1"/>
  <c r="V54" i="18" s="1"/>
  <c r="W54" i="18" s="1"/>
  <c r="X54" i="18" s="1"/>
  <c r="Y54" i="18" s="1"/>
  <c r="Z54" i="18" s="1"/>
  <c r="K53" i="18"/>
  <c r="L53" i="18" s="1"/>
  <c r="M53" i="18" s="1"/>
  <c r="N53" i="18" s="1"/>
  <c r="O53" i="18" s="1"/>
  <c r="P53" i="18" s="1"/>
  <c r="Q53" i="18" s="1"/>
  <c r="R53" i="18" s="1"/>
  <c r="S53" i="18" s="1"/>
  <c r="T53" i="18" s="1"/>
  <c r="U53" i="18" s="1"/>
  <c r="V53" i="18" s="1"/>
  <c r="W53" i="18" s="1"/>
  <c r="X53" i="18" s="1"/>
  <c r="Y53" i="18" s="1"/>
  <c r="Z53" i="18" s="1"/>
  <c r="K52" i="18"/>
  <c r="L52" i="18" s="1"/>
  <c r="M52" i="18" s="1"/>
  <c r="N52" i="18" s="1"/>
  <c r="O52" i="18" s="1"/>
  <c r="P52" i="18" s="1"/>
  <c r="Q52" i="18" s="1"/>
  <c r="R52" i="18" s="1"/>
  <c r="S52" i="18" s="1"/>
  <c r="T52" i="18" s="1"/>
  <c r="U52" i="18" s="1"/>
  <c r="V52" i="18" s="1"/>
  <c r="W52" i="18" s="1"/>
  <c r="X52" i="18" s="1"/>
  <c r="Y52" i="18" s="1"/>
  <c r="Z52" i="18" s="1"/>
  <c r="K50" i="18"/>
  <c r="L50" i="18" s="1"/>
  <c r="M50" i="18" s="1"/>
  <c r="N50" i="18" s="1"/>
  <c r="O50" i="18" s="1"/>
  <c r="P50" i="18" s="1"/>
  <c r="Q50" i="18" s="1"/>
  <c r="R50" i="18" s="1"/>
  <c r="S50" i="18" s="1"/>
  <c r="T50" i="18" s="1"/>
  <c r="U50" i="18" s="1"/>
  <c r="V50" i="18" s="1"/>
  <c r="W50" i="18" s="1"/>
  <c r="X50" i="18" s="1"/>
  <c r="Y50" i="18" s="1"/>
  <c r="Z50" i="18" s="1"/>
  <c r="K49" i="18"/>
  <c r="L49" i="18" s="1"/>
  <c r="M49" i="18" s="1"/>
  <c r="N49" i="18" s="1"/>
  <c r="O49" i="18" s="1"/>
  <c r="P49" i="18" s="1"/>
  <c r="Q49" i="18" s="1"/>
  <c r="R49" i="18" s="1"/>
  <c r="S49" i="18" s="1"/>
  <c r="T49" i="18" s="1"/>
  <c r="U49" i="18" s="1"/>
  <c r="V49" i="18" s="1"/>
  <c r="W49" i="18" s="1"/>
  <c r="X49" i="18" s="1"/>
  <c r="Y49" i="18" s="1"/>
  <c r="Z49" i="18" s="1"/>
  <c r="K48" i="18"/>
  <c r="L48" i="18" s="1"/>
  <c r="M48" i="18" s="1"/>
  <c r="N48" i="18" s="1"/>
  <c r="O48" i="18" s="1"/>
  <c r="P48" i="18" s="1"/>
  <c r="Q48" i="18" s="1"/>
  <c r="R48" i="18" s="1"/>
  <c r="S48" i="18" s="1"/>
  <c r="T48" i="18" s="1"/>
  <c r="U48" i="18" s="1"/>
  <c r="V48" i="18" s="1"/>
  <c r="W48" i="18" s="1"/>
  <c r="X48" i="18" s="1"/>
  <c r="Y48" i="18" s="1"/>
  <c r="Z48" i="18" s="1"/>
  <c r="K46" i="18"/>
  <c r="L46" i="18" s="1"/>
  <c r="M46" i="18" s="1"/>
  <c r="N46" i="18" s="1"/>
  <c r="O46" i="18" s="1"/>
  <c r="P46" i="18" s="1"/>
  <c r="Q46" i="18" s="1"/>
  <c r="R46" i="18" s="1"/>
  <c r="S46" i="18" s="1"/>
  <c r="T46" i="18" s="1"/>
  <c r="U46" i="18" s="1"/>
  <c r="V46" i="18" s="1"/>
  <c r="W46" i="18" s="1"/>
  <c r="X46" i="18" s="1"/>
  <c r="Y46" i="18" s="1"/>
  <c r="Z46" i="18" s="1"/>
  <c r="K45" i="18"/>
  <c r="L45" i="18" s="1"/>
  <c r="M45" i="18" s="1"/>
  <c r="N45" i="18" s="1"/>
  <c r="O45" i="18" s="1"/>
  <c r="P45" i="18" s="1"/>
  <c r="Q45" i="18" s="1"/>
  <c r="R45" i="18" s="1"/>
  <c r="S45" i="18" s="1"/>
  <c r="T45" i="18" s="1"/>
  <c r="U45" i="18" s="1"/>
  <c r="V45" i="18" s="1"/>
  <c r="W45" i="18" s="1"/>
  <c r="X45" i="18" s="1"/>
  <c r="Y45" i="18" s="1"/>
  <c r="Z45" i="18" s="1"/>
  <c r="Q44" i="18"/>
  <c r="R44" i="18" s="1"/>
  <c r="S44" i="18" s="1"/>
  <c r="T44" i="18" s="1"/>
  <c r="U44" i="18" s="1"/>
  <c r="V44" i="18" s="1"/>
  <c r="W44" i="18" s="1"/>
  <c r="X44" i="18" s="1"/>
  <c r="Y44" i="18" s="1"/>
  <c r="Z44" i="18" s="1"/>
  <c r="E43" i="18"/>
  <c r="E51" i="18" s="1"/>
  <c r="E52" i="18" s="1"/>
  <c r="C43" i="18"/>
  <c r="C32" i="19" s="1"/>
  <c r="K42" i="18"/>
  <c r="L42" i="18" s="1"/>
  <c r="M42" i="18" s="1"/>
  <c r="N42" i="18" s="1"/>
  <c r="O42" i="18" s="1"/>
  <c r="P42" i="18" s="1"/>
  <c r="Q42" i="18" s="1"/>
  <c r="R42" i="18" s="1"/>
  <c r="S42" i="18" s="1"/>
  <c r="T42" i="18" s="1"/>
  <c r="U42" i="18" s="1"/>
  <c r="V42" i="18" s="1"/>
  <c r="W42" i="18" s="1"/>
  <c r="X42" i="18" s="1"/>
  <c r="Y42" i="18" s="1"/>
  <c r="Z42" i="18" s="1"/>
  <c r="K41" i="18"/>
  <c r="L41" i="18" s="1"/>
  <c r="M41" i="18" s="1"/>
  <c r="N41" i="18" s="1"/>
  <c r="O41" i="18" s="1"/>
  <c r="P41" i="18" s="1"/>
  <c r="Q41" i="18" s="1"/>
  <c r="R41" i="18" s="1"/>
  <c r="S41" i="18" s="1"/>
  <c r="T41" i="18" s="1"/>
  <c r="U41" i="18" s="1"/>
  <c r="V41" i="18" s="1"/>
  <c r="W41" i="18" s="1"/>
  <c r="X41" i="18" s="1"/>
  <c r="Y41" i="18" s="1"/>
  <c r="Z41" i="18" s="1"/>
  <c r="K40" i="18"/>
  <c r="L40" i="18" s="1"/>
  <c r="M40" i="18" s="1"/>
  <c r="N40" i="18" s="1"/>
  <c r="O40" i="18" s="1"/>
  <c r="P40" i="18" s="1"/>
  <c r="Q40" i="18" s="1"/>
  <c r="R40" i="18" s="1"/>
  <c r="S40" i="18" s="1"/>
  <c r="T40" i="18" s="1"/>
  <c r="U40" i="18" s="1"/>
  <c r="V40" i="18" s="1"/>
  <c r="W40" i="18" s="1"/>
  <c r="X40" i="18" s="1"/>
  <c r="Y40" i="18" s="1"/>
  <c r="Z40" i="18" s="1"/>
  <c r="K39" i="18"/>
  <c r="L39" i="18" s="1"/>
  <c r="M39" i="18" s="1"/>
  <c r="N39" i="18" s="1"/>
  <c r="O39" i="18" s="1"/>
  <c r="P39" i="18" s="1"/>
  <c r="Q39" i="18" s="1"/>
  <c r="R39" i="18" s="1"/>
  <c r="S39" i="18" s="1"/>
  <c r="T39" i="18" s="1"/>
  <c r="U39" i="18" s="1"/>
  <c r="V39" i="18" s="1"/>
  <c r="W39" i="18" s="1"/>
  <c r="X39" i="18" s="1"/>
  <c r="Y39" i="18" s="1"/>
  <c r="Z39" i="18" s="1"/>
  <c r="K38" i="18"/>
  <c r="L38" i="18" s="1"/>
  <c r="M38" i="18" s="1"/>
  <c r="N38" i="18" s="1"/>
  <c r="O38" i="18" s="1"/>
  <c r="P38" i="18" s="1"/>
  <c r="Q38" i="18" s="1"/>
  <c r="R38" i="18" s="1"/>
  <c r="S38" i="18" s="1"/>
  <c r="T38" i="18" s="1"/>
  <c r="U38" i="18" s="1"/>
  <c r="V38" i="18" s="1"/>
  <c r="W38" i="18" s="1"/>
  <c r="X38" i="18" s="1"/>
  <c r="Y38" i="18" s="1"/>
  <c r="Z38" i="18" s="1"/>
  <c r="K37" i="18"/>
  <c r="L37" i="18" s="1"/>
  <c r="M37" i="18" s="1"/>
  <c r="N37" i="18" s="1"/>
  <c r="O37" i="18" s="1"/>
  <c r="P37" i="18" s="1"/>
  <c r="Q37" i="18" s="1"/>
  <c r="R37" i="18" s="1"/>
  <c r="S37" i="18" s="1"/>
  <c r="T37" i="18" s="1"/>
  <c r="U37" i="18" s="1"/>
  <c r="V37" i="18" s="1"/>
  <c r="W37" i="18" s="1"/>
  <c r="X37" i="18" s="1"/>
  <c r="Y37" i="18" s="1"/>
  <c r="Z37" i="18" s="1"/>
  <c r="K36" i="18"/>
  <c r="L36" i="18" s="1"/>
  <c r="M36" i="18" s="1"/>
  <c r="N36" i="18" s="1"/>
  <c r="O36" i="18" s="1"/>
  <c r="P36" i="18" s="1"/>
  <c r="Q36" i="18" s="1"/>
  <c r="R36" i="18" s="1"/>
  <c r="S36" i="18" s="1"/>
  <c r="T36" i="18" s="1"/>
  <c r="U36" i="18" s="1"/>
  <c r="V36" i="18" s="1"/>
  <c r="W36" i="18" s="1"/>
  <c r="X36" i="18" s="1"/>
  <c r="Y36" i="18" s="1"/>
  <c r="Z36" i="18" s="1"/>
  <c r="K34" i="18"/>
  <c r="L34" i="18" s="1"/>
  <c r="M34" i="18" s="1"/>
  <c r="N34" i="18" s="1"/>
  <c r="O34" i="18" s="1"/>
  <c r="P34" i="18" s="1"/>
  <c r="Q34" i="18" s="1"/>
  <c r="R34" i="18" s="1"/>
  <c r="S34" i="18" s="1"/>
  <c r="T34" i="18" s="1"/>
  <c r="U34" i="18" s="1"/>
  <c r="V34" i="18" s="1"/>
  <c r="W34" i="18" s="1"/>
  <c r="X34" i="18" s="1"/>
  <c r="Y34" i="18" s="1"/>
  <c r="Z34" i="18" s="1"/>
  <c r="K33" i="18"/>
  <c r="L33" i="18" s="1"/>
  <c r="M33" i="18" s="1"/>
  <c r="N33" i="18" s="1"/>
  <c r="O33" i="18" s="1"/>
  <c r="P33" i="18" s="1"/>
  <c r="Q33" i="18" s="1"/>
  <c r="R33" i="18" s="1"/>
  <c r="S33" i="18" s="1"/>
  <c r="T33" i="18" s="1"/>
  <c r="U33" i="18" s="1"/>
  <c r="V33" i="18" s="1"/>
  <c r="W33" i="18" s="1"/>
  <c r="X33" i="18" s="1"/>
  <c r="Y33" i="18" s="1"/>
  <c r="Z33" i="18" s="1"/>
  <c r="K32" i="18"/>
  <c r="L32" i="18" s="1"/>
  <c r="M32" i="18" s="1"/>
  <c r="N32" i="18" s="1"/>
  <c r="O32" i="18" s="1"/>
  <c r="P32" i="18" s="1"/>
  <c r="Q32" i="18" s="1"/>
  <c r="R32" i="18" s="1"/>
  <c r="S32" i="18" s="1"/>
  <c r="T32" i="18" s="1"/>
  <c r="U32" i="18" s="1"/>
  <c r="V32" i="18" s="1"/>
  <c r="W32" i="18" s="1"/>
  <c r="X32" i="18" s="1"/>
  <c r="Y32" i="18" s="1"/>
  <c r="Z32" i="18" s="1"/>
  <c r="K31" i="18"/>
  <c r="L31" i="18" s="1"/>
  <c r="M31" i="18" s="1"/>
  <c r="N31" i="18" s="1"/>
  <c r="O31" i="18" s="1"/>
  <c r="P31" i="18" s="1"/>
  <c r="Q31" i="18" s="1"/>
  <c r="R31" i="18" s="1"/>
  <c r="S31" i="18" s="1"/>
  <c r="T31" i="18" s="1"/>
  <c r="U31" i="18" s="1"/>
  <c r="V31" i="18" s="1"/>
  <c r="W31" i="18" s="1"/>
  <c r="X31" i="18" s="1"/>
  <c r="Y31" i="18" s="1"/>
  <c r="Z31" i="18" s="1"/>
  <c r="M28" i="18"/>
  <c r="N28" i="18" s="1"/>
  <c r="O28" i="18" s="1"/>
  <c r="P28" i="18" s="1"/>
  <c r="Q28" i="18" s="1"/>
  <c r="R28" i="18" s="1"/>
  <c r="S28" i="18" s="1"/>
  <c r="T28" i="18" s="1"/>
  <c r="U28" i="18" s="1"/>
  <c r="V28" i="18" s="1"/>
  <c r="W28" i="18" s="1"/>
  <c r="X28" i="18" s="1"/>
  <c r="Y28" i="18" s="1"/>
  <c r="Z28" i="18" s="1"/>
  <c r="E26" i="18"/>
  <c r="E27" i="18" s="1"/>
  <c r="C26" i="18"/>
  <c r="C35" i="18" s="1"/>
  <c r="C92" i="19" s="1"/>
  <c r="K25" i="18"/>
  <c r="L25" i="18" s="1"/>
  <c r="M25" i="18" s="1"/>
  <c r="N25" i="18" s="1"/>
  <c r="O25" i="18" s="1"/>
  <c r="P25" i="18" s="1"/>
  <c r="Q25" i="18" s="1"/>
  <c r="R25" i="18" s="1"/>
  <c r="S25" i="18" s="1"/>
  <c r="T25" i="18" s="1"/>
  <c r="U25" i="18" s="1"/>
  <c r="V25" i="18" s="1"/>
  <c r="W25" i="18" s="1"/>
  <c r="X25" i="18" s="1"/>
  <c r="Y25" i="18" s="1"/>
  <c r="Z25" i="18" s="1"/>
  <c r="K24" i="18"/>
  <c r="L24" i="18" s="1"/>
  <c r="M24" i="18" s="1"/>
  <c r="N24" i="18" s="1"/>
  <c r="O24" i="18" s="1"/>
  <c r="P24" i="18" s="1"/>
  <c r="Q24" i="18" s="1"/>
  <c r="R24" i="18" s="1"/>
  <c r="S24" i="18" s="1"/>
  <c r="T24" i="18" s="1"/>
  <c r="U24" i="18" s="1"/>
  <c r="V24" i="18" s="1"/>
  <c r="W24" i="18" s="1"/>
  <c r="X24" i="18" s="1"/>
  <c r="Y24" i="18" s="1"/>
  <c r="Z24" i="18" s="1"/>
  <c r="K23" i="18"/>
  <c r="L23" i="18" s="1"/>
  <c r="M23" i="18" s="1"/>
  <c r="N23" i="18" s="1"/>
  <c r="O23" i="18" s="1"/>
  <c r="P23" i="18" s="1"/>
  <c r="Q23" i="18" s="1"/>
  <c r="R23" i="18" s="1"/>
  <c r="S23" i="18" s="1"/>
  <c r="T23" i="18" s="1"/>
  <c r="U23" i="18" s="1"/>
  <c r="V23" i="18" s="1"/>
  <c r="W23" i="18" s="1"/>
  <c r="X23" i="18" s="1"/>
  <c r="Y23" i="18" s="1"/>
  <c r="Z23" i="18" s="1"/>
  <c r="K22" i="18"/>
  <c r="L22" i="18" s="1"/>
  <c r="M22" i="18" s="1"/>
  <c r="N22" i="18" s="1"/>
  <c r="O22" i="18" s="1"/>
  <c r="P22" i="18" s="1"/>
  <c r="Q22" i="18" s="1"/>
  <c r="R22" i="18" s="1"/>
  <c r="S22" i="18" s="1"/>
  <c r="T22" i="18" s="1"/>
  <c r="U22" i="18" s="1"/>
  <c r="V22" i="18" s="1"/>
  <c r="W22" i="18" s="1"/>
  <c r="X22" i="18" s="1"/>
  <c r="Y22" i="18" s="1"/>
  <c r="Z22" i="18" s="1"/>
  <c r="K21" i="18"/>
  <c r="L21" i="18" s="1"/>
  <c r="M21" i="18" s="1"/>
  <c r="N21" i="18" s="1"/>
  <c r="O21" i="18" s="1"/>
  <c r="P21" i="18" s="1"/>
  <c r="Q21" i="18" s="1"/>
  <c r="R21" i="18" s="1"/>
  <c r="S21" i="18" s="1"/>
  <c r="T21" i="18" s="1"/>
  <c r="U21" i="18" s="1"/>
  <c r="V21" i="18" s="1"/>
  <c r="W21" i="18" s="1"/>
  <c r="X21" i="18" s="1"/>
  <c r="Y21" i="18" s="1"/>
  <c r="Z21" i="18" s="1"/>
  <c r="K18" i="18"/>
  <c r="L18" i="18" s="1"/>
  <c r="M18" i="18" s="1"/>
  <c r="N18" i="18" s="1"/>
  <c r="O18" i="18" s="1"/>
  <c r="P18" i="18" s="1"/>
  <c r="Q18" i="18" s="1"/>
  <c r="R18" i="18" s="1"/>
  <c r="S18" i="18" s="1"/>
  <c r="T18" i="18" s="1"/>
  <c r="U18" i="18" s="1"/>
  <c r="V18" i="18" s="1"/>
  <c r="W18" i="18" s="1"/>
  <c r="X18" i="18" s="1"/>
  <c r="Y18" i="18" s="1"/>
  <c r="Z18" i="18" s="1"/>
  <c r="K17" i="18"/>
  <c r="L17" i="18" s="1"/>
  <c r="M17" i="18" s="1"/>
  <c r="N17" i="18" s="1"/>
  <c r="O17" i="18" s="1"/>
  <c r="P17" i="18" s="1"/>
  <c r="Q17" i="18" s="1"/>
  <c r="R17" i="18" s="1"/>
  <c r="S17" i="18" s="1"/>
  <c r="T17" i="18" s="1"/>
  <c r="U17" i="18" s="1"/>
  <c r="V17" i="18" s="1"/>
  <c r="W17" i="18" s="1"/>
  <c r="X17" i="18" s="1"/>
  <c r="Y17" i="18" s="1"/>
  <c r="Z17" i="18" s="1"/>
  <c r="K16" i="18"/>
  <c r="L16" i="18" s="1"/>
  <c r="M16" i="18" s="1"/>
  <c r="N16" i="18" s="1"/>
  <c r="O16" i="18" s="1"/>
  <c r="P16" i="18" s="1"/>
  <c r="Q16" i="18" s="1"/>
  <c r="R16" i="18" s="1"/>
  <c r="S16" i="18" s="1"/>
  <c r="T16" i="18" s="1"/>
  <c r="U16" i="18" s="1"/>
  <c r="V16" i="18" s="1"/>
  <c r="W16" i="18" s="1"/>
  <c r="X16" i="18" s="1"/>
  <c r="Y16" i="18" s="1"/>
  <c r="Z16" i="18" s="1"/>
  <c r="K15" i="18"/>
  <c r="L15" i="18" s="1"/>
  <c r="M15" i="18" s="1"/>
  <c r="N15" i="18" s="1"/>
  <c r="O15" i="18" s="1"/>
  <c r="P15" i="18" s="1"/>
  <c r="Q15" i="18" s="1"/>
  <c r="R15" i="18" s="1"/>
  <c r="S15" i="18" s="1"/>
  <c r="T15" i="18" s="1"/>
  <c r="U15" i="18" s="1"/>
  <c r="V15" i="18" s="1"/>
  <c r="W15" i="18" s="1"/>
  <c r="X15" i="18" s="1"/>
  <c r="Y15" i="18" s="1"/>
  <c r="Z15" i="18" s="1"/>
  <c r="E13" i="18"/>
  <c r="E20" i="18" s="1"/>
  <c r="E21" i="18" s="1"/>
  <c r="C13" i="18"/>
  <c r="K12" i="18"/>
  <c r="L12" i="18" s="1"/>
  <c r="M12" i="18" s="1"/>
  <c r="N12" i="18" s="1"/>
  <c r="O12" i="18" s="1"/>
  <c r="P12" i="18" s="1"/>
  <c r="Q12" i="18" s="1"/>
  <c r="R12" i="18" s="1"/>
  <c r="S12" i="18" s="1"/>
  <c r="T12" i="18" s="1"/>
  <c r="U12" i="18" s="1"/>
  <c r="V12" i="18" s="1"/>
  <c r="W12" i="18" s="1"/>
  <c r="X12" i="18" s="1"/>
  <c r="Y12" i="18" s="1"/>
  <c r="Z12" i="18" s="1"/>
  <c r="K11" i="18"/>
  <c r="L11" i="18" s="1"/>
  <c r="M11" i="18" s="1"/>
  <c r="N11" i="18" s="1"/>
  <c r="O11" i="18" s="1"/>
  <c r="P11" i="18" s="1"/>
  <c r="Q11" i="18" s="1"/>
  <c r="R11" i="18" s="1"/>
  <c r="S11" i="18" s="1"/>
  <c r="T11" i="18" s="1"/>
  <c r="U11" i="18" s="1"/>
  <c r="V11" i="18" s="1"/>
  <c r="W11" i="18" s="1"/>
  <c r="X11" i="18" s="1"/>
  <c r="Y11" i="18" s="1"/>
  <c r="Z11" i="18" s="1"/>
  <c r="K9" i="18"/>
  <c r="L9" i="18" s="1"/>
  <c r="M9" i="18" s="1"/>
  <c r="N9" i="18" s="1"/>
  <c r="O9" i="18" s="1"/>
  <c r="P9" i="18" s="1"/>
  <c r="Q9" i="18" s="1"/>
  <c r="R9" i="18" s="1"/>
  <c r="S9" i="18" s="1"/>
  <c r="T9" i="18" s="1"/>
  <c r="U9" i="18" s="1"/>
  <c r="V9" i="18" s="1"/>
  <c r="W9" i="18" s="1"/>
  <c r="X9" i="18" s="1"/>
  <c r="Y9" i="18" s="1"/>
  <c r="Z9" i="18" s="1"/>
  <c r="L8" i="18"/>
  <c r="M8" i="18" s="1"/>
  <c r="N8" i="18" s="1"/>
  <c r="O8" i="18" s="1"/>
  <c r="P8" i="18" s="1"/>
  <c r="Q8" i="18" s="1"/>
  <c r="R8" i="18" s="1"/>
  <c r="S8" i="18" s="1"/>
  <c r="T8" i="18" s="1"/>
  <c r="U8" i="18" s="1"/>
  <c r="V8" i="18" s="1"/>
  <c r="W8" i="18" s="1"/>
  <c r="X8" i="18" s="1"/>
  <c r="Y8" i="18" s="1"/>
  <c r="Z8" i="18" s="1"/>
  <c r="E6" i="18"/>
  <c r="E10" i="18" s="1"/>
  <c r="E11" i="18" s="1"/>
  <c r="C7" i="18"/>
  <c r="W87" i="2"/>
  <c r="Y60" i="2"/>
  <c r="Z60" i="2" s="1"/>
  <c r="W88" i="2"/>
  <c r="W86" i="2"/>
  <c r="D119" i="19" l="1"/>
  <c r="K83" i="18"/>
  <c r="L83" i="18" s="1"/>
  <c r="M83" i="18" s="1"/>
  <c r="N83" i="18" s="1"/>
  <c r="O83" i="18" s="1"/>
  <c r="P83" i="18" s="1"/>
  <c r="Q83" i="18" s="1"/>
  <c r="R83" i="18" s="1"/>
  <c r="S83" i="18" s="1"/>
  <c r="T83" i="18" s="1"/>
  <c r="U83" i="18" s="1"/>
  <c r="V83" i="18" s="1"/>
  <c r="W83" i="18" s="1"/>
  <c r="X83" i="18" s="1"/>
  <c r="Y83" i="18" s="1"/>
  <c r="Z83" i="18" s="1"/>
  <c r="K86" i="18"/>
  <c r="L86" i="18" s="1"/>
  <c r="M86" i="18" s="1"/>
  <c r="N86" i="18" s="1"/>
  <c r="O86" i="18" s="1"/>
  <c r="P86" i="18" s="1"/>
  <c r="Q86" i="18" s="1"/>
  <c r="R86" i="18" s="1"/>
  <c r="S86" i="18" s="1"/>
  <c r="T86" i="18" s="1"/>
  <c r="U86" i="18" s="1"/>
  <c r="V86" i="18" s="1"/>
  <c r="W86" i="18" s="1"/>
  <c r="X86" i="18" s="1"/>
  <c r="Y86" i="18" s="1"/>
  <c r="Z86" i="18" s="1"/>
  <c r="C77" i="19"/>
  <c r="C14" i="18"/>
  <c r="C4" i="18"/>
  <c r="C9" i="18"/>
  <c r="C73" i="19" s="1"/>
  <c r="C8" i="18"/>
  <c r="I26" i="18"/>
  <c r="C4" i="20" s="1"/>
  <c r="D4" i="20" s="1"/>
  <c r="E4" i="20" s="1"/>
  <c r="F4" i="20" s="1"/>
  <c r="G4" i="20" s="1"/>
  <c r="H4" i="20" s="1"/>
  <c r="I4" i="20" s="1"/>
  <c r="J4" i="20" s="1"/>
  <c r="K4" i="20" s="1"/>
  <c r="L4" i="20" s="1"/>
  <c r="M4" i="20" s="1"/>
  <c r="N4" i="20" s="1"/>
  <c r="O4" i="20" s="1"/>
  <c r="P4" i="20" s="1"/>
  <c r="Q4" i="20" s="1"/>
  <c r="R4" i="20" s="1"/>
  <c r="S4" i="20" s="1"/>
  <c r="T4" i="20" s="1"/>
  <c r="U4" i="20" s="1"/>
  <c r="I13" i="18"/>
  <c r="B3" i="20" s="1"/>
  <c r="B166" i="20" s="1"/>
  <c r="I59" i="18"/>
  <c r="B6" i="20" s="1"/>
  <c r="C167" i="20"/>
  <c r="M151" i="7"/>
  <c r="D60" i="7"/>
  <c r="H60" i="7"/>
  <c r="I89" i="2"/>
  <c r="F179" i="20"/>
  <c r="L151" i="7"/>
  <c r="D63" i="7"/>
  <c r="H63" i="7"/>
  <c r="H62" i="7"/>
  <c r="H181" i="21"/>
  <c r="E180" i="21"/>
  <c r="F177" i="21"/>
  <c r="D61" i="7"/>
  <c r="H61" i="7"/>
  <c r="F60" i="7"/>
  <c r="D177" i="20"/>
  <c r="N150" i="7"/>
  <c r="N181" i="21"/>
  <c r="F181" i="21"/>
  <c r="D8" i="7"/>
  <c r="F63" i="7"/>
  <c r="B169" i="20"/>
  <c r="C6" i="20"/>
  <c r="D6" i="20" s="1"/>
  <c r="E6" i="20" s="1"/>
  <c r="F6" i="20" s="1"/>
  <c r="G6" i="20" s="1"/>
  <c r="H6" i="20" s="1"/>
  <c r="M150" i="7"/>
  <c r="L95" i="21"/>
  <c r="M104" i="21" s="1"/>
  <c r="N113" i="21" s="1"/>
  <c r="O122" i="21" s="1"/>
  <c r="P131" i="21" s="1"/>
  <c r="Q140" i="21" s="1"/>
  <c r="R149" i="21" s="1"/>
  <c r="S158" i="21" s="1"/>
  <c r="F62" i="7"/>
  <c r="C178" i="20"/>
  <c r="N151" i="7"/>
  <c r="L150" i="7"/>
  <c r="D6" i="7"/>
  <c r="F61" i="7"/>
  <c r="D34" i="12"/>
  <c r="B31" i="10"/>
  <c r="D123" i="12"/>
  <c r="D153" i="12" s="1"/>
  <c r="B85" i="10"/>
  <c r="D60" i="12"/>
  <c r="D62" i="12"/>
  <c r="G60" i="1"/>
  <c r="D2" i="21"/>
  <c r="O21" i="20"/>
  <c r="P30" i="20" s="1"/>
  <c r="Q39" i="20" s="1"/>
  <c r="R48" i="20" s="1"/>
  <c r="S57" i="20" s="1"/>
  <c r="T66" i="20" s="1"/>
  <c r="U75" i="20" s="1"/>
  <c r="L25" i="20"/>
  <c r="M34" i="20" s="1"/>
  <c r="N43" i="20" s="1"/>
  <c r="O52" i="20" s="1"/>
  <c r="P61" i="20" s="1"/>
  <c r="Q70" i="20" s="1"/>
  <c r="R79" i="20" s="1"/>
  <c r="S88" i="20" s="1"/>
  <c r="T97" i="20" s="1"/>
  <c r="U106" i="20" s="1"/>
  <c r="N24" i="20"/>
  <c r="O33" i="20" s="1"/>
  <c r="P42" i="20" s="1"/>
  <c r="Q51" i="20" s="1"/>
  <c r="R60" i="20" s="1"/>
  <c r="S69" i="20" s="1"/>
  <c r="T78" i="20" s="1"/>
  <c r="U87" i="20" s="1"/>
  <c r="M24" i="20"/>
  <c r="N33" i="20" s="1"/>
  <c r="O42" i="20" s="1"/>
  <c r="P51" i="20" s="1"/>
  <c r="Q60" i="20" s="1"/>
  <c r="R69" i="20" s="1"/>
  <c r="S78" i="20" s="1"/>
  <c r="T87" i="20" s="1"/>
  <c r="U96" i="20" s="1"/>
  <c r="R25" i="20"/>
  <c r="S34" i="20" s="1"/>
  <c r="T43" i="20" s="1"/>
  <c r="U52" i="20" s="1"/>
  <c r="H20" i="20"/>
  <c r="I29" i="20" s="1"/>
  <c r="J38" i="20" s="1"/>
  <c r="K47" i="20" s="1"/>
  <c r="L56" i="20" s="1"/>
  <c r="M65" i="20" s="1"/>
  <c r="N74" i="20" s="1"/>
  <c r="O83" i="20" s="1"/>
  <c r="P92" i="20" s="1"/>
  <c r="Q101" i="20" s="1"/>
  <c r="R110" i="20" s="1"/>
  <c r="S119" i="20" s="1"/>
  <c r="T128" i="20" s="1"/>
  <c r="U137" i="20" s="1"/>
  <c r="S25" i="20"/>
  <c r="T34" i="20" s="1"/>
  <c r="U43" i="20" s="1"/>
  <c r="Q20" i="20"/>
  <c r="R29" i="20" s="1"/>
  <c r="S38" i="20" s="1"/>
  <c r="T47" i="20" s="1"/>
  <c r="U56" i="20" s="1"/>
  <c r="N21" i="20"/>
  <c r="O30" i="20" s="1"/>
  <c r="P39" i="20" s="1"/>
  <c r="Q48" i="20" s="1"/>
  <c r="R57" i="20" s="1"/>
  <c r="S66" i="20" s="1"/>
  <c r="T75" i="20" s="1"/>
  <c r="U84" i="20" s="1"/>
  <c r="Q25" i="20"/>
  <c r="R34" i="20" s="1"/>
  <c r="S43" i="20" s="1"/>
  <c r="T52" i="20" s="1"/>
  <c r="U61" i="20" s="1"/>
  <c r="S24" i="20"/>
  <c r="T33" i="20" s="1"/>
  <c r="U42" i="20" s="1"/>
  <c r="M21" i="20"/>
  <c r="N30" i="20" s="1"/>
  <c r="O39" i="20" s="1"/>
  <c r="P48" i="20" s="1"/>
  <c r="Q57" i="20" s="1"/>
  <c r="R66" i="20" s="1"/>
  <c r="S75" i="20" s="1"/>
  <c r="T84" i="20" s="1"/>
  <c r="U93" i="20" s="1"/>
  <c r="O20" i="20"/>
  <c r="P29" i="20" s="1"/>
  <c r="Q38" i="20" s="1"/>
  <c r="R47" i="20" s="1"/>
  <c r="S56" i="20" s="1"/>
  <c r="T65" i="20" s="1"/>
  <c r="U74" i="20" s="1"/>
  <c r="G20" i="20"/>
  <c r="H29" i="20" s="1"/>
  <c r="I38" i="20" s="1"/>
  <c r="J47" i="20" s="1"/>
  <c r="K56" i="20" s="1"/>
  <c r="L65" i="20" s="1"/>
  <c r="M74" i="20" s="1"/>
  <c r="N83" i="20" s="1"/>
  <c r="O92" i="20" s="1"/>
  <c r="P101" i="20" s="1"/>
  <c r="Q110" i="20" s="1"/>
  <c r="R119" i="20" s="1"/>
  <c r="S128" i="20" s="1"/>
  <c r="T137" i="20" s="1"/>
  <c r="U146" i="20" s="1"/>
  <c r="P25" i="20"/>
  <c r="Q34" i="20" s="1"/>
  <c r="R43" i="20" s="1"/>
  <c r="S52" i="20" s="1"/>
  <c r="T61" i="20" s="1"/>
  <c r="U70" i="20" s="1"/>
  <c r="R24" i="20"/>
  <c r="S33" i="20" s="1"/>
  <c r="T42" i="20" s="1"/>
  <c r="U51" i="20" s="1"/>
  <c r="T21" i="20"/>
  <c r="U30" i="20" s="1"/>
  <c r="L21" i="20"/>
  <c r="M30" i="20" s="1"/>
  <c r="N39" i="20" s="1"/>
  <c r="O48" i="20" s="1"/>
  <c r="P57" i="20" s="1"/>
  <c r="Q66" i="20" s="1"/>
  <c r="R75" i="20" s="1"/>
  <c r="S84" i="20" s="1"/>
  <c r="T93" i="20" s="1"/>
  <c r="U102" i="20" s="1"/>
  <c r="N20" i="20"/>
  <c r="O29" i="20" s="1"/>
  <c r="P38" i="20" s="1"/>
  <c r="Q47" i="20" s="1"/>
  <c r="R56" i="20" s="1"/>
  <c r="S65" i="20" s="1"/>
  <c r="T74" i="20" s="1"/>
  <c r="U83" i="20" s="1"/>
  <c r="F20" i="20"/>
  <c r="G29" i="20" s="1"/>
  <c r="H38" i="20" s="1"/>
  <c r="I47" i="20" s="1"/>
  <c r="J56" i="20" s="1"/>
  <c r="K65" i="20" s="1"/>
  <c r="L74" i="20" s="1"/>
  <c r="M83" i="20" s="1"/>
  <c r="N92" i="20" s="1"/>
  <c r="O101" i="20" s="1"/>
  <c r="P110" i="20" s="1"/>
  <c r="Q119" i="20" s="1"/>
  <c r="R128" i="20" s="1"/>
  <c r="S137" i="20" s="1"/>
  <c r="T146" i="20" s="1"/>
  <c r="U155" i="20" s="1"/>
  <c r="I20" i="20"/>
  <c r="J29" i="20" s="1"/>
  <c r="K38" i="20" s="1"/>
  <c r="L47" i="20" s="1"/>
  <c r="M56" i="20" s="1"/>
  <c r="N65" i="20" s="1"/>
  <c r="O74" i="20" s="1"/>
  <c r="P83" i="20" s="1"/>
  <c r="Q92" i="20" s="1"/>
  <c r="R101" i="20" s="1"/>
  <c r="S110" i="20" s="1"/>
  <c r="T119" i="20" s="1"/>
  <c r="U128" i="20" s="1"/>
  <c r="L24" i="20"/>
  <c r="M33" i="20" s="1"/>
  <c r="N42" i="20" s="1"/>
  <c r="O51" i="20" s="1"/>
  <c r="P60" i="20" s="1"/>
  <c r="Q69" i="20" s="1"/>
  <c r="R78" i="20" s="1"/>
  <c r="S87" i="20" s="1"/>
  <c r="T96" i="20" s="1"/>
  <c r="U105" i="20" s="1"/>
  <c r="K21" i="20"/>
  <c r="L30" i="20" s="1"/>
  <c r="M39" i="20" s="1"/>
  <c r="N48" i="20" s="1"/>
  <c r="O57" i="20" s="1"/>
  <c r="P66" i="20" s="1"/>
  <c r="Q75" i="20" s="1"/>
  <c r="R84" i="20" s="1"/>
  <c r="S93" i="20" s="1"/>
  <c r="T102" i="20" s="1"/>
  <c r="U111" i="20" s="1"/>
  <c r="K25" i="20"/>
  <c r="L34" i="20" s="1"/>
  <c r="M43" i="20" s="1"/>
  <c r="N52" i="20" s="1"/>
  <c r="O61" i="20" s="1"/>
  <c r="P70" i="20" s="1"/>
  <c r="Q79" i="20" s="1"/>
  <c r="R88" i="20" s="1"/>
  <c r="S97" i="20" s="1"/>
  <c r="T106" i="20" s="1"/>
  <c r="U115" i="20" s="1"/>
  <c r="T24" i="20"/>
  <c r="U33" i="20" s="1"/>
  <c r="P20" i="20"/>
  <c r="Q29" i="20" s="1"/>
  <c r="R38" i="20" s="1"/>
  <c r="S47" i="20" s="1"/>
  <c r="T56" i="20" s="1"/>
  <c r="U65" i="20" s="1"/>
  <c r="O25" i="20"/>
  <c r="P34" i="20" s="1"/>
  <c r="Q43" i="20" s="1"/>
  <c r="R52" i="20" s="1"/>
  <c r="S61" i="20" s="1"/>
  <c r="T70" i="20" s="1"/>
  <c r="U79" i="20" s="1"/>
  <c r="Q24" i="20"/>
  <c r="R33" i="20" s="1"/>
  <c r="S42" i="20" s="1"/>
  <c r="T51" i="20" s="1"/>
  <c r="U60" i="20" s="1"/>
  <c r="S21" i="20"/>
  <c r="T30" i="20" s="1"/>
  <c r="U39" i="20" s="1"/>
  <c r="M20" i="20"/>
  <c r="N29" i="20" s="1"/>
  <c r="O38" i="20" s="1"/>
  <c r="P47" i="20" s="1"/>
  <c r="Q56" i="20" s="1"/>
  <c r="R65" i="20" s="1"/>
  <c r="S74" i="20" s="1"/>
  <c r="T83" i="20" s="1"/>
  <c r="U92" i="20" s="1"/>
  <c r="R21" i="20"/>
  <c r="S30" i="20" s="1"/>
  <c r="T39" i="20" s="1"/>
  <c r="U48" i="20" s="1"/>
  <c r="T20" i="20"/>
  <c r="U29" i="20" s="1"/>
  <c r="L20" i="20"/>
  <c r="M29" i="20" s="1"/>
  <c r="N38" i="20" s="1"/>
  <c r="O47" i="20" s="1"/>
  <c r="P56" i="20" s="1"/>
  <c r="Q65" i="20" s="1"/>
  <c r="R74" i="20" s="1"/>
  <c r="S83" i="20" s="1"/>
  <c r="T92" i="20" s="1"/>
  <c r="U101" i="20" s="1"/>
  <c r="D22" i="20"/>
  <c r="E31" i="20" s="1"/>
  <c r="F40" i="20" s="1"/>
  <c r="G49" i="20" s="1"/>
  <c r="H58" i="20" s="1"/>
  <c r="I67" i="20" s="1"/>
  <c r="J76" i="20" s="1"/>
  <c r="K85" i="20" s="1"/>
  <c r="L94" i="20" s="1"/>
  <c r="M103" i="20" s="1"/>
  <c r="N112" i="20" s="1"/>
  <c r="O121" i="20" s="1"/>
  <c r="P130" i="20" s="1"/>
  <c r="Q139" i="20" s="1"/>
  <c r="R148" i="20" s="1"/>
  <c r="S157" i="20" s="1"/>
  <c r="Q21" i="20"/>
  <c r="R30" i="20" s="1"/>
  <c r="S39" i="20" s="1"/>
  <c r="T48" i="20" s="1"/>
  <c r="U57" i="20" s="1"/>
  <c r="D24" i="20"/>
  <c r="E33" i="20" s="1"/>
  <c r="F42" i="20" s="1"/>
  <c r="G51" i="20" s="1"/>
  <c r="H60" i="20" s="1"/>
  <c r="I69" i="20" s="1"/>
  <c r="J78" i="20" s="1"/>
  <c r="K87" i="20" s="1"/>
  <c r="L96" i="20" s="1"/>
  <c r="M105" i="20" s="1"/>
  <c r="N114" i="20" s="1"/>
  <c r="O123" i="20" s="1"/>
  <c r="P132" i="20" s="1"/>
  <c r="Q141" i="20" s="1"/>
  <c r="R150" i="20" s="1"/>
  <c r="S159" i="20" s="1"/>
  <c r="C169" i="20"/>
  <c r="M25" i="20"/>
  <c r="N34" i="20" s="1"/>
  <c r="O43" i="20" s="1"/>
  <c r="P52" i="20" s="1"/>
  <c r="Q61" i="20" s="1"/>
  <c r="R70" i="20" s="1"/>
  <c r="S79" i="20" s="1"/>
  <c r="T88" i="20" s="1"/>
  <c r="U97" i="20" s="1"/>
  <c r="P21" i="20"/>
  <c r="Q30" i="20" s="1"/>
  <c r="R39" i="20" s="1"/>
  <c r="S48" i="20" s="1"/>
  <c r="T57" i="20" s="1"/>
  <c r="U66" i="20" s="1"/>
  <c r="J20" i="20"/>
  <c r="K29" i="20" s="1"/>
  <c r="L38" i="20" s="1"/>
  <c r="M47" i="20" s="1"/>
  <c r="N56" i="20" s="1"/>
  <c r="O65" i="20" s="1"/>
  <c r="P74" i="20" s="1"/>
  <c r="Q83" i="20" s="1"/>
  <c r="R92" i="20" s="1"/>
  <c r="S101" i="20" s="1"/>
  <c r="T110" i="20" s="1"/>
  <c r="U119" i="20" s="1"/>
  <c r="N25" i="20"/>
  <c r="O34" i="20" s="1"/>
  <c r="P43" i="20" s="1"/>
  <c r="Q52" i="20" s="1"/>
  <c r="R61" i="20" s="1"/>
  <c r="S70" i="20" s="1"/>
  <c r="T79" i="20" s="1"/>
  <c r="U88" i="20" s="1"/>
  <c r="O24" i="20"/>
  <c r="P33" i="20" s="1"/>
  <c r="Q42" i="20" s="1"/>
  <c r="R51" i="20" s="1"/>
  <c r="S60" i="20" s="1"/>
  <c r="T69" i="20" s="1"/>
  <c r="U78" i="20" s="1"/>
  <c r="R20" i="20"/>
  <c r="S29" i="20" s="1"/>
  <c r="T38" i="20" s="1"/>
  <c r="U47" i="20" s="1"/>
  <c r="C11" i="22"/>
  <c r="D11" i="20" s="1"/>
  <c r="S20" i="20"/>
  <c r="T29" i="20" s="1"/>
  <c r="U38" i="20" s="1"/>
  <c r="P24" i="20"/>
  <c r="Q33" i="20" s="1"/>
  <c r="R42" i="20" s="1"/>
  <c r="S51" i="20" s="1"/>
  <c r="T60" i="20" s="1"/>
  <c r="U69" i="20" s="1"/>
  <c r="K20" i="20"/>
  <c r="L29" i="20" s="1"/>
  <c r="M38" i="20" s="1"/>
  <c r="N47" i="20" s="1"/>
  <c r="O56" i="20" s="1"/>
  <c r="P65" i="20" s="1"/>
  <c r="Q74" i="20" s="1"/>
  <c r="R83" i="20" s="1"/>
  <c r="S92" i="20" s="1"/>
  <c r="T101" i="20" s="1"/>
  <c r="U110" i="20" s="1"/>
  <c r="H60" i="1"/>
  <c r="H33" i="1"/>
  <c r="F37" i="10"/>
  <c r="D35" i="12"/>
  <c r="D61" i="12"/>
  <c r="D33" i="12"/>
  <c r="E80" i="10"/>
  <c r="E40" i="10"/>
  <c r="E72" i="10"/>
  <c r="D63" i="12"/>
  <c r="E48" i="10"/>
  <c r="E64" i="10"/>
  <c r="F68" i="10"/>
  <c r="E45" i="10"/>
  <c r="E37" i="10"/>
  <c r="E79" i="10"/>
  <c r="E71" i="10"/>
  <c r="E63" i="10"/>
  <c r="E50" i="10"/>
  <c r="E42" i="10"/>
  <c r="F39" i="10"/>
  <c r="E78" i="10"/>
  <c r="E70" i="10"/>
  <c r="E62" i="10"/>
  <c r="F62" i="10"/>
  <c r="D81" i="10"/>
  <c r="E47" i="10"/>
  <c r="E39" i="10"/>
  <c r="F36" i="10"/>
  <c r="F63" i="10"/>
  <c r="E81" i="10"/>
  <c r="E52" i="10"/>
  <c r="E44" i="10"/>
  <c r="E36" i="10"/>
  <c r="E76" i="10"/>
  <c r="E68" i="10"/>
  <c r="F38" i="10"/>
  <c r="E46" i="10"/>
  <c r="E38" i="10"/>
  <c r="F35" i="10"/>
  <c r="F66" i="10"/>
  <c r="F40" i="10"/>
  <c r="D197" i="7"/>
  <c r="C177" i="20"/>
  <c r="C3" i="21"/>
  <c r="D3" i="21" s="1"/>
  <c r="E3" i="21" s="1"/>
  <c r="F3" i="21" s="1"/>
  <c r="G3" i="21" s="1"/>
  <c r="H3" i="21" s="1"/>
  <c r="I3" i="21" s="1"/>
  <c r="J3" i="21" s="1"/>
  <c r="K3" i="21" s="1"/>
  <c r="L3" i="21" s="1"/>
  <c r="M3" i="21" s="1"/>
  <c r="N3" i="21" s="1"/>
  <c r="O3" i="21" s="1"/>
  <c r="P3" i="21" s="1"/>
  <c r="R3" i="21" s="1"/>
  <c r="S3" i="21" s="1"/>
  <c r="T3" i="21" s="1"/>
  <c r="U3" i="21" s="1"/>
  <c r="G9" i="1"/>
  <c r="G10" i="1"/>
  <c r="V6" i="12"/>
  <c r="E178" i="21"/>
  <c r="J182" i="21"/>
  <c r="C182" i="20"/>
  <c r="C179" i="20"/>
  <c r="F178" i="20"/>
  <c r="K80" i="18"/>
  <c r="L80" i="18" s="1"/>
  <c r="M80" i="18" s="1"/>
  <c r="N80" i="18" s="1"/>
  <c r="O80" i="18" s="1"/>
  <c r="P80" i="18" s="1"/>
  <c r="Q80" i="18" s="1"/>
  <c r="R80" i="18" s="1"/>
  <c r="S80" i="18" s="1"/>
  <c r="T80" i="18" s="1"/>
  <c r="U80" i="18" s="1"/>
  <c r="V80" i="18" s="1"/>
  <c r="W80" i="18" s="1"/>
  <c r="X80" i="18" s="1"/>
  <c r="Y80" i="18" s="1"/>
  <c r="Z80" i="18" s="1"/>
  <c r="W108" i="19"/>
  <c r="S15" i="22" s="1"/>
  <c r="T15" i="20" s="1"/>
  <c r="E4" i="18"/>
  <c r="C27" i="18"/>
  <c r="C91" i="19" s="1"/>
  <c r="E53" i="18"/>
  <c r="C82" i="18"/>
  <c r="C87" i="18" s="1"/>
  <c r="C10" i="18"/>
  <c r="C11" i="18" s="1"/>
  <c r="E35" i="18"/>
  <c r="K81" i="18"/>
  <c r="L81" i="18" s="1"/>
  <c r="M81" i="18" s="1"/>
  <c r="N81" i="18" s="1"/>
  <c r="O81" i="18" s="1"/>
  <c r="P81" i="18" s="1"/>
  <c r="Q81" i="18" s="1"/>
  <c r="R81" i="18" s="1"/>
  <c r="S81" i="18" s="1"/>
  <c r="T81" i="18" s="1"/>
  <c r="U81" i="18" s="1"/>
  <c r="V81" i="18" s="1"/>
  <c r="W81" i="18" s="1"/>
  <c r="X81" i="18" s="1"/>
  <c r="Y81" i="18" s="1"/>
  <c r="Z81" i="18" s="1"/>
  <c r="E7" i="18"/>
  <c r="E9" i="18" s="1"/>
  <c r="E44" i="18"/>
  <c r="E48" i="18" s="1"/>
  <c r="E47" i="18"/>
  <c r="D115" i="19"/>
  <c r="E5" i="18"/>
  <c r="E76" i="18"/>
  <c r="E79" i="18" s="1"/>
  <c r="K85" i="18"/>
  <c r="L85" i="18" s="1"/>
  <c r="M85" i="18" s="1"/>
  <c r="N85" i="18" s="1"/>
  <c r="O85" i="18" s="1"/>
  <c r="P85" i="18" s="1"/>
  <c r="Q85" i="18" s="1"/>
  <c r="R85" i="18" s="1"/>
  <c r="S85" i="18" s="1"/>
  <c r="T85" i="18" s="1"/>
  <c r="U85" i="18" s="1"/>
  <c r="V85" i="18" s="1"/>
  <c r="W85" i="18" s="1"/>
  <c r="X85" i="18" s="1"/>
  <c r="Y85" i="18" s="1"/>
  <c r="Z85" i="18" s="1"/>
  <c r="C29" i="19"/>
  <c r="C93" i="19"/>
  <c r="C111" i="19"/>
  <c r="D120" i="19"/>
  <c r="C5" i="18"/>
  <c r="C112" i="19"/>
  <c r="E12" i="18"/>
  <c r="C31" i="19"/>
  <c r="G31" i="19" s="1"/>
  <c r="H31" i="19" s="1"/>
  <c r="I31" i="19" s="1"/>
  <c r="J31" i="19" s="1"/>
  <c r="K31" i="19" s="1"/>
  <c r="L31" i="19" s="1"/>
  <c r="M31" i="19" s="1"/>
  <c r="N31" i="19" s="1"/>
  <c r="O31" i="19" s="1"/>
  <c r="P31" i="19" s="1"/>
  <c r="Q31" i="19" s="1"/>
  <c r="R31" i="19" s="1"/>
  <c r="S31" i="19" s="1"/>
  <c r="T31" i="19" s="1"/>
  <c r="U31" i="19" s="1"/>
  <c r="V31" i="19" s="1"/>
  <c r="W31" i="19" s="1"/>
  <c r="X31" i="19" s="1"/>
  <c r="C47" i="19"/>
  <c r="C70" i="19"/>
  <c r="C16" i="19"/>
  <c r="C71" i="19"/>
  <c r="C90" i="19"/>
  <c r="C108" i="19"/>
  <c r="D113" i="19"/>
  <c r="C9" i="19"/>
  <c r="C49" i="19"/>
  <c r="G49" i="19" s="1"/>
  <c r="H49" i="19" s="1"/>
  <c r="I49" i="19" s="1"/>
  <c r="J49" i="19" s="1"/>
  <c r="K49" i="19" s="1"/>
  <c r="L49" i="19" s="1"/>
  <c r="M49" i="19" s="1"/>
  <c r="N49" i="19" s="1"/>
  <c r="O49" i="19" s="1"/>
  <c r="P49" i="19" s="1"/>
  <c r="Q49" i="19" s="1"/>
  <c r="R49" i="19" s="1"/>
  <c r="S49" i="19" s="1"/>
  <c r="T49" i="19" s="1"/>
  <c r="U49" i="19" s="1"/>
  <c r="C59" i="18"/>
  <c r="C10" i="19"/>
  <c r="C50" i="19"/>
  <c r="D114" i="19"/>
  <c r="D123" i="19"/>
  <c r="E177" i="20"/>
  <c r="E182" i="20"/>
  <c r="D182" i="20"/>
  <c r="I179" i="20"/>
  <c r="D178" i="20"/>
  <c r="H179" i="20"/>
  <c r="G179" i="20"/>
  <c r="E179" i="20"/>
  <c r="G178" i="20"/>
  <c r="E177" i="21"/>
  <c r="L180" i="21"/>
  <c r="D180" i="21"/>
  <c r="E179" i="21"/>
  <c r="D178" i="21"/>
  <c r="F179" i="21"/>
  <c r="K180" i="21"/>
  <c r="C180" i="21"/>
  <c r="D179" i="21"/>
  <c r="C178" i="21"/>
  <c r="D177" i="21"/>
  <c r="M181" i="21"/>
  <c r="E181" i="21"/>
  <c r="C179" i="21"/>
  <c r="C177" i="21"/>
  <c r="L181" i="21"/>
  <c r="D181" i="21"/>
  <c r="I180" i="21"/>
  <c r="J179" i="21"/>
  <c r="I178" i="21"/>
  <c r="K181" i="21"/>
  <c r="H180" i="21"/>
  <c r="I179" i="21"/>
  <c r="H178" i="21"/>
  <c r="J181" i="21"/>
  <c r="G180" i="21"/>
  <c r="H179" i="21"/>
  <c r="G178" i="21"/>
  <c r="I181" i="21"/>
  <c r="G179" i="21"/>
  <c r="F178" i="21"/>
  <c r="H89" i="2"/>
  <c r="D32" i="12"/>
  <c r="V32" i="12" s="1"/>
  <c r="V7" i="12"/>
  <c r="V4" i="12"/>
  <c r="H12" i="9"/>
  <c r="V5" i="12"/>
  <c r="K79" i="2"/>
  <c r="K89" i="2" s="1"/>
  <c r="H19" i="9"/>
  <c r="H11" i="9"/>
  <c r="H61" i="9"/>
  <c r="H78" i="9"/>
  <c r="H94" i="9"/>
  <c r="H26" i="9"/>
  <c r="H22" i="9"/>
  <c r="H18" i="9"/>
  <c r="H14" i="9"/>
  <c r="H10" i="9"/>
  <c r="H6" i="9"/>
  <c r="H55" i="9"/>
  <c r="H51" i="9"/>
  <c r="H47" i="9"/>
  <c r="H43" i="9"/>
  <c r="H39" i="9"/>
  <c r="H35" i="9"/>
  <c r="H70" i="9"/>
  <c r="H110" i="9"/>
  <c r="H102" i="9"/>
  <c r="H23" i="9"/>
  <c r="H15" i="9"/>
  <c r="H7" i="9"/>
  <c r="H52" i="9"/>
  <c r="H48" i="9"/>
  <c r="H44" i="9"/>
  <c r="H40" i="9"/>
  <c r="H36" i="9"/>
  <c r="H89" i="9"/>
  <c r="H24" i="9"/>
  <c r="H20" i="9"/>
  <c r="H16" i="9"/>
  <c r="H8" i="9"/>
  <c r="H53" i="9"/>
  <c r="H49" i="9"/>
  <c r="H45" i="9"/>
  <c r="H41" i="9"/>
  <c r="H37" i="9"/>
  <c r="H68" i="9"/>
  <c r="H64" i="9"/>
  <c r="H25" i="9"/>
  <c r="H21" i="9"/>
  <c r="H17" i="9"/>
  <c r="H13" i="9"/>
  <c r="H9" i="9"/>
  <c r="H5" i="9"/>
  <c r="H54" i="9"/>
  <c r="H50" i="9"/>
  <c r="H46" i="9"/>
  <c r="H42" i="9"/>
  <c r="H38" i="9"/>
  <c r="H34" i="9"/>
  <c r="H77" i="9"/>
  <c r="H74" i="9"/>
  <c r="H73" i="9"/>
  <c r="H69" i="9"/>
  <c r="H62" i="9"/>
  <c r="H107" i="9"/>
  <c r="H79" i="9"/>
  <c r="H66" i="9"/>
  <c r="H65" i="9"/>
  <c r="H99" i="9"/>
  <c r="H95" i="9"/>
  <c r="H108" i="9"/>
  <c r="H104" i="9"/>
  <c r="H91" i="9"/>
  <c r="H80" i="9"/>
  <c r="H75" i="9"/>
  <c r="H71" i="9"/>
  <c r="H105" i="9"/>
  <c r="H100" i="9"/>
  <c r="H96" i="9"/>
  <c r="H109" i="9"/>
  <c r="H106" i="9"/>
  <c r="H97" i="9"/>
  <c r="H92" i="9"/>
  <c r="H82" i="9"/>
  <c r="H81" i="9"/>
  <c r="H76" i="9"/>
  <c r="H72" i="9"/>
  <c r="H67" i="9"/>
  <c r="H63" i="9"/>
  <c r="H111" i="9"/>
  <c r="H101" i="9"/>
  <c r="H98" i="9"/>
  <c r="H83" i="9"/>
  <c r="H103" i="9"/>
  <c r="H93" i="9"/>
  <c r="H90" i="9"/>
  <c r="U37" i="21"/>
  <c r="U46" i="21" s="1"/>
  <c r="U55" i="21" s="1"/>
  <c r="U64" i="21" s="1"/>
  <c r="U73" i="21" s="1"/>
  <c r="U82" i="21" s="1"/>
  <c r="U91" i="21" s="1"/>
  <c r="U100" i="21" s="1"/>
  <c r="U109" i="21" s="1"/>
  <c r="U118" i="21" s="1"/>
  <c r="U127" i="21" s="1"/>
  <c r="U136" i="21" s="1"/>
  <c r="U145" i="21" s="1"/>
  <c r="U154" i="21" s="1"/>
  <c r="U163" i="21" s="1"/>
  <c r="U173" i="21" s="1"/>
  <c r="T73" i="21"/>
  <c r="T82" i="21" s="1"/>
  <c r="T91" i="21" s="1"/>
  <c r="T100" i="21" s="1"/>
  <c r="T109" i="21" s="1"/>
  <c r="T118" i="21" s="1"/>
  <c r="T127" i="21" s="1"/>
  <c r="T136" i="21" s="1"/>
  <c r="T145" i="21" s="1"/>
  <c r="T154" i="21" s="1"/>
  <c r="T163" i="21" s="1"/>
  <c r="T173" i="21" s="1"/>
  <c r="K80" i="21"/>
  <c r="K178" i="21" s="1"/>
  <c r="N80" i="21"/>
  <c r="N178" i="21" s="1"/>
  <c r="S80" i="21"/>
  <c r="S178" i="21" s="1"/>
  <c r="O80" i="21"/>
  <c r="O178" i="21" s="1"/>
  <c r="L80" i="21"/>
  <c r="L178" i="21" s="1"/>
  <c r="L89" i="21"/>
  <c r="R80" i="21"/>
  <c r="R178" i="21" s="1"/>
  <c r="J80" i="21"/>
  <c r="J178" i="21" s="1"/>
  <c r="P80" i="21"/>
  <c r="P178" i="21" s="1"/>
  <c r="F116" i="20"/>
  <c r="F180" i="20" s="1"/>
  <c r="J116" i="20"/>
  <c r="J180" i="20" s="1"/>
  <c r="H116" i="20"/>
  <c r="H180" i="20" s="1"/>
  <c r="L116" i="20"/>
  <c r="D116" i="20"/>
  <c r="D180" i="20" s="1"/>
  <c r="U98" i="21"/>
  <c r="O89" i="21"/>
  <c r="M92" i="21"/>
  <c r="N101" i="21" s="1"/>
  <c r="O110" i="21" s="1"/>
  <c r="S83" i="21"/>
  <c r="T92" i="21" s="1"/>
  <c r="U101" i="21" s="1"/>
  <c r="T80" i="21"/>
  <c r="T178" i="21" s="1"/>
  <c r="Q83" i="21"/>
  <c r="R92" i="21" s="1"/>
  <c r="S101" i="21" s="1"/>
  <c r="K125" i="20"/>
  <c r="G125" i="20"/>
  <c r="F125" i="20"/>
  <c r="I125" i="20"/>
  <c r="G116" i="20"/>
  <c r="G180" i="20" s="1"/>
  <c r="I116" i="20"/>
  <c r="I180" i="20" s="1"/>
  <c r="E116" i="20"/>
  <c r="E180" i="20" s="1"/>
  <c r="E125" i="20"/>
  <c r="K116" i="20"/>
  <c r="K180" i="20" s="1"/>
  <c r="C116" i="20"/>
  <c r="C180" i="20" s="1"/>
  <c r="M125" i="20"/>
  <c r="L94" i="21"/>
  <c r="K89" i="21"/>
  <c r="K179" i="21" s="1"/>
  <c r="O93" i="21"/>
  <c r="N89" i="21"/>
  <c r="S105" i="21"/>
  <c r="O113" i="21"/>
  <c r="P122" i="21" s="1"/>
  <c r="Q131" i="21" s="1"/>
  <c r="R140" i="21" s="1"/>
  <c r="S149" i="21" s="1"/>
  <c r="T158" i="21" s="1"/>
  <c r="S155" i="21"/>
  <c r="S137" i="21"/>
  <c r="S111" i="21"/>
  <c r="T120" i="21" s="1"/>
  <c r="T94" i="21"/>
  <c r="P98" i="21"/>
  <c r="Q102" i="21"/>
  <c r="R111" i="21" s="1"/>
  <c r="S120" i="21" s="1"/>
  <c r="T129" i="21" s="1"/>
  <c r="U138" i="21" s="1"/>
  <c r="M89" i="21"/>
  <c r="N96" i="21"/>
  <c r="O105" i="21" s="1"/>
  <c r="P114" i="21" s="1"/>
  <c r="Q123" i="21" s="1"/>
  <c r="R132" i="21" s="1"/>
  <c r="S141" i="21" s="1"/>
  <c r="T150" i="21" s="1"/>
  <c r="U159" i="21" s="1"/>
  <c r="Q95" i="21"/>
  <c r="U80" i="21"/>
  <c r="U178" i="21" s="1"/>
  <c r="M80" i="21"/>
  <c r="M178" i="21" s="1"/>
  <c r="R83" i="21"/>
  <c r="Q80" i="21"/>
  <c r="Q178" i="21" s="1"/>
  <c r="R129" i="21"/>
  <c r="S138" i="21" s="1"/>
  <c r="T147" i="21" s="1"/>
  <c r="U156" i="21" s="1"/>
  <c r="O103" i="21"/>
  <c r="N111" i="21"/>
  <c r="R110" i="21"/>
  <c r="R119" i="21"/>
  <c r="E24" i="18"/>
  <c r="E23" i="18"/>
  <c r="E25" i="18"/>
  <c r="E22" i="18"/>
  <c r="C51" i="18"/>
  <c r="C44" i="18"/>
  <c r="E57" i="18"/>
  <c r="G57" i="18" s="1"/>
  <c r="I57" i="18" s="1"/>
  <c r="E56" i="18"/>
  <c r="E55" i="18"/>
  <c r="E54" i="18"/>
  <c r="C20" i="18"/>
  <c r="C79" i="18"/>
  <c r="C81" i="18"/>
  <c r="C78" i="18"/>
  <c r="C80" i="18"/>
  <c r="C77" i="18"/>
  <c r="E87" i="18"/>
  <c r="G87" i="18" s="1"/>
  <c r="E84" i="18"/>
  <c r="E86" i="18"/>
  <c r="E83" i="18"/>
  <c r="E85" i="18"/>
  <c r="E14" i="18"/>
  <c r="E59" i="18"/>
  <c r="C12" i="19" l="1"/>
  <c r="E50" i="18"/>
  <c r="G50" i="18" s="1"/>
  <c r="E45" i="18"/>
  <c r="E49" i="18"/>
  <c r="E46" i="18"/>
  <c r="I87" i="18"/>
  <c r="I75" i="18" s="1"/>
  <c r="B7" i="21"/>
  <c r="B5" i="21"/>
  <c r="I50" i="18"/>
  <c r="C57" i="19"/>
  <c r="C83" i="18"/>
  <c r="C86" i="18"/>
  <c r="C122" i="19" s="1"/>
  <c r="C84" i="18"/>
  <c r="C120" i="19" s="1"/>
  <c r="C30" i="19"/>
  <c r="G30" i="19" s="1"/>
  <c r="G29" i="19" s="1"/>
  <c r="C4" i="22" s="1"/>
  <c r="D13" i="21" s="1"/>
  <c r="C3" i="20"/>
  <c r="D3" i="20" s="1"/>
  <c r="E3" i="20" s="1"/>
  <c r="F3" i="20" s="1"/>
  <c r="G3" i="20" s="1"/>
  <c r="H3" i="20" s="1"/>
  <c r="I43" i="18"/>
  <c r="C5" i="20" s="1"/>
  <c r="G196" i="7"/>
  <c r="E94" i="7"/>
  <c r="N145" i="7"/>
  <c r="E91" i="7"/>
  <c r="E98" i="7"/>
  <c r="E109" i="7"/>
  <c r="J109" i="7" s="1"/>
  <c r="N149" i="7"/>
  <c r="M146" i="7"/>
  <c r="M144" i="7"/>
  <c r="E93" i="7"/>
  <c r="M147" i="7"/>
  <c r="E96" i="7"/>
  <c r="N147" i="7"/>
  <c r="M149" i="7"/>
  <c r="E97" i="7"/>
  <c r="E107" i="7"/>
  <c r="E95" i="7"/>
  <c r="E106" i="7"/>
  <c r="E100" i="7"/>
  <c r="M145" i="7"/>
  <c r="M148" i="7"/>
  <c r="F12" i="19"/>
  <c r="G12" i="19" s="1"/>
  <c r="E108" i="7"/>
  <c r="E92" i="7"/>
  <c r="E104" i="7"/>
  <c r="L146" i="7"/>
  <c r="N146" i="7"/>
  <c r="L144" i="7"/>
  <c r="E102" i="7"/>
  <c r="E99" i="7"/>
  <c r="E101" i="7"/>
  <c r="L145" i="7"/>
  <c r="G195" i="7"/>
  <c r="N148" i="7"/>
  <c r="L148" i="7"/>
  <c r="E103" i="7"/>
  <c r="AH7" i="9"/>
  <c r="E105" i="7"/>
  <c r="L149" i="7"/>
  <c r="L147" i="7"/>
  <c r="E2" i="21"/>
  <c r="F2" i="21" s="1"/>
  <c r="G2" i="21" s="1"/>
  <c r="C7" i="19"/>
  <c r="U24" i="20"/>
  <c r="E20" i="20"/>
  <c r="G92" i="19"/>
  <c r="I60" i="1"/>
  <c r="I33" i="1"/>
  <c r="X108" i="19"/>
  <c r="T15" i="22" s="1"/>
  <c r="U15" i="20" s="1"/>
  <c r="H9" i="1"/>
  <c r="H10" i="1"/>
  <c r="H11" i="1"/>
  <c r="X70" i="19"/>
  <c r="T11" i="22" s="1"/>
  <c r="U11" i="20" s="1"/>
  <c r="C12" i="18"/>
  <c r="C76" i="19" s="1"/>
  <c r="C74" i="19"/>
  <c r="C13" i="19"/>
  <c r="E78" i="18"/>
  <c r="E8" i="18"/>
  <c r="C118" i="19"/>
  <c r="C85" i="18"/>
  <c r="W70" i="19"/>
  <c r="S11" i="22" s="1"/>
  <c r="T11" i="20" s="1"/>
  <c r="C68" i="19"/>
  <c r="C61" i="19"/>
  <c r="F61" i="19" s="1"/>
  <c r="C56" i="19"/>
  <c r="C117" i="19"/>
  <c r="C101" i="19"/>
  <c r="C40" i="19"/>
  <c r="W77" i="19"/>
  <c r="S12" i="22" s="1"/>
  <c r="T12" i="20" s="1"/>
  <c r="C23" i="19"/>
  <c r="C84" i="19"/>
  <c r="C55" i="19"/>
  <c r="F55" i="19" s="1"/>
  <c r="G55" i="19" s="1"/>
  <c r="H55" i="19" s="1"/>
  <c r="I55" i="19" s="1"/>
  <c r="J55" i="19" s="1"/>
  <c r="K55" i="19" s="1"/>
  <c r="L55" i="19" s="1"/>
  <c r="M55" i="19" s="1"/>
  <c r="N55" i="19" s="1"/>
  <c r="O55" i="19" s="1"/>
  <c r="P55" i="19" s="1"/>
  <c r="Q55" i="19" s="1"/>
  <c r="R55" i="19" s="1"/>
  <c r="S55" i="19" s="1"/>
  <c r="T55" i="19" s="1"/>
  <c r="C116" i="19"/>
  <c r="C114" i="19"/>
  <c r="C53" i="19"/>
  <c r="F53" i="19" s="1"/>
  <c r="G53" i="19" s="1"/>
  <c r="H53" i="19" s="1"/>
  <c r="I53" i="19" s="1"/>
  <c r="J53" i="19" s="1"/>
  <c r="K53" i="19" s="1"/>
  <c r="L53" i="19" s="1"/>
  <c r="M53" i="19" s="1"/>
  <c r="N53" i="19" s="1"/>
  <c r="O53" i="19" s="1"/>
  <c r="P53" i="19" s="1"/>
  <c r="Q53" i="19" s="1"/>
  <c r="R53" i="19" s="1"/>
  <c r="S53" i="19" s="1"/>
  <c r="T53" i="19" s="1"/>
  <c r="C33" i="19"/>
  <c r="C94" i="19"/>
  <c r="E77" i="18"/>
  <c r="C115" i="19"/>
  <c r="C54" i="19"/>
  <c r="F54" i="19" s="1"/>
  <c r="G54" i="19" s="1"/>
  <c r="H54" i="19" s="1"/>
  <c r="I54" i="19" s="1"/>
  <c r="J54" i="19" s="1"/>
  <c r="K54" i="19" s="1"/>
  <c r="L54" i="19" s="1"/>
  <c r="M54" i="19" s="1"/>
  <c r="N54" i="19" s="1"/>
  <c r="O54" i="19" s="1"/>
  <c r="P54" i="19" s="1"/>
  <c r="Q54" i="19" s="1"/>
  <c r="R54" i="19" s="1"/>
  <c r="S54" i="19" s="1"/>
  <c r="T54" i="19" s="1"/>
  <c r="C123" i="19"/>
  <c r="C62" i="19"/>
  <c r="E80" i="18"/>
  <c r="C119" i="19"/>
  <c r="C58" i="19"/>
  <c r="F58" i="19" s="1"/>
  <c r="G58" i="19" s="1"/>
  <c r="H58" i="19" s="1"/>
  <c r="I58" i="19" s="1"/>
  <c r="J58" i="19" s="1"/>
  <c r="K58" i="19" s="1"/>
  <c r="L58" i="19" s="1"/>
  <c r="M58" i="19" s="1"/>
  <c r="N58" i="19" s="1"/>
  <c r="O58" i="19" s="1"/>
  <c r="P58" i="19" s="1"/>
  <c r="Q58" i="19" s="1"/>
  <c r="R58" i="19" s="1"/>
  <c r="S58" i="19" s="1"/>
  <c r="T58" i="19" s="1"/>
  <c r="C52" i="19"/>
  <c r="F52" i="19" s="1"/>
  <c r="G52" i="19" s="1"/>
  <c r="H52" i="19" s="1"/>
  <c r="I52" i="19" s="1"/>
  <c r="J52" i="19" s="1"/>
  <c r="K52" i="19" s="1"/>
  <c r="L52" i="19" s="1"/>
  <c r="M52" i="19" s="1"/>
  <c r="N52" i="19" s="1"/>
  <c r="O52" i="19" s="1"/>
  <c r="P52" i="19" s="1"/>
  <c r="Q52" i="19" s="1"/>
  <c r="R52" i="19" s="1"/>
  <c r="S52" i="19" s="1"/>
  <c r="T52" i="19" s="1"/>
  <c r="C113" i="19"/>
  <c r="C11" i="19"/>
  <c r="F11" i="19" s="1"/>
  <c r="C72" i="19"/>
  <c r="C14" i="19"/>
  <c r="F14" i="19" s="1"/>
  <c r="C75" i="19"/>
  <c r="E81" i="18"/>
  <c r="C78" i="19"/>
  <c r="C17" i="19"/>
  <c r="C109" i="19"/>
  <c r="C48" i="19"/>
  <c r="G48" i="19" s="1"/>
  <c r="AK5" i="9"/>
  <c r="AM5" i="9" s="1"/>
  <c r="AN5" i="9" s="1"/>
  <c r="E88" i="7"/>
  <c r="J88" i="7" s="1"/>
  <c r="E90" i="7"/>
  <c r="J90" i="7" s="1"/>
  <c r="AK7" i="9"/>
  <c r="AM7" i="9" s="1"/>
  <c r="AN7" i="9" s="1"/>
  <c r="E87" i="7"/>
  <c r="AK4" i="9"/>
  <c r="AK6" i="9"/>
  <c r="AM6" i="9" s="1"/>
  <c r="AN6" i="9" s="1"/>
  <c r="E89" i="7"/>
  <c r="J89" i="7" s="1"/>
  <c r="L79" i="2"/>
  <c r="L89" i="2" s="1"/>
  <c r="U5" i="9"/>
  <c r="U7" i="9"/>
  <c r="U6" i="9"/>
  <c r="S89" i="21"/>
  <c r="T89" i="21"/>
  <c r="N107" i="21"/>
  <c r="M98" i="21"/>
  <c r="M179" i="21" s="1"/>
  <c r="N98" i="21"/>
  <c r="N179" i="21" s="1"/>
  <c r="P89" i="21"/>
  <c r="P179" i="21" s="1"/>
  <c r="U89" i="21"/>
  <c r="U179" i="21" s="1"/>
  <c r="Q107" i="21"/>
  <c r="R98" i="21"/>
  <c r="Q89" i="21"/>
  <c r="L134" i="20"/>
  <c r="H134" i="20"/>
  <c r="X77" i="19"/>
  <c r="T12" i="22" s="1"/>
  <c r="U12" i="20" s="1"/>
  <c r="T146" i="21"/>
  <c r="O98" i="21"/>
  <c r="O179" i="21" s="1"/>
  <c r="P102" i="21"/>
  <c r="O107" i="21"/>
  <c r="P112" i="21"/>
  <c r="M103" i="21"/>
  <c r="L98" i="21"/>
  <c r="L179" i="21" s="1"/>
  <c r="D125" i="20"/>
  <c r="D181" i="20" s="1"/>
  <c r="F134" i="20"/>
  <c r="F181" i="20" s="1"/>
  <c r="J134" i="20"/>
  <c r="G134" i="20"/>
  <c r="G181" i="20" s="1"/>
  <c r="J125" i="20"/>
  <c r="I143" i="20"/>
  <c r="M143" i="20"/>
  <c r="U103" i="21"/>
  <c r="T98" i="21"/>
  <c r="O116" i="21"/>
  <c r="L125" i="20"/>
  <c r="N152" i="20"/>
  <c r="O161" i="20"/>
  <c r="O183" i="20" s="1"/>
  <c r="P119" i="21"/>
  <c r="U129" i="21"/>
  <c r="S107" i="21"/>
  <c r="T110" i="21"/>
  <c r="H125" i="20"/>
  <c r="Q98" i="21"/>
  <c r="R104" i="21"/>
  <c r="N134" i="20"/>
  <c r="R116" i="21"/>
  <c r="S119" i="21"/>
  <c r="R89" i="21"/>
  <c r="S92" i="21"/>
  <c r="O120" i="21"/>
  <c r="T114" i="21"/>
  <c r="S128" i="21"/>
  <c r="H92" i="19"/>
  <c r="E49" i="19"/>
  <c r="E17" i="18"/>
  <c r="E19" i="18"/>
  <c r="E18" i="18"/>
  <c r="E16" i="18"/>
  <c r="E15" i="18"/>
  <c r="C52" i="18"/>
  <c r="C54" i="18"/>
  <c r="C53" i="18"/>
  <c r="C57" i="18"/>
  <c r="C55" i="18"/>
  <c r="C56" i="18"/>
  <c r="C49" i="18"/>
  <c r="C50" i="18"/>
  <c r="C48" i="18"/>
  <c r="C47" i="18"/>
  <c r="C46" i="18"/>
  <c r="C45" i="18"/>
  <c r="C16" i="18"/>
  <c r="C15" i="18"/>
  <c r="C17" i="18"/>
  <c r="C19" i="18"/>
  <c r="C18" i="18"/>
  <c r="C23" i="18"/>
  <c r="C25" i="18"/>
  <c r="C22" i="18"/>
  <c r="C24" i="18"/>
  <c r="C21" i="18"/>
  <c r="H30" i="19" l="1"/>
  <c r="I30" i="19" s="1"/>
  <c r="J30" i="19" s="1"/>
  <c r="K30" i="19" s="1"/>
  <c r="L30" i="19" s="1"/>
  <c r="M30" i="19" s="1"/>
  <c r="N30" i="19" s="1"/>
  <c r="O30" i="19" s="1"/>
  <c r="P30" i="19" s="1"/>
  <c r="Q30" i="19" s="1"/>
  <c r="R30" i="19" s="1"/>
  <c r="S30" i="19" s="1"/>
  <c r="T30" i="19" s="1"/>
  <c r="U30" i="19" s="1"/>
  <c r="V30" i="19" s="1"/>
  <c r="W30" i="19" s="1"/>
  <c r="X30" i="19" s="1"/>
  <c r="G91" i="19"/>
  <c r="C15" i="19"/>
  <c r="F15" i="19" s="1"/>
  <c r="B169" i="21"/>
  <c r="C7" i="21"/>
  <c r="D7" i="21" s="1"/>
  <c r="E7" i="21" s="1"/>
  <c r="F7" i="21" s="1"/>
  <c r="G7" i="21" s="1"/>
  <c r="H7" i="21" s="1"/>
  <c r="I7" i="21" s="1"/>
  <c r="J7" i="21" s="1"/>
  <c r="K7" i="21" s="1"/>
  <c r="L7" i="21" s="1"/>
  <c r="M7" i="21" s="1"/>
  <c r="N7" i="21" s="1"/>
  <c r="O7" i="21" s="1"/>
  <c r="P7" i="21" s="1"/>
  <c r="B7" i="20"/>
  <c r="C7" i="20"/>
  <c r="D7" i="20" s="1"/>
  <c r="E7" i="20" s="1"/>
  <c r="F7" i="20" s="1"/>
  <c r="G7" i="20" s="1"/>
  <c r="H7" i="20" s="1"/>
  <c r="C59" i="19"/>
  <c r="F59" i="19" s="1"/>
  <c r="G59" i="19" s="1"/>
  <c r="H59" i="19" s="1"/>
  <c r="I59" i="19" s="1"/>
  <c r="J59" i="19" s="1"/>
  <c r="K59" i="19" s="1"/>
  <c r="L59" i="19" s="1"/>
  <c r="M59" i="19" s="1"/>
  <c r="N59" i="19" s="1"/>
  <c r="O59" i="19" s="1"/>
  <c r="P59" i="19" s="1"/>
  <c r="Q59" i="19" s="1"/>
  <c r="R59" i="19" s="1"/>
  <c r="S59" i="19" s="1"/>
  <c r="T59" i="19" s="1"/>
  <c r="C5" i="21"/>
  <c r="B167" i="21"/>
  <c r="B170" i="21" s="1"/>
  <c r="B174" i="21" s="1"/>
  <c r="C8" i="21"/>
  <c r="L142" i="7" s="1"/>
  <c r="F9" i="19"/>
  <c r="H12" i="19"/>
  <c r="I12" i="19" s="1"/>
  <c r="J12" i="19" s="1"/>
  <c r="K12" i="19" s="1"/>
  <c r="L12" i="19" s="1"/>
  <c r="M12" i="19" s="1"/>
  <c r="N12" i="19" s="1"/>
  <c r="O12" i="19" s="1"/>
  <c r="P12" i="19" s="1"/>
  <c r="Q12" i="19" s="1"/>
  <c r="R12" i="19" s="1"/>
  <c r="S12" i="19" s="1"/>
  <c r="T12" i="19" s="1"/>
  <c r="D5" i="20"/>
  <c r="E5" i="20" s="1"/>
  <c r="C8" i="20"/>
  <c r="C174" i="20" s="1"/>
  <c r="F114" i="7"/>
  <c r="J87" i="7"/>
  <c r="F132" i="7"/>
  <c r="J105" i="7"/>
  <c r="F130" i="7"/>
  <c r="J103" i="7"/>
  <c r="F128" i="7"/>
  <c r="J101" i="7"/>
  <c r="F126" i="7"/>
  <c r="J99" i="7"/>
  <c r="F129" i="7"/>
  <c r="J102" i="7"/>
  <c r="F131" i="7"/>
  <c r="J104" i="7"/>
  <c r="F119" i="7"/>
  <c r="J92" i="7"/>
  <c r="F135" i="7"/>
  <c r="J108" i="7"/>
  <c r="F127" i="7"/>
  <c r="J100" i="7"/>
  <c r="F133" i="7"/>
  <c r="J106" i="7"/>
  <c r="F122" i="7"/>
  <c r="J95" i="7"/>
  <c r="F134" i="7"/>
  <c r="J107" i="7"/>
  <c r="F124" i="7"/>
  <c r="J97" i="7"/>
  <c r="F123" i="7"/>
  <c r="J96" i="7"/>
  <c r="F120" i="7"/>
  <c r="J93" i="7"/>
  <c r="F125" i="7"/>
  <c r="J98" i="7"/>
  <c r="F118" i="7"/>
  <c r="J91" i="7"/>
  <c r="F121" i="7"/>
  <c r="J94" i="7"/>
  <c r="E63" i="7"/>
  <c r="E8" i="7"/>
  <c r="E34" i="7" s="1"/>
  <c r="I34" i="7" s="1"/>
  <c r="T179" i="21"/>
  <c r="I61" i="7"/>
  <c r="I60" i="7"/>
  <c r="G60" i="7"/>
  <c r="E62" i="7"/>
  <c r="G62" i="7"/>
  <c r="E61" i="7"/>
  <c r="E6" i="7"/>
  <c r="E32" i="7" s="1"/>
  <c r="I32" i="7" s="1"/>
  <c r="G63" i="7"/>
  <c r="E7" i="7"/>
  <c r="E33" i="7" s="1"/>
  <c r="I33" i="7" s="1"/>
  <c r="I63" i="7"/>
  <c r="E5" i="7"/>
  <c r="E31" i="7" s="1"/>
  <c r="I31" i="7" s="1"/>
  <c r="G61" i="7"/>
  <c r="I62" i="7"/>
  <c r="G90" i="19"/>
  <c r="C13" i="22" s="1"/>
  <c r="D13" i="20" s="1"/>
  <c r="D167" i="20" s="1"/>
  <c r="C8" i="19"/>
  <c r="F29" i="20"/>
  <c r="G14" i="19"/>
  <c r="H14" i="19" s="1"/>
  <c r="I14" i="19" s="1"/>
  <c r="J14" i="19" s="1"/>
  <c r="K14" i="19" s="1"/>
  <c r="L14" i="19" s="1"/>
  <c r="M14" i="19" s="1"/>
  <c r="N14" i="19" s="1"/>
  <c r="O14" i="19" s="1"/>
  <c r="P14" i="19" s="1"/>
  <c r="Q14" i="19" s="1"/>
  <c r="R14" i="19" s="1"/>
  <c r="S14" i="19" s="1"/>
  <c r="T14" i="19" s="1"/>
  <c r="U20" i="20"/>
  <c r="J60" i="1"/>
  <c r="J64" i="1" s="1"/>
  <c r="J33" i="1"/>
  <c r="I9" i="1"/>
  <c r="I12" i="1"/>
  <c r="I10" i="1"/>
  <c r="I11" i="1"/>
  <c r="F117" i="7"/>
  <c r="F115" i="7"/>
  <c r="F116" i="7"/>
  <c r="L181" i="20"/>
  <c r="G37" i="1"/>
  <c r="H2" i="21"/>
  <c r="H91" i="19"/>
  <c r="H90" i="19" s="1"/>
  <c r="D13" i="22" s="1"/>
  <c r="E13" i="20" s="1"/>
  <c r="X111" i="19"/>
  <c r="T16" i="22" s="1"/>
  <c r="U16" i="20" s="1"/>
  <c r="C60" i="19"/>
  <c r="F60" i="19" s="1"/>
  <c r="C121" i="19"/>
  <c r="H29" i="19"/>
  <c r="D4" i="22" s="1"/>
  <c r="E13" i="21" s="1"/>
  <c r="E53" i="19"/>
  <c r="F114" i="19" s="1"/>
  <c r="G114" i="19" s="1"/>
  <c r="H114" i="19" s="1"/>
  <c r="I114" i="19" s="1"/>
  <c r="J114" i="19" s="1"/>
  <c r="K114" i="19" s="1"/>
  <c r="L114" i="19" s="1"/>
  <c r="V111" i="19"/>
  <c r="R16" i="22" s="1"/>
  <c r="S16" i="20" s="1"/>
  <c r="W111" i="19"/>
  <c r="S16" i="22" s="1"/>
  <c r="T16" i="20" s="1"/>
  <c r="C24" i="19"/>
  <c r="F24" i="19" s="1"/>
  <c r="G24" i="19" s="1"/>
  <c r="C85" i="19"/>
  <c r="C79" i="19"/>
  <c r="C18" i="19"/>
  <c r="F18" i="19" s="1"/>
  <c r="C97" i="19"/>
  <c r="C36" i="19"/>
  <c r="F36" i="19" s="1"/>
  <c r="C43" i="19"/>
  <c r="F43" i="19" s="1"/>
  <c r="C104" i="19"/>
  <c r="C42" i="19"/>
  <c r="F42" i="19" s="1"/>
  <c r="C103" i="19"/>
  <c r="C19" i="19"/>
  <c r="F19" i="19" s="1"/>
  <c r="C80" i="19"/>
  <c r="C102" i="19"/>
  <c r="C41" i="19"/>
  <c r="F41" i="19" s="1"/>
  <c r="U21" i="20"/>
  <c r="G61" i="19"/>
  <c r="H61" i="19" s="1"/>
  <c r="I61" i="19" s="1"/>
  <c r="J61" i="19" s="1"/>
  <c r="K61" i="19" s="1"/>
  <c r="L61" i="19" s="1"/>
  <c r="M61" i="19" s="1"/>
  <c r="N61" i="19" s="1"/>
  <c r="O61" i="19" s="1"/>
  <c r="P61" i="19" s="1"/>
  <c r="Q61" i="19" s="1"/>
  <c r="R61" i="19" s="1"/>
  <c r="S61" i="19" s="1"/>
  <c r="T61" i="19" s="1"/>
  <c r="C107" i="19"/>
  <c r="C46" i="19"/>
  <c r="C20" i="19"/>
  <c r="F20" i="19" s="1"/>
  <c r="C81" i="19"/>
  <c r="C27" i="19"/>
  <c r="F27" i="19" s="1"/>
  <c r="G27" i="19" s="1"/>
  <c r="H27" i="19" s="1"/>
  <c r="I27" i="19" s="1"/>
  <c r="J27" i="19" s="1"/>
  <c r="K27" i="19" s="1"/>
  <c r="L27" i="19" s="1"/>
  <c r="M27" i="19" s="1"/>
  <c r="N27" i="19" s="1"/>
  <c r="O27" i="19" s="1"/>
  <c r="P27" i="19" s="1"/>
  <c r="Q27" i="19" s="1"/>
  <c r="R27" i="19" s="1"/>
  <c r="S27" i="19" s="1"/>
  <c r="T27" i="19" s="1"/>
  <c r="C88" i="19"/>
  <c r="C98" i="19"/>
  <c r="C37" i="19"/>
  <c r="F37" i="19" s="1"/>
  <c r="C25" i="19"/>
  <c r="F25" i="19" s="1"/>
  <c r="C86" i="19"/>
  <c r="C100" i="19"/>
  <c r="C39" i="19"/>
  <c r="E55" i="19"/>
  <c r="F116" i="19" s="1"/>
  <c r="G116" i="19" s="1"/>
  <c r="H116" i="19" s="1"/>
  <c r="I116" i="19" s="1"/>
  <c r="J116" i="19" s="1"/>
  <c r="K116" i="19" s="1"/>
  <c r="L116" i="19" s="1"/>
  <c r="C34" i="19"/>
  <c r="F34" i="19" s="1"/>
  <c r="C95" i="19"/>
  <c r="C89" i="19"/>
  <c r="C28" i="19"/>
  <c r="C99" i="19"/>
  <c r="C38" i="19"/>
  <c r="F38" i="19" s="1"/>
  <c r="H48" i="19"/>
  <c r="G47" i="19"/>
  <c r="C6" i="22" s="1"/>
  <c r="D15" i="21" s="1"/>
  <c r="C83" i="19"/>
  <c r="C22" i="19"/>
  <c r="C87" i="19"/>
  <c r="C26" i="19"/>
  <c r="F26" i="19" s="1"/>
  <c r="C106" i="19"/>
  <c r="C45" i="19"/>
  <c r="F45" i="19" s="1"/>
  <c r="E54" i="19"/>
  <c r="F115" i="19" s="1"/>
  <c r="G115" i="19" s="1"/>
  <c r="H115" i="19" s="1"/>
  <c r="I115" i="19" s="1"/>
  <c r="J115" i="19" s="1"/>
  <c r="K115" i="19" s="1"/>
  <c r="L115" i="19" s="1"/>
  <c r="C35" i="19"/>
  <c r="F35" i="19" s="1"/>
  <c r="C96" i="19"/>
  <c r="C82" i="19"/>
  <c r="C21" i="19"/>
  <c r="F21" i="19" s="1"/>
  <c r="C105" i="19"/>
  <c r="C44" i="19"/>
  <c r="F44" i="19" s="1"/>
  <c r="J181" i="20"/>
  <c r="H181" i="20"/>
  <c r="Q179" i="21"/>
  <c r="R179" i="21"/>
  <c r="O180" i="21"/>
  <c r="M79" i="2"/>
  <c r="M89" i="2" s="1"/>
  <c r="U107" i="21"/>
  <c r="O143" i="20"/>
  <c r="S98" i="21"/>
  <c r="S179" i="21" s="1"/>
  <c r="T101" i="21"/>
  <c r="U123" i="21"/>
  <c r="S113" i="21"/>
  <c r="R107" i="21"/>
  <c r="R180" i="21" s="1"/>
  <c r="H143" i="20"/>
  <c r="N112" i="21"/>
  <c r="M107" i="21"/>
  <c r="M180" i="21" s="1"/>
  <c r="P107" i="21"/>
  <c r="Q111" i="21"/>
  <c r="U155" i="21"/>
  <c r="M134" i="20"/>
  <c r="M181" i="20" s="1"/>
  <c r="T137" i="21"/>
  <c r="I134" i="20"/>
  <c r="I181" i="20" s="1"/>
  <c r="E134" i="20"/>
  <c r="E181" i="20" s="1"/>
  <c r="K134" i="20"/>
  <c r="K181" i="20" s="1"/>
  <c r="P129" i="21"/>
  <c r="T116" i="21"/>
  <c r="U119" i="21"/>
  <c r="Q128" i="21"/>
  <c r="P125" i="21"/>
  <c r="K143" i="20"/>
  <c r="J152" i="20"/>
  <c r="K161" i="20"/>
  <c r="K183" i="20" s="1"/>
  <c r="G143" i="20"/>
  <c r="Q121" i="21"/>
  <c r="P116" i="21"/>
  <c r="T128" i="21"/>
  <c r="S125" i="21"/>
  <c r="I29" i="19"/>
  <c r="E4" i="22" s="1"/>
  <c r="F13" i="21" s="1"/>
  <c r="I91" i="19"/>
  <c r="I92" i="19"/>
  <c r="G110" i="19"/>
  <c r="H110" i="19" s="1"/>
  <c r="I110" i="19" s="1"/>
  <c r="J110" i="19" s="1"/>
  <c r="K110" i="19" s="1"/>
  <c r="L110" i="19" s="1"/>
  <c r="M110" i="19" s="1"/>
  <c r="E58" i="19"/>
  <c r="Q31" i="10"/>
  <c r="H64" i="1"/>
  <c r="I64" i="1"/>
  <c r="G64" i="1"/>
  <c r="W89" i="12"/>
  <c r="W90" i="12"/>
  <c r="W91" i="12"/>
  <c r="W92" i="12"/>
  <c r="W93" i="12"/>
  <c r="W94" i="12"/>
  <c r="W95" i="12"/>
  <c r="W96" i="12"/>
  <c r="W97" i="12"/>
  <c r="W98" i="12"/>
  <c r="W99" i="12"/>
  <c r="W100" i="12"/>
  <c r="W101" i="12"/>
  <c r="W102" i="12"/>
  <c r="W103" i="12"/>
  <c r="W104" i="12"/>
  <c r="W105" i="12"/>
  <c r="W106" i="12"/>
  <c r="W107" i="12"/>
  <c r="W108" i="12"/>
  <c r="W109" i="12"/>
  <c r="W110" i="12"/>
  <c r="W88" i="12"/>
  <c r="Y61" i="12"/>
  <c r="Y60" i="12"/>
  <c r="X60" i="12"/>
  <c r="X61" i="12"/>
  <c r="X62" i="12"/>
  <c r="X63" i="12"/>
  <c r="X64" i="12"/>
  <c r="W61" i="12"/>
  <c r="W62" i="12"/>
  <c r="W63" i="12"/>
  <c r="W64" i="12"/>
  <c r="W65" i="12"/>
  <c r="W66" i="12"/>
  <c r="W67" i="12"/>
  <c r="W68" i="12"/>
  <c r="W69" i="12"/>
  <c r="W70" i="12"/>
  <c r="W71" i="12"/>
  <c r="W72" i="12"/>
  <c r="W73" i="12"/>
  <c r="W74" i="12"/>
  <c r="W75" i="12"/>
  <c r="W76" i="12"/>
  <c r="W77" i="12"/>
  <c r="W78" i="12"/>
  <c r="W79" i="12"/>
  <c r="W80" i="12"/>
  <c r="W81" i="12"/>
  <c r="W82" i="12"/>
  <c r="W60" i="12"/>
  <c r="V61" i="12"/>
  <c r="V62" i="12"/>
  <c r="V63" i="12"/>
  <c r="V60" i="12"/>
  <c r="Y33" i="12"/>
  <c r="Y32" i="12"/>
  <c r="X33" i="12"/>
  <c r="X34" i="12"/>
  <c r="X35" i="12"/>
  <c r="X36" i="12"/>
  <c r="X32" i="12"/>
  <c r="W33" i="12"/>
  <c r="W34" i="12"/>
  <c r="W35" i="12"/>
  <c r="W36" i="12"/>
  <c r="W37" i="12"/>
  <c r="W38" i="12"/>
  <c r="W39" i="12"/>
  <c r="W40" i="12"/>
  <c r="W41" i="12"/>
  <c r="W42" i="12"/>
  <c r="W43" i="12"/>
  <c r="W44" i="12"/>
  <c r="W45" i="12"/>
  <c r="W46" i="12"/>
  <c r="W47" i="12"/>
  <c r="W48" i="12"/>
  <c r="W49" i="12"/>
  <c r="W50" i="12"/>
  <c r="W51" i="12"/>
  <c r="W52" i="12"/>
  <c r="W53" i="12"/>
  <c r="W54" i="12"/>
  <c r="W32" i="12"/>
  <c r="V33" i="12"/>
  <c r="V34" i="12"/>
  <c r="V35" i="12"/>
  <c r="G6" i="12"/>
  <c r="D67" i="5"/>
  <c r="D79" i="5"/>
  <c r="E141" i="7"/>
  <c r="H115" i="7"/>
  <c r="G115" i="7"/>
  <c r="G116" i="7"/>
  <c r="G117" i="7"/>
  <c r="G118" i="7"/>
  <c r="G119" i="7"/>
  <c r="G120" i="7"/>
  <c r="G121" i="7"/>
  <c r="G122" i="7"/>
  <c r="G123" i="7"/>
  <c r="G124" i="7"/>
  <c r="G125" i="7"/>
  <c r="G126" i="7"/>
  <c r="G127" i="7"/>
  <c r="G128" i="7"/>
  <c r="G129" i="7"/>
  <c r="G130" i="7"/>
  <c r="G131" i="7"/>
  <c r="G132" i="7"/>
  <c r="G133" i="7"/>
  <c r="G134" i="7"/>
  <c r="G135" i="7"/>
  <c r="G136" i="7"/>
  <c r="G114" i="7"/>
  <c r="F50" i="19" l="1"/>
  <c r="B7" i="22" s="1"/>
  <c r="C16" i="21" s="1"/>
  <c r="C169" i="21" s="1"/>
  <c r="E59" i="19"/>
  <c r="F120" i="19" s="1"/>
  <c r="G120" i="19" s="1"/>
  <c r="H120" i="19" s="1"/>
  <c r="I120" i="19" s="1"/>
  <c r="J120" i="19" s="1"/>
  <c r="K120" i="19" s="1"/>
  <c r="L120" i="19" s="1"/>
  <c r="B170" i="20"/>
  <c r="B8" i="20"/>
  <c r="D5" i="21"/>
  <c r="D8" i="21"/>
  <c r="M142" i="7" s="1"/>
  <c r="E22" i="20"/>
  <c r="F31" i="20" s="1"/>
  <c r="G40" i="20" s="1"/>
  <c r="H49" i="20" s="1"/>
  <c r="I58" i="20" s="1"/>
  <c r="J67" i="20" s="1"/>
  <c r="K76" i="20" s="1"/>
  <c r="L85" i="20" s="1"/>
  <c r="M94" i="20" s="1"/>
  <c r="N103" i="20" s="1"/>
  <c r="O112" i="20" s="1"/>
  <c r="P121" i="20" s="1"/>
  <c r="Q130" i="20" s="1"/>
  <c r="R139" i="20" s="1"/>
  <c r="S148" i="20" s="1"/>
  <c r="T157" i="20" s="1"/>
  <c r="E12" i="19"/>
  <c r="F73" i="19" s="1"/>
  <c r="E8" i="20"/>
  <c r="E174" i="20" s="1"/>
  <c r="F5" i="20"/>
  <c r="J62" i="7"/>
  <c r="E67" i="5"/>
  <c r="E79" i="5"/>
  <c r="O6" i="12"/>
  <c r="G90" i="12"/>
  <c r="Y90" i="12" s="1"/>
  <c r="E167" i="20"/>
  <c r="F7" i="19"/>
  <c r="F16" i="19"/>
  <c r="G11" i="19"/>
  <c r="T25" i="20"/>
  <c r="U34" i="20" s="1"/>
  <c r="G38" i="20"/>
  <c r="G15" i="19"/>
  <c r="H15" i="19" s="1"/>
  <c r="I15" i="19" s="1"/>
  <c r="J15" i="19" s="1"/>
  <c r="K15" i="19" s="1"/>
  <c r="L15" i="19" s="1"/>
  <c r="M15" i="19" s="1"/>
  <c r="N15" i="19" s="1"/>
  <c r="O15" i="19" s="1"/>
  <c r="P15" i="19" s="1"/>
  <c r="Q15" i="19" s="1"/>
  <c r="R15" i="19" s="1"/>
  <c r="S15" i="19" s="1"/>
  <c r="T15" i="19" s="1"/>
  <c r="E14" i="19"/>
  <c r="F75" i="19" s="1"/>
  <c r="U165" i="20"/>
  <c r="U25" i="20"/>
  <c r="K60" i="1"/>
  <c r="K64" i="1" s="1"/>
  <c r="K33" i="1"/>
  <c r="J13" i="1"/>
  <c r="J11" i="1"/>
  <c r="J9" i="1"/>
  <c r="J12" i="1"/>
  <c r="J10" i="1"/>
  <c r="V88" i="12"/>
  <c r="V89" i="12"/>
  <c r="I2" i="21"/>
  <c r="G60" i="19"/>
  <c r="H60" i="19" s="1"/>
  <c r="I60" i="19" s="1"/>
  <c r="J60" i="19" s="1"/>
  <c r="K60" i="19" s="1"/>
  <c r="L60" i="19" s="1"/>
  <c r="M60" i="19" s="1"/>
  <c r="N60" i="19" s="1"/>
  <c r="O60" i="19" s="1"/>
  <c r="P60" i="19" s="1"/>
  <c r="Q60" i="19" s="1"/>
  <c r="R60" i="19" s="1"/>
  <c r="S60" i="19" s="1"/>
  <c r="T60" i="19" s="1"/>
  <c r="E27" i="19"/>
  <c r="F88" i="19" s="1"/>
  <c r="G88" i="19" s="1"/>
  <c r="H88" i="19" s="1"/>
  <c r="I88" i="19" s="1"/>
  <c r="J88" i="19" s="1"/>
  <c r="K88" i="19" s="1"/>
  <c r="L88" i="19" s="1"/>
  <c r="C69" i="19"/>
  <c r="F22" i="20"/>
  <c r="G31" i="20" s="1"/>
  <c r="H40" i="20" s="1"/>
  <c r="I49" i="20" s="1"/>
  <c r="J58" i="20" s="1"/>
  <c r="K67" i="20" s="1"/>
  <c r="L76" i="20" s="1"/>
  <c r="M85" i="20" s="1"/>
  <c r="N94" i="20" s="1"/>
  <c r="O103" i="20" s="1"/>
  <c r="P112" i="20" s="1"/>
  <c r="Q121" i="20" s="1"/>
  <c r="R130" i="20" s="1"/>
  <c r="S139" i="20" s="1"/>
  <c r="T148" i="20" s="1"/>
  <c r="U157" i="20" s="1"/>
  <c r="F96" i="19"/>
  <c r="G35" i="19"/>
  <c r="G37" i="19"/>
  <c r="F98" i="19"/>
  <c r="E61" i="19"/>
  <c r="F122" i="19" s="1"/>
  <c r="G122" i="19" s="1"/>
  <c r="H122" i="19" s="1"/>
  <c r="I122" i="19" s="1"/>
  <c r="J122" i="19" s="1"/>
  <c r="K122" i="19" s="1"/>
  <c r="L122" i="19" s="1"/>
  <c r="G41" i="19"/>
  <c r="F102" i="19"/>
  <c r="H24" i="19"/>
  <c r="I24" i="19" s="1"/>
  <c r="J24" i="19" s="1"/>
  <c r="K24" i="19" s="1"/>
  <c r="L24" i="19" s="1"/>
  <c r="M24" i="19" s="1"/>
  <c r="N24" i="19" s="1"/>
  <c r="O24" i="19" s="1"/>
  <c r="P24" i="19" s="1"/>
  <c r="Q24" i="19" s="1"/>
  <c r="R24" i="19" s="1"/>
  <c r="S24" i="19" s="1"/>
  <c r="T24" i="19" s="1"/>
  <c r="F104" i="19"/>
  <c r="G43" i="19"/>
  <c r="F105" i="19"/>
  <c r="G44" i="19"/>
  <c r="I48" i="19"/>
  <c r="H47" i="19"/>
  <c r="D6" i="22" s="1"/>
  <c r="E15" i="21" s="1"/>
  <c r="G34" i="19"/>
  <c r="F95" i="19"/>
  <c r="F32" i="19"/>
  <c r="B5" i="22" s="1"/>
  <c r="C14" i="21" s="1"/>
  <c r="C167" i="21" s="1"/>
  <c r="G19" i="19"/>
  <c r="H19" i="19" s="1"/>
  <c r="I19" i="19" s="1"/>
  <c r="J19" i="19" s="1"/>
  <c r="K19" i="19" s="1"/>
  <c r="L19" i="19" s="1"/>
  <c r="M19" i="19" s="1"/>
  <c r="N19" i="19" s="1"/>
  <c r="O19" i="19" s="1"/>
  <c r="P19" i="19" s="1"/>
  <c r="Q19" i="19" s="1"/>
  <c r="R19" i="19" s="1"/>
  <c r="S19" i="19" s="1"/>
  <c r="T19" i="19" s="1"/>
  <c r="G36" i="19"/>
  <c r="F97" i="19"/>
  <c r="F106" i="19"/>
  <c r="G45" i="19"/>
  <c r="G25" i="19"/>
  <c r="H25" i="19" s="1"/>
  <c r="I25" i="19" s="1"/>
  <c r="J25" i="19" s="1"/>
  <c r="K25" i="19" s="1"/>
  <c r="L25" i="19" s="1"/>
  <c r="M25" i="19" s="1"/>
  <c r="N25" i="19" s="1"/>
  <c r="O25" i="19" s="1"/>
  <c r="P25" i="19" s="1"/>
  <c r="Q25" i="19" s="1"/>
  <c r="R25" i="19" s="1"/>
  <c r="S25" i="19" s="1"/>
  <c r="T25" i="19" s="1"/>
  <c r="G21" i="19"/>
  <c r="H21" i="19" s="1"/>
  <c r="I21" i="19" s="1"/>
  <c r="J21" i="19" s="1"/>
  <c r="K21" i="19" s="1"/>
  <c r="L21" i="19" s="1"/>
  <c r="M21" i="19" s="1"/>
  <c r="N21" i="19" s="1"/>
  <c r="O21" i="19" s="1"/>
  <c r="P21" i="19" s="1"/>
  <c r="Q21" i="19" s="1"/>
  <c r="R21" i="19" s="1"/>
  <c r="S21" i="19" s="1"/>
  <c r="T21" i="19" s="1"/>
  <c r="G20" i="19"/>
  <c r="H20" i="19" s="1"/>
  <c r="I20" i="19" s="1"/>
  <c r="J20" i="19" s="1"/>
  <c r="K20" i="19" s="1"/>
  <c r="L20" i="19" s="1"/>
  <c r="M20" i="19" s="1"/>
  <c r="N20" i="19" s="1"/>
  <c r="O20" i="19" s="1"/>
  <c r="P20" i="19" s="1"/>
  <c r="Q20" i="19" s="1"/>
  <c r="R20" i="19" s="1"/>
  <c r="S20" i="19" s="1"/>
  <c r="T20" i="19" s="1"/>
  <c r="G42" i="19"/>
  <c r="F103" i="19"/>
  <c r="G18" i="19"/>
  <c r="G26" i="19"/>
  <c r="H26" i="19" s="1"/>
  <c r="I26" i="19" s="1"/>
  <c r="J26" i="19" s="1"/>
  <c r="K26" i="19" s="1"/>
  <c r="L26" i="19" s="1"/>
  <c r="M26" i="19" s="1"/>
  <c r="N26" i="19" s="1"/>
  <c r="O26" i="19" s="1"/>
  <c r="P26" i="19" s="1"/>
  <c r="Q26" i="19" s="1"/>
  <c r="R26" i="19" s="1"/>
  <c r="S26" i="19" s="1"/>
  <c r="T26" i="19" s="1"/>
  <c r="G38" i="19"/>
  <c r="F99" i="19"/>
  <c r="P180" i="21"/>
  <c r="F67" i="5"/>
  <c r="G79" i="5" s="1"/>
  <c r="F79" i="5"/>
  <c r="G62" i="12"/>
  <c r="G34" i="12"/>
  <c r="Y6" i="12"/>
  <c r="N79" i="2"/>
  <c r="N89" i="2" s="1"/>
  <c r="U125" i="21"/>
  <c r="I90" i="19"/>
  <c r="E13" i="22" s="1"/>
  <c r="F13" i="20" s="1"/>
  <c r="F167" i="20" s="1"/>
  <c r="N143" i="20"/>
  <c r="N182" i="20" s="1"/>
  <c r="O121" i="21"/>
  <c r="N116" i="21"/>
  <c r="N180" i="21" s="1"/>
  <c r="H152" i="20"/>
  <c r="H182" i="20" s="1"/>
  <c r="I161" i="20"/>
  <c r="I183" i="20" s="1"/>
  <c r="M161" i="20"/>
  <c r="M183" i="20" s="1"/>
  <c r="L152" i="20"/>
  <c r="J161" i="20"/>
  <c r="J183" i="20" s="1"/>
  <c r="I152" i="20"/>
  <c r="I182" i="20" s="1"/>
  <c r="R130" i="21"/>
  <c r="Q125" i="21"/>
  <c r="Q134" i="21"/>
  <c r="Q138" i="21"/>
  <c r="L143" i="20"/>
  <c r="F143" i="20"/>
  <c r="F182" i="20" s="1"/>
  <c r="J143" i="20"/>
  <c r="J182" i="20" s="1"/>
  <c r="U146" i="21"/>
  <c r="U137" i="21"/>
  <c r="T134" i="21"/>
  <c r="R137" i="21"/>
  <c r="R120" i="21"/>
  <c r="Q116" i="21"/>
  <c r="Q180" i="21" s="1"/>
  <c r="T122" i="21"/>
  <c r="S116" i="21"/>
  <c r="S180" i="21" s="1"/>
  <c r="U110" i="21"/>
  <c r="T107" i="21"/>
  <c r="T180" i="21" s="1"/>
  <c r="P152" i="20"/>
  <c r="Q161" i="20"/>
  <c r="Q183" i="20" s="1"/>
  <c r="F119" i="19"/>
  <c r="G119" i="19" s="1"/>
  <c r="H119" i="19" s="1"/>
  <c r="I119" i="19" s="1"/>
  <c r="J119" i="19" s="1"/>
  <c r="K119" i="19" s="1"/>
  <c r="L119" i="19" s="1"/>
  <c r="J92" i="19"/>
  <c r="J29" i="19"/>
  <c r="F4" i="22" s="1"/>
  <c r="G13" i="21" s="1"/>
  <c r="J91" i="19"/>
  <c r="G67" i="5"/>
  <c r="H79" i="5" s="1"/>
  <c r="H89" i="5" s="1"/>
  <c r="B171" i="20" l="1"/>
  <c r="B174" i="20"/>
  <c r="E8" i="21"/>
  <c r="E5" i="21"/>
  <c r="G5" i="20"/>
  <c r="F8" i="20"/>
  <c r="F174" i="20" s="1"/>
  <c r="I50" i="19"/>
  <c r="E7" i="22" s="1"/>
  <c r="F16" i="21" s="1"/>
  <c r="H47" i="20"/>
  <c r="F8" i="19"/>
  <c r="B2" i="22"/>
  <c r="H50" i="19"/>
  <c r="D7" i="22" s="1"/>
  <c r="E16" i="21" s="1"/>
  <c r="G7" i="19"/>
  <c r="H11" i="19"/>
  <c r="G9" i="19"/>
  <c r="C2" i="22" s="1"/>
  <c r="E15" i="19"/>
  <c r="F76" i="19" s="1"/>
  <c r="G50" i="19"/>
  <c r="C7" i="22" s="1"/>
  <c r="D16" i="21" s="1"/>
  <c r="L60" i="1"/>
  <c r="L64" i="1" s="1"/>
  <c r="L33" i="1"/>
  <c r="H67" i="5"/>
  <c r="K12" i="1"/>
  <c r="K10" i="1"/>
  <c r="K11" i="1"/>
  <c r="K13" i="1"/>
  <c r="K9" i="1"/>
  <c r="K14" i="1"/>
  <c r="H37" i="1"/>
  <c r="J2" i="21"/>
  <c r="E60" i="19"/>
  <c r="F121" i="19" s="1"/>
  <c r="G121" i="19" s="1"/>
  <c r="H121" i="19" s="1"/>
  <c r="I121" i="19" s="1"/>
  <c r="J121" i="19" s="1"/>
  <c r="K121" i="19" s="1"/>
  <c r="L121" i="19" s="1"/>
  <c r="E25" i="19"/>
  <c r="F86" i="19" s="1"/>
  <c r="G86" i="19" s="1"/>
  <c r="H86" i="19" s="1"/>
  <c r="I86" i="19" s="1"/>
  <c r="J86" i="19" s="1"/>
  <c r="K86" i="19" s="1"/>
  <c r="L86" i="19" s="1"/>
  <c r="E24" i="19"/>
  <c r="F85" i="19" s="1"/>
  <c r="G85" i="19" s="1"/>
  <c r="H85" i="19" s="1"/>
  <c r="I85" i="19" s="1"/>
  <c r="J85" i="19" s="1"/>
  <c r="K85" i="19" s="1"/>
  <c r="L85" i="19" s="1"/>
  <c r="E21" i="19"/>
  <c r="F82" i="19" s="1"/>
  <c r="G82" i="19" s="1"/>
  <c r="H82" i="19" s="1"/>
  <c r="I82" i="19" s="1"/>
  <c r="J82" i="19" s="1"/>
  <c r="K82" i="19" s="1"/>
  <c r="L82" i="19" s="1"/>
  <c r="H37" i="19"/>
  <c r="G98" i="19"/>
  <c r="H18" i="19"/>
  <c r="G16" i="19"/>
  <c r="C3" i="22" s="1"/>
  <c r="D12" i="21" s="1"/>
  <c r="H36" i="19"/>
  <c r="G97" i="19"/>
  <c r="H44" i="19"/>
  <c r="G105" i="19"/>
  <c r="H35" i="19"/>
  <c r="G96" i="19"/>
  <c r="E19" i="19"/>
  <c r="F80" i="19" s="1"/>
  <c r="G80" i="19" s="1"/>
  <c r="H80" i="19" s="1"/>
  <c r="I80" i="19" s="1"/>
  <c r="J80" i="19" s="1"/>
  <c r="K80" i="19" s="1"/>
  <c r="L80" i="19" s="1"/>
  <c r="H34" i="19"/>
  <c r="G32" i="19"/>
  <c r="C5" i="22" s="1"/>
  <c r="D14" i="21" s="1"/>
  <c r="G95" i="19"/>
  <c r="G22" i="20"/>
  <c r="H31" i="20" s="1"/>
  <c r="I40" i="20" s="1"/>
  <c r="J49" i="20" s="1"/>
  <c r="K58" i="20" s="1"/>
  <c r="L67" i="20" s="1"/>
  <c r="M76" i="20" s="1"/>
  <c r="N85" i="20" s="1"/>
  <c r="O94" i="20" s="1"/>
  <c r="P103" i="20" s="1"/>
  <c r="Q112" i="20" s="1"/>
  <c r="R121" i="20" s="1"/>
  <c r="S130" i="20" s="1"/>
  <c r="T139" i="20" s="1"/>
  <c r="U148" i="20" s="1"/>
  <c r="H38" i="19"/>
  <c r="G99" i="19"/>
  <c r="H42" i="19"/>
  <c r="G103" i="19"/>
  <c r="H43" i="19"/>
  <c r="G104" i="19"/>
  <c r="B3" i="22"/>
  <c r="C12" i="21" s="1"/>
  <c r="C165" i="21" s="1"/>
  <c r="J48" i="19"/>
  <c r="I47" i="19"/>
  <c r="E6" i="22" s="1"/>
  <c r="F15" i="21" s="1"/>
  <c r="E26" i="19"/>
  <c r="F87" i="19" s="1"/>
  <c r="G87" i="19" s="1"/>
  <c r="H87" i="19" s="1"/>
  <c r="I87" i="19" s="1"/>
  <c r="J87" i="19" s="1"/>
  <c r="K87" i="19" s="1"/>
  <c r="L87" i="19" s="1"/>
  <c r="E20" i="19"/>
  <c r="F81" i="19" s="1"/>
  <c r="G81" i="19" s="1"/>
  <c r="H81" i="19" s="1"/>
  <c r="I81" i="19" s="1"/>
  <c r="J81" i="19" s="1"/>
  <c r="K81" i="19" s="1"/>
  <c r="L81" i="19" s="1"/>
  <c r="H41" i="19"/>
  <c r="G102" i="19"/>
  <c r="H45" i="19"/>
  <c r="G106" i="19"/>
  <c r="F93" i="19"/>
  <c r="B14" i="22" s="1"/>
  <c r="C14" i="20" s="1"/>
  <c r="C168" i="20" s="1"/>
  <c r="L182" i="20"/>
  <c r="Q181" i="21"/>
  <c r="O79" i="2"/>
  <c r="O89" i="2" s="1"/>
  <c r="U143" i="21"/>
  <c r="U116" i="21"/>
  <c r="U180" i="21" s="1"/>
  <c r="J90" i="19"/>
  <c r="F13" i="22" s="1"/>
  <c r="G13" i="20" s="1"/>
  <c r="O152" i="20"/>
  <c r="O182" i="20" s="1"/>
  <c r="P161" i="20"/>
  <c r="P183" i="20" s="1"/>
  <c r="S139" i="21"/>
  <c r="R134" i="21"/>
  <c r="S146" i="21"/>
  <c r="S152" i="21" s="1"/>
  <c r="L161" i="20"/>
  <c r="L183" i="20" s="1"/>
  <c r="K152" i="20"/>
  <c r="K182" i="20" s="1"/>
  <c r="G152" i="20"/>
  <c r="G182" i="20" s="1"/>
  <c r="H161" i="20"/>
  <c r="H183" i="20" s="1"/>
  <c r="N161" i="20"/>
  <c r="N183" i="20" s="1"/>
  <c r="M152" i="20"/>
  <c r="M182" i="20" s="1"/>
  <c r="P130" i="21"/>
  <c r="O125" i="21"/>
  <c r="O181" i="21" s="1"/>
  <c r="U131" i="21"/>
  <c r="T125" i="21"/>
  <c r="T181" i="21" s="1"/>
  <c r="R147" i="21"/>
  <c r="S129" i="21"/>
  <c r="R125" i="21"/>
  <c r="K29" i="19"/>
  <c r="G4" i="22" s="1"/>
  <c r="H13" i="21" s="1"/>
  <c r="K91" i="19"/>
  <c r="K92" i="19"/>
  <c r="J50" i="19"/>
  <c r="F7" i="22" s="1"/>
  <c r="G16" i="21" s="1"/>
  <c r="I67" i="5"/>
  <c r="I79" i="5"/>
  <c r="I89" i="5" s="1"/>
  <c r="F8" i="21" l="1"/>
  <c r="F5" i="21"/>
  <c r="H5" i="20"/>
  <c r="G8" i="20"/>
  <c r="G174" i="20" s="1"/>
  <c r="E20" i="21"/>
  <c r="D164" i="21"/>
  <c r="C11" i="21"/>
  <c r="D20" i="21" s="1"/>
  <c r="E29" i="21" s="1"/>
  <c r="F38" i="21" s="1"/>
  <c r="G47" i="21" s="1"/>
  <c r="H56" i="21" s="1"/>
  <c r="G167" i="20"/>
  <c r="H9" i="19"/>
  <c r="D2" i="22" s="1"/>
  <c r="E11" i="21" s="1"/>
  <c r="F20" i="21" s="1"/>
  <c r="I11" i="19"/>
  <c r="I56" i="20"/>
  <c r="M60" i="1"/>
  <c r="M64" i="1" s="1"/>
  <c r="M33" i="1"/>
  <c r="L14" i="1"/>
  <c r="L15" i="1"/>
  <c r="L13" i="1"/>
  <c r="L9" i="1"/>
  <c r="L12" i="1"/>
  <c r="L10" i="1"/>
  <c r="L11" i="1"/>
  <c r="I37" i="1"/>
  <c r="K2" i="21"/>
  <c r="D23" i="20"/>
  <c r="E32" i="20" s="1"/>
  <c r="F41" i="20" s="1"/>
  <c r="G50" i="20" s="1"/>
  <c r="H59" i="20" s="1"/>
  <c r="I68" i="20" s="1"/>
  <c r="J77" i="20" s="1"/>
  <c r="K86" i="20" s="1"/>
  <c r="L95" i="20" s="1"/>
  <c r="M104" i="20" s="1"/>
  <c r="N113" i="20" s="1"/>
  <c r="O122" i="20" s="1"/>
  <c r="P131" i="20" s="1"/>
  <c r="Q140" i="20" s="1"/>
  <c r="R149" i="20" s="1"/>
  <c r="S158" i="20" s="1"/>
  <c r="K48" i="19"/>
  <c r="J47" i="19"/>
  <c r="F6" i="22" s="1"/>
  <c r="G15" i="21" s="1"/>
  <c r="I36" i="19"/>
  <c r="H97" i="19"/>
  <c r="G93" i="19"/>
  <c r="C14" i="22" s="1"/>
  <c r="D14" i="20" s="1"/>
  <c r="I43" i="19"/>
  <c r="H104" i="19"/>
  <c r="I45" i="19"/>
  <c r="H106" i="19"/>
  <c r="I34" i="19"/>
  <c r="H32" i="19"/>
  <c r="D5" i="22" s="1"/>
  <c r="E14" i="21" s="1"/>
  <c r="H95" i="19"/>
  <c r="I41" i="19"/>
  <c r="H102" i="19"/>
  <c r="I18" i="19"/>
  <c r="H16" i="19"/>
  <c r="D3" i="22" s="1"/>
  <c r="E12" i="21" s="1"/>
  <c r="H7" i="19"/>
  <c r="I42" i="19"/>
  <c r="H103" i="19"/>
  <c r="I38" i="19"/>
  <c r="H99" i="19"/>
  <c r="I35" i="19"/>
  <c r="H96" i="19"/>
  <c r="I44" i="19"/>
  <c r="H105" i="19"/>
  <c r="H22" i="20"/>
  <c r="I31" i="20" s="1"/>
  <c r="J40" i="20" s="1"/>
  <c r="K49" i="20" s="1"/>
  <c r="L58" i="20" s="1"/>
  <c r="M67" i="20" s="1"/>
  <c r="N76" i="20" s="1"/>
  <c r="O85" i="20" s="1"/>
  <c r="P94" i="20" s="1"/>
  <c r="Q103" i="20" s="1"/>
  <c r="R112" i="20" s="1"/>
  <c r="S121" i="20" s="1"/>
  <c r="T130" i="20" s="1"/>
  <c r="U139" i="20" s="1"/>
  <c r="I37" i="19"/>
  <c r="H98" i="19"/>
  <c r="R181" i="21"/>
  <c r="P79" i="2"/>
  <c r="P89" i="2" s="1"/>
  <c r="S156" i="21"/>
  <c r="Q139" i="21"/>
  <c r="P134" i="21"/>
  <c r="P181" i="21" s="1"/>
  <c r="U134" i="21"/>
  <c r="U181" i="21" s="1"/>
  <c r="T138" i="21"/>
  <c r="S134" i="21"/>
  <c r="S181" i="21" s="1"/>
  <c r="R143" i="21"/>
  <c r="T148" i="21"/>
  <c r="T152" i="21" s="1"/>
  <c r="S143" i="21"/>
  <c r="S182" i="21" s="1"/>
  <c r="T155" i="21"/>
  <c r="K90" i="19"/>
  <c r="G13" i="22" s="1"/>
  <c r="H13" i="20" s="1"/>
  <c r="K50" i="19"/>
  <c r="G7" i="22" s="1"/>
  <c r="H16" i="21" s="1"/>
  <c r="L29" i="19"/>
  <c r="H4" i="22" s="1"/>
  <c r="I13" i="21" s="1"/>
  <c r="L91" i="19"/>
  <c r="L92" i="19"/>
  <c r="J79" i="5"/>
  <c r="J89" i="5" s="1"/>
  <c r="J67" i="5"/>
  <c r="C170" i="21" l="1"/>
  <c r="G8" i="21"/>
  <c r="G5" i="21"/>
  <c r="I5" i="20"/>
  <c r="H8" i="20"/>
  <c r="H174" i="20" s="1"/>
  <c r="H167" i="20"/>
  <c r="D168" i="20"/>
  <c r="J65" i="20"/>
  <c r="J11" i="19"/>
  <c r="I9" i="19"/>
  <c r="E2" i="22" s="1"/>
  <c r="F11" i="21" s="1"/>
  <c r="G20" i="21" s="1"/>
  <c r="N60" i="1"/>
  <c r="N64" i="1" s="1"/>
  <c r="N33" i="1"/>
  <c r="M16" i="1"/>
  <c r="M15" i="1"/>
  <c r="M14" i="1"/>
  <c r="M13" i="1"/>
  <c r="M9" i="1"/>
  <c r="M12" i="1"/>
  <c r="M10" i="1"/>
  <c r="M11" i="1"/>
  <c r="J37" i="1"/>
  <c r="L2" i="21"/>
  <c r="H93" i="19"/>
  <c r="D14" i="22" s="1"/>
  <c r="E14" i="20" s="1"/>
  <c r="J44" i="19"/>
  <c r="I105" i="19"/>
  <c r="J18" i="19"/>
  <c r="I16" i="19"/>
  <c r="E3" i="22" s="1"/>
  <c r="F12" i="21" s="1"/>
  <c r="I7" i="19"/>
  <c r="J34" i="19"/>
  <c r="I32" i="19"/>
  <c r="E5" i="22" s="1"/>
  <c r="F14" i="21" s="1"/>
  <c r="I95" i="19"/>
  <c r="J36" i="19"/>
  <c r="I97" i="19"/>
  <c r="I22" i="20"/>
  <c r="J31" i="20" s="1"/>
  <c r="K40" i="20" s="1"/>
  <c r="L49" i="20" s="1"/>
  <c r="M58" i="20" s="1"/>
  <c r="N67" i="20" s="1"/>
  <c r="O76" i="20" s="1"/>
  <c r="P85" i="20" s="1"/>
  <c r="Q94" i="20" s="1"/>
  <c r="R103" i="20" s="1"/>
  <c r="S112" i="20" s="1"/>
  <c r="T121" i="20" s="1"/>
  <c r="U130" i="20" s="1"/>
  <c r="J37" i="19"/>
  <c r="I98" i="19"/>
  <c r="J35" i="19"/>
  <c r="I96" i="19"/>
  <c r="J41" i="19"/>
  <c r="I102" i="19"/>
  <c r="J38" i="19"/>
  <c r="I99" i="19"/>
  <c r="L48" i="19"/>
  <c r="K47" i="19"/>
  <c r="G6" i="22" s="1"/>
  <c r="H15" i="21" s="1"/>
  <c r="J43" i="19"/>
  <c r="I104" i="19"/>
  <c r="J45" i="19"/>
  <c r="I106" i="19"/>
  <c r="J42" i="19"/>
  <c r="I103" i="19"/>
  <c r="E23" i="20"/>
  <c r="F32" i="20" s="1"/>
  <c r="G41" i="20" s="1"/>
  <c r="H50" i="20" s="1"/>
  <c r="I59" i="20" s="1"/>
  <c r="J68" i="20" s="1"/>
  <c r="K77" i="20" s="1"/>
  <c r="L86" i="20" s="1"/>
  <c r="M95" i="20" s="1"/>
  <c r="N104" i="20" s="1"/>
  <c r="O113" i="20" s="1"/>
  <c r="P122" i="20" s="1"/>
  <c r="Q131" i="20" s="1"/>
  <c r="R140" i="20" s="1"/>
  <c r="S149" i="20" s="1"/>
  <c r="T158" i="20" s="1"/>
  <c r="Q79" i="2"/>
  <c r="Q89" i="2" s="1"/>
  <c r="U147" i="21"/>
  <c r="T143" i="21"/>
  <c r="T182" i="21" s="1"/>
  <c r="T161" i="21"/>
  <c r="T183" i="21" s="1"/>
  <c r="U157" i="21"/>
  <c r="R148" i="21"/>
  <c r="R152" i="21" s="1"/>
  <c r="R182" i="21" s="1"/>
  <c r="Q143" i="21"/>
  <c r="Q182" i="21" s="1"/>
  <c r="M29" i="19"/>
  <c r="I4" i="22" s="1"/>
  <c r="J13" i="21" s="1"/>
  <c r="M91" i="19"/>
  <c r="L90" i="19"/>
  <c r="H13" i="22" s="1"/>
  <c r="I13" i="20" s="1"/>
  <c r="M92" i="19"/>
  <c r="L50" i="19"/>
  <c r="H7" i="22" s="1"/>
  <c r="I16" i="21" s="1"/>
  <c r="K67" i="5"/>
  <c r="K79" i="5"/>
  <c r="K89" i="5" s="1"/>
  <c r="H5" i="21" l="1"/>
  <c r="H8" i="21"/>
  <c r="J5" i="20"/>
  <c r="I8" i="20"/>
  <c r="I174" i="20" s="1"/>
  <c r="I167" i="20"/>
  <c r="K11" i="19"/>
  <c r="J9" i="19"/>
  <c r="F2" i="22" s="1"/>
  <c r="G11" i="21" s="1"/>
  <c r="E168" i="20"/>
  <c r="K74" i="20"/>
  <c r="O33" i="1"/>
  <c r="O60" i="1"/>
  <c r="O64" i="1" s="1"/>
  <c r="N10" i="1"/>
  <c r="N11" i="1"/>
  <c r="N16" i="1"/>
  <c r="N14" i="1"/>
  <c r="N17" i="1"/>
  <c r="N13" i="1"/>
  <c r="N15" i="1"/>
  <c r="N9" i="1"/>
  <c r="N12" i="1"/>
  <c r="K37" i="1"/>
  <c r="M2" i="21"/>
  <c r="K18" i="19"/>
  <c r="J7" i="19"/>
  <c r="J16" i="19"/>
  <c r="F3" i="22" s="1"/>
  <c r="G12" i="21" s="1"/>
  <c r="J22" i="20"/>
  <c r="K31" i="20" s="1"/>
  <c r="L40" i="20" s="1"/>
  <c r="M49" i="20" s="1"/>
  <c r="N58" i="20" s="1"/>
  <c r="O67" i="20" s="1"/>
  <c r="P76" i="20" s="1"/>
  <c r="Q85" i="20" s="1"/>
  <c r="R94" i="20" s="1"/>
  <c r="S103" i="20" s="1"/>
  <c r="T112" i="20" s="1"/>
  <c r="U121" i="20" s="1"/>
  <c r="M48" i="19"/>
  <c r="L47" i="19"/>
  <c r="H6" i="22" s="1"/>
  <c r="I15" i="21" s="1"/>
  <c r="K37" i="19"/>
  <c r="J98" i="19"/>
  <c r="K38" i="19"/>
  <c r="J99" i="19"/>
  <c r="K45" i="19"/>
  <c r="J106" i="19"/>
  <c r="K41" i="19"/>
  <c r="J102" i="19"/>
  <c r="K36" i="19"/>
  <c r="J97" i="19"/>
  <c r="K44" i="19"/>
  <c r="J105" i="19"/>
  <c r="K42" i="19"/>
  <c r="J103" i="19"/>
  <c r="K34" i="19"/>
  <c r="J32" i="19"/>
  <c r="F5" i="22" s="1"/>
  <c r="G14" i="21" s="1"/>
  <c r="J95" i="19"/>
  <c r="K43" i="19"/>
  <c r="J104" i="19"/>
  <c r="K35" i="19"/>
  <c r="J96" i="19"/>
  <c r="I93" i="19"/>
  <c r="E14" i="22" s="1"/>
  <c r="F14" i="20" s="1"/>
  <c r="F23" i="20"/>
  <c r="G32" i="20" s="1"/>
  <c r="H41" i="20" s="1"/>
  <c r="I50" i="20" s="1"/>
  <c r="J59" i="20" s="1"/>
  <c r="K68" i="20" s="1"/>
  <c r="L77" i="20" s="1"/>
  <c r="M86" i="20" s="1"/>
  <c r="N95" i="20" s="1"/>
  <c r="O104" i="20" s="1"/>
  <c r="P113" i="20" s="1"/>
  <c r="Q122" i="20" s="1"/>
  <c r="R131" i="20" s="1"/>
  <c r="S140" i="20" s="1"/>
  <c r="T149" i="20" s="1"/>
  <c r="U158" i="20" s="1"/>
  <c r="U152" i="21"/>
  <c r="U182" i="21" s="1"/>
  <c r="R79" i="2"/>
  <c r="R89" i="2" s="1"/>
  <c r="S157" i="21"/>
  <c r="U161" i="21"/>
  <c r="U183" i="21" s="1"/>
  <c r="N92" i="19"/>
  <c r="M90" i="19"/>
  <c r="I13" i="22" s="1"/>
  <c r="J13" i="20" s="1"/>
  <c r="J167" i="20" s="1"/>
  <c r="N29" i="19"/>
  <c r="J4" i="22" s="1"/>
  <c r="K13" i="21" s="1"/>
  <c r="N91" i="19"/>
  <c r="M50" i="19"/>
  <c r="I7" i="22" s="1"/>
  <c r="J16" i="21" s="1"/>
  <c r="L67" i="5"/>
  <c r="L79" i="5"/>
  <c r="L89" i="5" s="1"/>
  <c r="I5" i="21" l="1"/>
  <c r="I8" i="21"/>
  <c r="K5" i="20"/>
  <c r="J8" i="20"/>
  <c r="J174" i="20" s="1"/>
  <c r="F168" i="20"/>
  <c r="L83" i="20"/>
  <c r="L11" i="19"/>
  <c r="K9" i="19"/>
  <c r="G2" i="22" s="1"/>
  <c r="H11" i="21" s="1"/>
  <c r="P60" i="1"/>
  <c r="P64" i="1" s="1"/>
  <c r="P33" i="1"/>
  <c r="O9" i="1"/>
  <c r="O12" i="1"/>
  <c r="O10" i="1"/>
  <c r="O11" i="1"/>
  <c r="O16" i="1"/>
  <c r="O18" i="1"/>
  <c r="O15" i="1"/>
  <c r="O14" i="1"/>
  <c r="O17" i="1"/>
  <c r="O13" i="1"/>
  <c r="L37" i="1"/>
  <c r="N2" i="21"/>
  <c r="L45" i="19"/>
  <c r="K106" i="19"/>
  <c r="L41" i="19"/>
  <c r="K102" i="19"/>
  <c r="L43" i="19"/>
  <c r="K104" i="19"/>
  <c r="L44" i="19"/>
  <c r="K105" i="19"/>
  <c r="N48" i="19"/>
  <c r="M47" i="19"/>
  <c r="I6" i="22" s="1"/>
  <c r="J15" i="21" s="1"/>
  <c r="J93" i="19"/>
  <c r="F14" i="22" s="1"/>
  <c r="G14" i="20" s="1"/>
  <c r="L38" i="19"/>
  <c r="K99" i="19"/>
  <c r="L42" i="19"/>
  <c r="K103" i="19"/>
  <c r="L36" i="19"/>
  <c r="K97" i="19"/>
  <c r="L18" i="19"/>
  <c r="K7" i="19"/>
  <c r="K16" i="19"/>
  <c r="G3" i="22" s="1"/>
  <c r="H12" i="21" s="1"/>
  <c r="L35" i="19"/>
  <c r="K96" i="19"/>
  <c r="K22" i="20"/>
  <c r="L31" i="20" s="1"/>
  <c r="M40" i="20" s="1"/>
  <c r="N49" i="20" s="1"/>
  <c r="O58" i="20" s="1"/>
  <c r="P67" i="20" s="1"/>
  <c r="Q76" i="20" s="1"/>
  <c r="R85" i="20" s="1"/>
  <c r="S94" i="20" s="1"/>
  <c r="T103" i="20" s="1"/>
  <c r="U112" i="20" s="1"/>
  <c r="G23" i="20"/>
  <c r="H32" i="20" s="1"/>
  <c r="I41" i="20" s="1"/>
  <c r="J50" i="20" s="1"/>
  <c r="K59" i="20" s="1"/>
  <c r="L68" i="20" s="1"/>
  <c r="M77" i="20" s="1"/>
  <c r="N86" i="20" s="1"/>
  <c r="O95" i="20" s="1"/>
  <c r="P104" i="20" s="1"/>
  <c r="Q113" i="20" s="1"/>
  <c r="R122" i="20" s="1"/>
  <c r="S131" i="20" s="1"/>
  <c r="T140" i="20" s="1"/>
  <c r="U149" i="20" s="1"/>
  <c r="L34" i="19"/>
  <c r="K32" i="19"/>
  <c r="G5" i="22" s="1"/>
  <c r="H14" i="21" s="1"/>
  <c r="K95" i="19"/>
  <c r="L37" i="19"/>
  <c r="K98" i="19"/>
  <c r="S79" i="2"/>
  <c r="S89" i="2" s="1"/>
  <c r="S161" i="21"/>
  <c r="S183" i="21" s="1"/>
  <c r="N50" i="19"/>
  <c r="J7" i="22" s="1"/>
  <c r="K16" i="21" s="1"/>
  <c r="O92" i="19"/>
  <c r="O29" i="19"/>
  <c r="K4" i="22" s="1"/>
  <c r="L13" i="21" s="1"/>
  <c r="O91" i="19"/>
  <c r="N90" i="19"/>
  <c r="J13" i="22" s="1"/>
  <c r="K13" i="20" s="1"/>
  <c r="K167" i="20" s="1"/>
  <c r="M67" i="5"/>
  <c r="M79" i="5"/>
  <c r="M89" i="5" s="1"/>
  <c r="J5" i="21" l="1"/>
  <c r="J8" i="21"/>
  <c r="G168" i="20"/>
  <c r="K8" i="20"/>
  <c r="K174" i="20" s="1"/>
  <c r="L5" i="20"/>
  <c r="M11" i="19"/>
  <c r="L9" i="19"/>
  <c r="H2" i="22" s="1"/>
  <c r="I11" i="21" s="1"/>
  <c r="M92" i="20"/>
  <c r="Q60" i="1"/>
  <c r="Q64" i="1" s="1"/>
  <c r="Q33" i="1"/>
  <c r="P15" i="1"/>
  <c r="P14" i="1"/>
  <c r="P9" i="1"/>
  <c r="P12" i="1"/>
  <c r="P17" i="1"/>
  <c r="P10" i="1"/>
  <c r="P11" i="1"/>
  <c r="P16" i="1"/>
  <c r="P18" i="1"/>
  <c r="P19" i="1"/>
  <c r="P13" i="1"/>
  <c r="M37" i="1"/>
  <c r="O2" i="21"/>
  <c r="M35" i="19"/>
  <c r="L96" i="19"/>
  <c r="M38" i="19"/>
  <c r="L99" i="19"/>
  <c r="M43" i="19"/>
  <c r="L104" i="19"/>
  <c r="H23" i="20"/>
  <c r="I32" i="20" s="1"/>
  <c r="J41" i="20" s="1"/>
  <c r="K50" i="20" s="1"/>
  <c r="L59" i="20" s="1"/>
  <c r="M68" i="20" s="1"/>
  <c r="N77" i="20" s="1"/>
  <c r="O86" i="20" s="1"/>
  <c r="P95" i="20" s="1"/>
  <c r="Q104" i="20" s="1"/>
  <c r="R113" i="20" s="1"/>
  <c r="S122" i="20" s="1"/>
  <c r="T131" i="20" s="1"/>
  <c r="U140" i="20" s="1"/>
  <c r="M41" i="19"/>
  <c r="L102" i="19"/>
  <c r="O48" i="19"/>
  <c r="N47" i="19"/>
  <c r="J6" i="22" s="1"/>
  <c r="K15" i="21" s="1"/>
  <c r="M44" i="19"/>
  <c r="L105" i="19"/>
  <c r="M18" i="19"/>
  <c r="L7" i="19"/>
  <c r="L16" i="19"/>
  <c r="H3" i="22" s="1"/>
  <c r="I12" i="21" s="1"/>
  <c r="M36" i="19"/>
  <c r="L97" i="19"/>
  <c r="M45" i="19"/>
  <c r="L106" i="19"/>
  <c r="M42" i="19"/>
  <c r="L103" i="19"/>
  <c r="M34" i="19"/>
  <c r="L32" i="19"/>
  <c r="H5" i="22" s="1"/>
  <c r="I14" i="21" s="1"/>
  <c r="L95" i="19"/>
  <c r="M37" i="19"/>
  <c r="L98" i="19"/>
  <c r="L22" i="20"/>
  <c r="M31" i="20" s="1"/>
  <c r="N40" i="20" s="1"/>
  <c r="O49" i="20" s="1"/>
  <c r="P58" i="20" s="1"/>
  <c r="Q67" i="20" s="1"/>
  <c r="R76" i="20" s="1"/>
  <c r="S85" i="20" s="1"/>
  <c r="T94" i="20" s="1"/>
  <c r="U103" i="20" s="1"/>
  <c r="K93" i="19"/>
  <c r="G14" i="22" s="1"/>
  <c r="H14" i="20" s="1"/>
  <c r="T79" i="2"/>
  <c r="T89" i="2" s="1"/>
  <c r="P92" i="19"/>
  <c r="O90" i="19"/>
  <c r="K13" i="22" s="1"/>
  <c r="L13" i="20" s="1"/>
  <c r="P29" i="19"/>
  <c r="L4" i="22" s="1"/>
  <c r="M13" i="21" s="1"/>
  <c r="P91" i="19"/>
  <c r="O50" i="19"/>
  <c r="K7" i="22" s="1"/>
  <c r="L16" i="21" s="1"/>
  <c r="N67" i="5"/>
  <c r="N79" i="5"/>
  <c r="N89" i="5" s="1"/>
  <c r="K5" i="21" l="1"/>
  <c r="K8" i="21"/>
  <c r="M5" i="20"/>
  <c r="L8" i="20"/>
  <c r="L174" i="20" s="1"/>
  <c r="L167" i="20"/>
  <c r="H168" i="20"/>
  <c r="N11" i="19"/>
  <c r="M9" i="19"/>
  <c r="I2" i="22" s="1"/>
  <c r="J11" i="21" s="1"/>
  <c r="N101" i="20"/>
  <c r="R60" i="1"/>
  <c r="R64" i="1" s="1"/>
  <c r="R33" i="1"/>
  <c r="Q13" i="1"/>
  <c r="Q15" i="1"/>
  <c r="Q16" i="1"/>
  <c r="Q9" i="1"/>
  <c r="Q12" i="1"/>
  <c r="Q14" i="1"/>
  <c r="Q10" i="1"/>
  <c r="Q11" i="1"/>
  <c r="Q18" i="1"/>
  <c r="Q17" i="1"/>
  <c r="Q20" i="1"/>
  <c r="Q19" i="1"/>
  <c r="P2" i="21"/>
  <c r="N44" i="19"/>
  <c r="M105" i="19"/>
  <c r="N43" i="19"/>
  <c r="M104" i="19"/>
  <c r="I23" i="20"/>
  <c r="J32" i="20" s="1"/>
  <c r="K41" i="20" s="1"/>
  <c r="L50" i="20" s="1"/>
  <c r="M59" i="20" s="1"/>
  <c r="N68" i="20" s="1"/>
  <c r="O77" i="20" s="1"/>
  <c r="P86" i="20" s="1"/>
  <c r="Q95" i="20" s="1"/>
  <c r="R104" i="20" s="1"/>
  <c r="S113" i="20" s="1"/>
  <c r="T122" i="20" s="1"/>
  <c r="U131" i="20" s="1"/>
  <c r="L93" i="19"/>
  <c r="H14" i="22" s="1"/>
  <c r="I14" i="20" s="1"/>
  <c r="N36" i="19"/>
  <c r="M97" i="19"/>
  <c r="N45" i="19"/>
  <c r="M106" i="19"/>
  <c r="P48" i="19"/>
  <c r="O47" i="19"/>
  <c r="K6" i="22" s="1"/>
  <c r="L15" i="21" s="1"/>
  <c r="N38" i="19"/>
  <c r="M99" i="19"/>
  <c r="N34" i="19"/>
  <c r="M32" i="19"/>
  <c r="I5" i="22" s="1"/>
  <c r="J14" i="21" s="1"/>
  <c r="M95" i="19"/>
  <c r="N41" i="19"/>
  <c r="M102" i="19"/>
  <c r="N18" i="19"/>
  <c r="M7" i="19"/>
  <c r="M16" i="19"/>
  <c r="I3" i="22" s="1"/>
  <c r="J12" i="21" s="1"/>
  <c r="M22" i="20"/>
  <c r="N31" i="20" s="1"/>
  <c r="O40" i="20" s="1"/>
  <c r="P49" i="20" s="1"/>
  <c r="Q58" i="20" s="1"/>
  <c r="R67" i="20" s="1"/>
  <c r="S76" i="20" s="1"/>
  <c r="T85" i="20" s="1"/>
  <c r="U94" i="20" s="1"/>
  <c r="N37" i="19"/>
  <c r="M98" i="19"/>
  <c r="N42" i="19"/>
  <c r="M103" i="19"/>
  <c r="N35" i="19"/>
  <c r="M96" i="19"/>
  <c r="U79" i="2"/>
  <c r="U89" i="2" s="1"/>
  <c r="P90" i="19"/>
  <c r="L13" i="22" s="1"/>
  <c r="M13" i="20" s="1"/>
  <c r="M167" i="20" s="1"/>
  <c r="Q29" i="19"/>
  <c r="M4" i="22" s="1"/>
  <c r="N13" i="21" s="1"/>
  <c r="Q91" i="19"/>
  <c r="P50" i="19"/>
  <c r="L7" i="22" s="1"/>
  <c r="M16" i="21" s="1"/>
  <c r="Q92" i="19"/>
  <c r="O67" i="5"/>
  <c r="O79" i="5"/>
  <c r="O89" i="5" s="1"/>
  <c r="L5" i="21" l="1"/>
  <c r="L8" i="21"/>
  <c r="N5" i="20"/>
  <c r="M8" i="20"/>
  <c r="M174" i="20" s="1"/>
  <c r="O11" i="19"/>
  <c r="N9" i="19"/>
  <c r="J2" i="22" s="1"/>
  <c r="K11" i="21" s="1"/>
  <c r="I168" i="20"/>
  <c r="O110" i="20"/>
  <c r="S60" i="1"/>
  <c r="S64" i="1" s="1"/>
  <c r="S33" i="1"/>
  <c r="R18" i="1"/>
  <c r="R19" i="1"/>
  <c r="R13" i="1"/>
  <c r="R17" i="1"/>
  <c r="R15" i="1"/>
  <c r="R20" i="1"/>
  <c r="R9" i="1"/>
  <c r="R12" i="1"/>
  <c r="R16" i="1"/>
  <c r="R10" i="1"/>
  <c r="R11" i="1"/>
  <c r="R14" i="1"/>
  <c r="O37" i="1"/>
  <c r="N43" i="1"/>
  <c r="N37" i="1"/>
  <c r="O38" i="19"/>
  <c r="N99" i="19"/>
  <c r="O35" i="19"/>
  <c r="N96" i="19"/>
  <c r="N22" i="20"/>
  <c r="O31" i="20" s="1"/>
  <c r="P40" i="20" s="1"/>
  <c r="Q49" i="20" s="1"/>
  <c r="R58" i="20" s="1"/>
  <c r="S67" i="20" s="1"/>
  <c r="T76" i="20" s="1"/>
  <c r="U85" i="20" s="1"/>
  <c r="O18" i="19"/>
  <c r="N16" i="19"/>
  <c r="J3" i="22" s="1"/>
  <c r="K12" i="21" s="1"/>
  <c r="N7" i="19"/>
  <c r="O34" i="19"/>
  <c r="N32" i="19"/>
  <c r="J5" i="22" s="1"/>
  <c r="K14" i="21" s="1"/>
  <c r="N95" i="19"/>
  <c r="O42" i="19"/>
  <c r="N103" i="19"/>
  <c r="O45" i="19"/>
  <c r="N106" i="19"/>
  <c r="J23" i="20"/>
  <c r="K32" i="20" s="1"/>
  <c r="L41" i="20" s="1"/>
  <c r="M50" i="20" s="1"/>
  <c r="N59" i="20" s="1"/>
  <c r="O68" i="20" s="1"/>
  <c r="P77" i="20" s="1"/>
  <c r="Q86" i="20" s="1"/>
  <c r="R95" i="20" s="1"/>
  <c r="S104" i="20" s="1"/>
  <c r="T113" i="20" s="1"/>
  <c r="U122" i="20" s="1"/>
  <c r="M93" i="19"/>
  <c r="I14" i="22" s="1"/>
  <c r="J14" i="20" s="1"/>
  <c r="O41" i="19"/>
  <c r="N102" i="19"/>
  <c r="O43" i="19"/>
  <c r="N104" i="19"/>
  <c r="O37" i="19"/>
  <c r="N98" i="19"/>
  <c r="Q48" i="19"/>
  <c r="P47" i="19"/>
  <c r="L6" i="22" s="1"/>
  <c r="M15" i="21" s="1"/>
  <c r="O36" i="19"/>
  <c r="N97" i="19"/>
  <c r="O44" i="19"/>
  <c r="N105" i="19"/>
  <c r="V79" i="2"/>
  <c r="V89" i="2" s="1"/>
  <c r="Q90" i="19"/>
  <c r="M13" i="22" s="1"/>
  <c r="N13" i="20" s="1"/>
  <c r="R92" i="19"/>
  <c r="Q50" i="19"/>
  <c r="M7" i="22" s="1"/>
  <c r="N16" i="21" s="1"/>
  <c r="R29" i="19"/>
  <c r="N4" i="22" s="1"/>
  <c r="O13" i="21" s="1"/>
  <c r="R91" i="19"/>
  <c r="P79" i="5"/>
  <c r="P89" i="5" s="1"/>
  <c r="P67" i="5"/>
  <c r="M5" i="21" l="1"/>
  <c r="M8" i="21"/>
  <c r="O5" i="20"/>
  <c r="N8" i="20"/>
  <c r="N174" i="20" s="1"/>
  <c r="N167" i="20"/>
  <c r="P11" i="19"/>
  <c r="O9" i="19"/>
  <c r="K2" i="22" s="1"/>
  <c r="L11" i="21" s="1"/>
  <c r="P119" i="20"/>
  <c r="J168" i="20"/>
  <c r="T60" i="1"/>
  <c r="T64" i="1" s="1"/>
  <c r="T33" i="1"/>
  <c r="S17" i="1"/>
  <c r="S20" i="1"/>
  <c r="S18" i="1"/>
  <c r="S19" i="1"/>
  <c r="S13" i="1"/>
  <c r="S11" i="1"/>
  <c r="S15" i="1"/>
  <c r="S12" i="1"/>
  <c r="S10" i="1"/>
  <c r="S9" i="1"/>
  <c r="S16" i="1"/>
  <c r="S14" i="1"/>
  <c r="P37" i="1"/>
  <c r="R8" i="21"/>
  <c r="R2" i="21"/>
  <c r="P37" i="19"/>
  <c r="O98" i="19"/>
  <c r="K23" i="20"/>
  <c r="L32" i="20" s="1"/>
  <c r="M41" i="20" s="1"/>
  <c r="N50" i="20" s="1"/>
  <c r="O59" i="20" s="1"/>
  <c r="P68" i="20" s="1"/>
  <c r="Q77" i="20" s="1"/>
  <c r="R86" i="20" s="1"/>
  <c r="S95" i="20" s="1"/>
  <c r="T104" i="20" s="1"/>
  <c r="U113" i="20" s="1"/>
  <c r="P18" i="19"/>
  <c r="O7" i="19"/>
  <c r="O16" i="19"/>
  <c r="K3" i="22" s="1"/>
  <c r="L12" i="21" s="1"/>
  <c r="P36" i="19"/>
  <c r="O97" i="19"/>
  <c r="N93" i="19"/>
  <c r="P42" i="19"/>
  <c r="O103" i="19"/>
  <c r="P35" i="19"/>
  <c r="O96" i="19"/>
  <c r="O22" i="20"/>
  <c r="P31" i="20" s="1"/>
  <c r="Q40" i="20" s="1"/>
  <c r="R49" i="20" s="1"/>
  <c r="S58" i="20" s="1"/>
  <c r="T67" i="20" s="1"/>
  <c r="U76" i="20" s="1"/>
  <c r="P41" i="19"/>
  <c r="O102" i="19"/>
  <c r="R48" i="19"/>
  <c r="Q47" i="19"/>
  <c r="M6" i="22" s="1"/>
  <c r="N15" i="21" s="1"/>
  <c r="P43" i="19"/>
  <c r="O104" i="19"/>
  <c r="P34" i="19"/>
  <c r="O95" i="19"/>
  <c r="O32" i="19"/>
  <c r="K5" i="22" s="1"/>
  <c r="L14" i="21" s="1"/>
  <c r="P45" i="19"/>
  <c r="O106" i="19"/>
  <c r="P44" i="19"/>
  <c r="O105" i="19"/>
  <c r="P38" i="19"/>
  <c r="O99" i="19"/>
  <c r="W79" i="2"/>
  <c r="W89" i="2" s="1"/>
  <c r="R50" i="19"/>
  <c r="N7" i="22" s="1"/>
  <c r="O16" i="21" s="1"/>
  <c r="S92" i="19"/>
  <c r="S29" i="19"/>
  <c r="O4" i="22" s="1"/>
  <c r="P13" i="21" s="1"/>
  <c r="S91" i="19"/>
  <c r="R90" i="19"/>
  <c r="N13" i="22" s="1"/>
  <c r="O13" i="20" s="1"/>
  <c r="Q79" i="5"/>
  <c r="Q89" i="5" s="1"/>
  <c r="Q67" i="5"/>
  <c r="N8" i="21" l="1"/>
  <c r="N5" i="21"/>
  <c r="P5" i="20"/>
  <c r="O8" i="20"/>
  <c r="O174" i="20" s="1"/>
  <c r="O167" i="20"/>
  <c r="Q11" i="19"/>
  <c r="P9" i="19"/>
  <c r="L2" i="22" s="1"/>
  <c r="M11" i="21" s="1"/>
  <c r="Q128" i="20"/>
  <c r="U60" i="1"/>
  <c r="U64" i="1" s="1"/>
  <c r="U33" i="1"/>
  <c r="T14" i="1"/>
  <c r="T12" i="1"/>
  <c r="T17" i="1"/>
  <c r="T20" i="1"/>
  <c r="T18" i="1"/>
  <c r="T19" i="1"/>
  <c r="T9" i="1"/>
  <c r="T13" i="1"/>
  <c r="T16" i="1"/>
  <c r="T15" i="1"/>
  <c r="T10" i="1"/>
  <c r="T11" i="1"/>
  <c r="Q37" i="1"/>
  <c r="S2" i="21"/>
  <c r="S8" i="21"/>
  <c r="Q35" i="19"/>
  <c r="P96" i="19"/>
  <c r="P22" i="20"/>
  <c r="Q31" i="20" s="1"/>
  <c r="R40" i="20" s="1"/>
  <c r="S49" i="20" s="1"/>
  <c r="T58" i="20" s="1"/>
  <c r="U67" i="20" s="1"/>
  <c r="Q38" i="19"/>
  <c r="P99" i="19"/>
  <c r="Q45" i="19"/>
  <c r="P106" i="19"/>
  <c r="Q42" i="19"/>
  <c r="P103" i="19"/>
  <c r="Q18" i="19"/>
  <c r="P7" i="19"/>
  <c r="P16" i="19"/>
  <c r="L3" i="22" s="1"/>
  <c r="M12" i="21" s="1"/>
  <c r="S48" i="19"/>
  <c r="R47" i="19"/>
  <c r="N6" i="22" s="1"/>
  <c r="O15" i="21" s="1"/>
  <c r="N69" i="19"/>
  <c r="J14" i="22"/>
  <c r="K14" i="20" s="1"/>
  <c r="K168" i="20" s="1"/>
  <c r="Q34" i="19"/>
  <c r="P32" i="19"/>
  <c r="L5" i="22" s="1"/>
  <c r="M14" i="21" s="1"/>
  <c r="P95" i="19"/>
  <c r="Q36" i="19"/>
  <c r="P97" i="19"/>
  <c r="Q41" i="19"/>
  <c r="P102" i="19"/>
  <c r="Q37" i="19"/>
  <c r="P98" i="19"/>
  <c r="O93" i="19"/>
  <c r="Q44" i="19"/>
  <c r="P105" i="19"/>
  <c r="Q43" i="19"/>
  <c r="P104" i="19"/>
  <c r="X79" i="2"/>
  <c r="X89" i="2" s="1"/>
  <c r="S50" i="19"/>
  <c r="O7" i="22" s="1"/>
  <c r="P16" i="21" s="1"/>
  <c r="S90" i="19"/>
  <c r="O13" i="22" s="1"/>
  <c r="P13" i="20" s="1"/>
  <c r="T29" i="19"/>
  <c r="P4" i="22" s="1"/>
  <c r="Q13" i="21" s="1"/>
  <c r="T91" i="19"/>
  <c r="T92" i="19"/>
  <c r="R79" i="5"/>
  <c r="R89" i="5" s="1"/>
  <c r="R67" i="5"/>
  <c r="O5" i="21" l="1"/>
  <c r="O8" i="21"/>
  <c r="Q5" i="20"/>
  <c r="P8" i="20"/>
  <c r="P174" i="20" s="1"/>
  <c r="P167" i="20"/>
  <c r="R11" i="19"/>
  <c r="Q9" i="19"/>
  <c r="M2" i="22" s="1"/>
  <c r="N11" i="21" s="1"/>
  <c r="R137" i="20"/>
  <c r="V60" i="1"/>
  <c r="V64" i="1" s="1"/>
  <c r="V33" i="1"/>
  <c r="U16" i="1"/>
  <c r="U14" i="1"/>
  <c r="U17" i="1"/>
  <c r="U20" i="1"/>
  <c r="U18" i="1"/>
  <c r="U19" i="1"/>
  <c r="U13" i="1"/>
  <c r="U15" i="1"/>
  <c r="U9" i="1"/>
  <c r="U12" i="1"/>
  <c r="U10" i="1"/>
  <c r="U11" i="1"/>
  <c r="R37" i="1"/>
  <c r="T2" i="21"/>
  <c r="T8" i="21"/>
  <c r="Q22" i="20"/>
  <c r="R31" i="20" s="1"/>
  <c r="S40" i="20" s="1"/>
  <c r="T49" i="20" s="1"/>
  <c r="U58" i="20" s="1"/>
  <c r="R45" i="19"/>
  <c r="Q106" i="19"/>
  <c r="R18" i="19"/>
  <c r="Q16" i="19"/>
  <c r="M3" i="22" s="1"/>
  <c r="N12" i="21" s="1"/>
  <c r="Q7" i="19"/>
  <c r="R41" i="19"/>
  <c r="Q102" i="19"/>
  <c r="L23" i="20"/>
  <c r="M32" i="20" s="1"/>
  <c r="N41" i="20" s="1"/>
  <c r="O50" i="20" s="1"/>
  <c r="P59" i="20" s="1"/>
  <c r="Q68" i="20" s="1"/>
  <c r="R77" i="20" s="1"/>
  <c r="S86" i="20" s="1"/>
  <c r="T95" i="20" s="1"/>
  <c r="U104" i="20" s="1"/>
  <c r="R38" i="19"/>
  <c r="Q99" i="19"/>
  <c r="R44" i="19"/>
  <c r="Q105" i="19"/>
  <c r="O69" i="19"/>
  <c r="K14" i="22"/>
  <c r="L14" i="20" s="1"/>
  <c r="R36" i="19"/>
  <c r="Q97" i="19"/>
  <c r="R43" i="19"/>
  <c r="Q104" i="19"/>
  <c r="R34" i="19"/>
  <c r="Q95" i="19"/>
  <c r="Q32" i="19"/>
  <c r="M5" i="22" s="1"/>
  <c r="N14" i="21" s="1"/>
  <c r="P93" i="19"/>
  <c r="R37" i="19"/>
  <c r="Q98" i="19"/>
  <c r="T48" i="19"/>
  <c r="S47" i="19"/>
  <c r="O6" i="22" s="1"/>
  <c r="P15" i="21" s="1"/>
  <c r="R42" i="19"/>
  <c r="Q103" i="19"/>
  <c r="R35" i="19"/>
  <c r="Q96" i="19"/>
  <c r="Y79" i="2"/>
  <c r="Y89" i="2" s="1"/>
  <c r="U92" i="19"/>
  <c r="T50" i="19"/>
  <c r="P7" i="22" s="1"/>
  <c r="Q16" i="21" s="1"/>
  <c r="E52" i="19"/>
  <c r="T90" i="19"/>
  <c r="P13" i="22" s="1"/>
  <c r="Q13" i="20" s="1"/>
  <c r="Q167" i="20" s="1"/>
  <c r="U29" i="19"/>
  <c r="Q4" i="22" s="1"/>
  <c r="R13" i="21" s="1"/>
  <c r="U91" i="19"/>
  <c r="S67" i="5"/>
  <c r="S79" i="5"/>
  <c r="S89" i="5" s="1"/>
  <c r="P8" i="21" l="1"/>
  <c r="P5" i="21"/>
  <c r="Q8" i="21" s="1"/>
  <c r="R5" i="20"/>
  <c r="Q8" i="20"/>
  <c r="Q174" i="20" s="1"/>
  <c r="L168" i="20"/>
  <c r="S11" i="19"/>
  <c r="R9" i="19"/>
  <c r="N2" i="22" s="1"/>
  <c r="O11" i="21" s="1"/>
  <c r="S146" i="20"/>
  <c r="W20" i="1"/>
  <c r="W33" i="1"/>
  <c r="W60" i="1"/>
  <c r="W64" i="1" s="1"/>
  <c r="V10" i="1"/>
  <c r="V11" i="1"/>
  <c r="V18" i="1"/>
  <c r="V16" i="1"/>
  <c r="V20" i="1"/>
  <c r="V13" i="1"/>
  <c r="V14" i="1"/>
  <c r="V17" i="1"/>
  <c r="V19" i="1"/>
  <c r="V15" i="1"/>
  <c r="V9" i="1"/>
  <c r="V12" i="1"/>
  <c r="W11" i="1"/>
  <c r="W14" i="1"/>
  <c r="S37" i="1"/>
  <c r="U2" i="21"/>
  <c r="U8" i="21"/>
  <c r="S18" i="19"/>
  <c r="R16" i="19"/>
  <c r="N3" i="22" s="1"/>
  <c r="O12" i="21" s="1"/>
  <c r="R7" i="19"/>
  <c r="U48" i="19"/>
  <c r="T47" i="19"/>
  <c r="P6" i="22" s="1"/>
  <c r="Q15" i="21" s="1"/>
  <c r="Q93" i="19"/>
  <c r="S36" i="19"/>
  <c r="R97" i="19"/>
  <c r="S38" i="19"/>
  <c r="R99" i="19"/>
  <c r="R22" i="20"/>
  <c r="S31" i="20" s="1"/>
  <c r="T40" i="20" s="1"/>
  <c r="U49" i="20" s="1"/>
  <c r="S37" i="19"/>
  <c r="R98" i="19"/>
  <c r="U107" i="20"/>
  <c r="S34" i="19"/>
  <c r="R32" i="19"/>
  <c r="N5" i="22" s="1"/>
  <c r="O14" i="21" s="1"/>
  <c r="R95" i="19"/>
  <c r="M23" i="20"/>
  <c r="N32" i="20" s="1"/>
  <c r="O41" i="20" s="1"/>
  <c r="P50" i="20" s="1"/>
  <c r="Q59" i="20" s="1"/>
  <c r="R68" i="20" s="1"/>
  <c r="S77" i="20" s="1"/>
  <c r="T86" i="20" s="1"/>
  <c r="U95" i="20" s="1"/>
  <c r="S45" i="19"/>
  <c r="R106" i="19"/>
  <c r="S43" i="19"/>
  <c r="R104" i="19"/>
  <c r="S42" i="19"/>
  <c r="R103" i="19"/>
  <c r="S35" i="19"/>
  <c r="R96" i="19"/>
  <c r="P69" i="19"/>
  <c r="L14" i="22"/>
  <c r="M14" i="20" s="1"/>
  <c r="M168" i="20" s="1"/>
  <c r="S44" i="19"/>
  <c r="R105" i="19"/>
  <c r="S41" i="19"/>
  <c r="R102" i="19"/>
  <c r="Z79" i="2"/>
  <c r="Z89" i="2" s="1"/>
  <c r="U90" i="19"/>
  <c r="Q13" i="22" s="1"/>
  <c r="R13" i="20" s="1"/>
  <c r="R167" i="20" s="1"/>
  <c r="F113" i="19"/>
  <c r="F111" i="19" s="1"/>
  <c r="B16" i="22" s="1"/>
  <c r="C16" i="20" s="1"/>
  <c r="C170" i="20" s="1"/>
  <c r="V92" i="19"/>
  <c r="V29" i="19"/>
  <c r="R4" i="22" s="1"/>
  <c r="S13" i="21" s="1"/>
  <c r="V91" i="19"/>
  <c r="T67" i="5"/>
  <c r="T79" i="5"/>
  <c r="T89" i="5" s="1"/>
  <c r="S5" i="20" l="1"/>
  <c r="R8" i="20"/>
  <c r="R174" i="20" s="1"/>
  <c r="W10" i="1"/>
  <c r="W15" i="1"/>
  <c r="W18" i="1"/>
  <c r="W12" i="1"/>
  <c r="W13" i="1"/>
  <c r="W9" i="1"/>
  <c r="W19" i="1"/>
  <c r="W17" i="1"/>
  <c r="W16" i="1"/>
  <c r="T11" i="19"/>
  <c r="T9" i="19" s="1"/>
  <c r="P2" i="22" s="1"/>
  <c r="Q11" i="21" s="1"/>
  <c r="S9" i="19"/>
  <c r="O2" i="22" s="1"/>
  <c r="P11" i="21" s="1"/>
  <c r="T155" i="20"/>
  <c r="T165" i="20" s="1"/>
  <c r="T37" i="1"/>
  <c r="R93" i="19"/>
  <c r="N14" i="22" s="1"/>
  <c r="O14" i="20" s="1"/>
  <c r="T41" i="19"/>
  <c r="S102" i="19"/>
  <c r="M14" i="22"/>
  <c r="N14" i="20" s="1"/>
  <c r="Q69" i="19"/>
  <c r="T44" i="19"/>
  <c r="S105" i="19"/>
  <c r="T34" i="19"/>
  <c r="S32" i="19"/>
  <c r="O5" i="22" s="1"/>
  <c r="P14" i="21" s="1"/>
  <c r="S95" i="19"/>
  <c r="T42" i="19"/>
  <c r="S103" i="19"/>
  <c r="T43" i="19"/>
  <c r="S104" i="19"/>
  <c r="U47" i="19"/>
  <c r="Q6" i="22" s="1"/>
  <c r="R15" i="21" s="1"/>
  <c r="E48" i="19"/>
  <c r="G109" i="19" s="1"/>
  <c r="G108" i="19" s="1"/>
  <c r="C15" i="22" s="1"/>
  <c r="D15" i="20" s="1"/>
  <c r="D169" i="20" s="1"/>
  <c r="N23" i="20"/>
  <c r="O32" i="20" s="1"/>
  <c r="P41" i="20" s="1"/>
  <c r="Q50" i="20" s="1"/>
  <c r="R59" i="20" s="1"/>
  <c r="S68" i="20" s="1"/>
  <c r="T77" i="20" s="1"/>
  <c r="U86" i="20" s="1"/>
  <c r="T36" i="19"/>
  <c r="S97" i="19"/>
  <c r="T45" i="19"/>
  <c r="S106" i="19"/>
  <c r="S22" i="20"/>
  <c r="T31" i="20" s="1"/>
  <c r="U40" i="20" s="1"/>
  <c r="T35" i="19"/>
  <c r="S96" i="19"/>
  <c r="T38" i="19"/>
  <c r="S99" i="19"/>
  <c r="T18" i="19"/>
  <c r="S7" i="19"/>
  <c r="S16" i="19"/>
  <c r="O3" i="22" s="1"/>
  <c r="P12" i="21" s="1"/>
  <c r="D25" i="20"/>
  <c r="E34" i="20" s="1"/>
  <c r="F43" i="20" s="1"/>
  <c r="G52" i="20" s="1"/>
  <c r="H61" i="20" s="1"/>
  <c r="I70" i="20" s="1"/>
  <c r="J79" i="20" s="1"/>
  <c r="K88" i="20" s="1"/>
  <c r="L97" i="20" s="1"/>
  <c r="M106" i="20" s="1"/>
  <c r="N115" i="20" s="1"/>
  <c r="O124" i="20" s="1"/>
  <c r="P133" i="20" s="1"/>
  <c r="Q142" i="20" s="1"/>
  <c r="R151" i="20" s="1"/>
  <c r="S160" i="20" s="1"/>
  <c r="U98" i="20"/>
  <c r="T37" i="19"/>
  <c r="S98" i="19"/>
  <c r="W29" i="19"/>
  <c r="S4" i="22" s="1"/>
  <c r="T13" i="21" s="1"/>
  <c r="W91" i="19"/>
  <c r="W92" i="19"/>
  <c r="V90" i="19"/>
  <c r="R13" i="22" s="1"/>
  <c r="S13" i="20" s="1"/>
  <c r="G113" i="19"/>
  <c r="U67" i="5"/>
  <c r="U79" i="5"/>
  <c r="U89" i="5" s="1"/>
  <c r="T5" i="20" l="1"/>
  <c r="S8" i="20"/>
  <c r="S174" i="20" s="1"/>
  <c r="N168" i="20"/>
  <c r="R69" i="19"/>
  <c r="E11" i="19"/>
  <c r="F72" i="19" s="1"/>
  <c r="F70" i="19" s="1"/>
  <c r="B11" i="22" s="1"/>
  <c r="S167" i="20"/>
  <c r="X60" i="1"/>
  <c r="X33" i="1"/>
  <c r="U37" i="1"/>
  <c r="T16" i="19"/>
  <c r="P3" i="22" s="1"/>
  <c r="Q12" i="21" s="1"/>
  <c r="T7" i="19"/>
  <c r="E18" i="19"/>
  <c r="U37" i="19"/>
  <c r="T98" i="19"/>
  <c r="U36" i="19"/>
  <c r="T97" i="19"/>
  <c r="U38" i="19"/>
  <c r="T99" i="19"/>
  <c r="H109" i="19"/>
  <c r="I109" i="19" s="1"/>
  <c r="P23" i="20"/>
  <c r="Q32" i="20" s="1"/>
  <c r="R41" i="20" s="1"/>
  <c r="S50" i="20" s="1"/>
  <c r="T59" i="20" s="1"/>
  <c r="U68" i="20" s="1"/>
  <c r="U34" i="19"/>
  <c r="T95" i="19"/>
  <c r="T32" i="19"/>
  <c r="P5" i="22" s="1"/>
  <c r="Q14" i="21" s="1"/>
  <c r="U43" i="19"/>
  <c r="T104" i="19"/>
  <c r="U44" i="19"/>
  <c r="T105" i="19"/>
  <c r="E24" i="20"/>
  <c r="F33" i="20" s="1"/>
  <c r="G42" i="20" s="1"/>
  <c r="H51" i="20" s="1"/>
  <c r="I60" i="20" s="1"/>
  <c r="J69" i="20" s="1"/>
  <c r="K78" i="20" s="1"/>
  <c r="L87" i="20" s="1"/>
  <c r="M96" i="20" s="1"/>
  <c r="N105" i="20" s="1"/>
  <c r="O114" i="20" s="1"/>
  <c r="P123" i="20" s="1"/>
  <c r="Q132" i="20" s="1"/>
  <c r="R141" i="20" s="1"/>
  <c r="S150" i="20" s="1"/>
  <c r="T159" i="20" s="1"/>
  <c r="T22" i="20"/>
  <c r="U31" i="20" s="1"/>
  <c r="U35" i="19"/>
  <c r="T96" i="19"/>
  <c r="U45" i="19"/>
  <c r="T106" i="19"/>
  <c r="U42" i="19"/>
  <c r="T103" i="19"/>
  <c r="O23" i="20"/>
  <c r="P32" i="20" s="1"/>
  <c r="Q41" i="20" s="1"/>
  <c r="R50" i="20" s="1"/>
  <c r="S59" i="20" s="1"/>
  <c r="T68" i="20" s="1"/>
  <c r="U77" i="20" s="1"/>
  <c r="U89" i="20"/>
  <c r="U179" i="20" s="1"/>
  <c r="S93" i="19"/>
  <c r="U41" i="19"/>
  <c r="T102" i="19"/>
  <c r="X92" i="19"/>
  <c r="W90" i="19"/>
  <c r="S13" i="22" s="1"/>
  <c r="T13" i="20" s="1"/>
  <c r="G111" i="19"/>
  <c r="C16" i="22" s="1"/>
  <c r="D16" i="20" s="1"/>
  <c r="D170" i="20" s="1"/>
  <c r="H113" i="19"/>
  <c r="X29" i="19"/>
  <c r="T4" i="22" s="1"/>
  <c r="U13" i="21" s="1"/>
  <c r="X91" i="19"/>
  <c r="V67" i="5"/>
  <c r="V79" i="5"/>
  <c r="V89" i="5" s="1"/>
  <c r="T167" i="20" l="1"/>
  <c r="U5" i="20"/>
  <c r="U8" i="20" s="1"/>
  <c r="U174" i="20" s="1"/>
  <c r="T8" i="20"/>
  <c r="T174" i="20" s="1"/>
  <c r="C165" i="20"/>
  <c r="C11" i="20"/>
  <c r="D20" i="20" s="1"/>
  <c r="D165" i="20" s="1"/>
  <c r="E70" i="19"/>
  <c r="H108" i="19"/>
  <c r="D15" i="22" s="1"/>
  <c r="E15" i="20" s="1"/>
  <c r="E169" i="20" s="1"/>
  <c r="O168" i="20"/>
  <c r="V37" i="1"/>
  <c r="U80" i="20"/>
  <c r="V36" i="19"/>
  <c r="U97" i="19"/>
  <c r="T93" i="19"/>
  <c r="V41" i="19"/>
  <c r="U102" i="19"/>
  <c r="V43" i="19"/>
  <c r="U104" i="19"/>
  <c r="V34" i="19"/>
  <c r="U32" i="19"/>
  <c r="Q5" i="22" s="1"/>
  <c r="R14" i="21" s="1"/>
  <c r="U95" i="19"/>
  <c r="U7" i="19"/>
  <c r="O14" i="22"/>
  <c r="P14" i="20" s="1"/>
  <c r="P168" i="20" s="1"/>
  <c r="S69" i="19"/>
  <c r="U71" i="20"/>
  <c r="U178" i="20" s="1"/>
  <c r="V35" i="19"/>
  <c r="U96" i="19"/>
  <c r="V37" i="19"/>
  <c r="U98" i="19"/>
  <c r="E25" i="20"/>
  <c r="F34" i="20" s="1"/>
  <c r="G43" i="20" s="1"/>
  <c r="H52" i="20" s="1"/>
  <c r="I61" i="20" s="1"/>
  <c r="J70" i="20" s="1"/>
  <c r="K79" i="20" s="1"/>
  <c r="L88" i="20" s="1"/>
  <c r="M97" i="20" s="1"/>
  <c r="N106" i="20" s="1"/>
  <c r="O115" i="20" s="1"/>
  <c r="P124" i="20" s="1"/>
  <c r="Q133" i="20" s="1"/>
  <c r="R142" i="20" s="1"/>
  <c r="S151" i="20" s="1"/>
  <c r="T160" i="20" s="1"/>
  <c r="V42" i="19"/>
  <c r="U103" i="19"/>
  <c r="F79" i="19"/>
  <c r="F77" i="19" s="1"/>
  <c r="F69" i="19" s="1"/>
  <c r="U22" i="20"/>
  <c r="V45" i="19"/>
  <c r="U106" i="19"/>
  <c r="V44" i="19"/>
  <c r="U105" i="19"/>
  <c r="V38" i="19"/>
  <c r="U99" i="19"/>
  <c r="J109" i="19"/>
  <c r="I108" i="19"/>
  <c r="E15" i="22" s="1"/>
  <c r="F15" i="20" s="1"/>
  <c r="X90" i="19"/>
  <c r="T13" i="22" s="1"/>
  <c r="U13" i="20" s="1"/>
  <c r="H111" i="19"/>
  <c r="D16" i="22" s="1"/>
  <c r="E16" i="20" s="1"/>
  <c r="I113" i="19"/>
  <c r="W67" i="5"/>
  <c r="W79" i="5"/>
  <c r="W89" i="5" s="1"/>
  <c r="U167" i="20" l="1"/>
  <c r="E29" i="20"/>
  <c r="E165" i="20" s="1"/>
  <c r="F24" i="20"/>
  <c r="G33" i="20" s="1"/>
  <c r="H42" i="20" s="1"/>
  <c r="I51" i="20" s="1"/>
  <c r="J60" i="20" s="1"/>
  <c r="K69" i="20" s="1"/>
  <c r="L78" i="20" s="1"/>
  <c r="M87" i="20" s="1"/>
  <c r="N96" i="20" s="1"/>
  <c r="O105" i="20" s="1"/>
  <c r="P114" i="20" s="1"/>
  <c r="Q123" i="20" s="1"/>
  <c r="R132" i="20" s="1"/>
  <c r="S141" i="20" s="1"/>
  <c r="T150" i="20" s="1"/>
  <c r="U159" i="20" s="1"/>
  <c r="E170" i="20"/>
  <c r="G79" i="19"/>
  <c r="G77" i="19" s="1"/>
  <c r="F38" i="20"/>
  <c r="F165" i="20" s="1"/>
  <c r="W43" i="19"/>
  <c r="V104" i="19"/>
  <c r="W45" i="19"/>
  <c r="V106" i="19"/>
  <c r="Q23" i="20"/>
  <c r="R32" i="20" s="1"/>
  <c r="S41" i="20" s="1"/>
  <c r="T50" i="20" s="1"/>
  <c r="U59" i="20" s="1"/>
  <c r="W41" i="19"/>
  <c r="V102" i="19"/>
  <c r="P14" i="22"/>
  <c r="Q14" i="20" s="1"/>
  <c r="T69" i="19"/>
  <c r="B12" i="22"/>
  <c r="C12" i="20" s="1"/>
  <c r="C166" i="20" s="1"/>
  <c r="W42" i="19"/>
  <c r="V103" i="19"/>
  <c r="W37" i="19"/>
  <c r="V98" i="19"/>
  <c r="U93" i="19"/>
  <c r="W44" i="19"/>
  <c r="V105" i="19"/>
  <c r="F25" i="20"/>
  <c r="G34" i="20" s="1"/>
  <c r="H43" i="20" s="1"/>
  <c r="I52" i="20" s="1"/>
  <c r="J61" i="20" s="1"/>
  <c r="K70" i="20" s="1"/>
  <c r="L79" i="20" s="1"/>
  <c r="M88" i="20" s="1"/>
  <c r="N97" i="20" s="1"/>
  <c r="O106" i="20" s="1"/>
  <c r="P115" i="20" s="1"/>
  <c r="Q124" i="20" s="1"/>
  <c r="R133" i="20" s="1"/>
  <c r="S142" i="20" s="1"/>
  <c r="T151" i="20" s="1"/>
  <c r="U160" i="20" s="1"/>
  <c r="W38" i="19"/>
  <c r="V99" i="19"/>
  <c r="G24" i="20"/>
  <c r="H33" i="20" s="1"/>
  <c r="I42" i="20" s="1"/>
  <c r="J51" i="20" s="1"/>
  <c r="K60" i="20" s="1"/>
  <c r="L69" i="20" s="1"/>
  <c r="M78" i="20" s="1"/>
  <c r="N87" i="20" s="1"/>
  <c r="O96" i="20" s="1"/>
  <c r="P105" i="20" s="1"/>
  <c r="Q114" i="20" s="1"/>
  <c r="R123" i="20" s="1"/>
  <c r="S132" i="20" s="1"/>
  <c r="T141" i="20" s="1"/>
  <c r="U150" i="20" s="1"/>
  <c r="W35" i="19"/>
  <c r="V96" i="19"/>
  <c r="W34" i="19"/>
  <c r="V32" i="19"/>
  <c r="R5" i="22" s="1"/>
  <c r="S14" i="21" s="1"/>
  <c r="V95" i="19"/>
  <c r="V7" i="19"/>
  <c r="W36" i="19"/>
  <c r="V97" i="19"/>
  <c r="X79" i="5"/>
  <c r="X89" i="5" s="1"/>
  <c r="X67" i="5"/>
  <c r="E30" i="19"/>
  <c r="J113" i="19"/>
  <c r="I111" i="19"/>
  <c r="E16" i="22" s="1"/>
  <c r="F16" i="20" s="1"/>
  <c r="E31" i="19"/>
  <c r="K109" i="19"/>
  <c r="J108" i="19"/>
  <c r="F15" i="22" s="1"/>
  <c r="G15" i="20" s="1"/>
  <c r="G169" i="20" s="1"/>
  <c r="H79" i="19" l="1"/>
  <c r="G69" i="19"/>
  <c r="C12" i="22"/>
  <c r="F169" i="20"/>
  <c r="F170" i="20"/>
  <c r="Q168" i="20"/>
  <c r="X50" i="1"/>
  <c r="X42" i="1"/>
  <c r="X21" i="1"/>
  <c r="X14" i="5" s="1"/>
  <c r="X11" i="1"/>
  <c r="X4" i="5" s="1"/>
  <c r="X79" i="1"/>
  <c r="X60" i="5" s="1"/>
  <c r="X76" i="1"/>
  <c r="X71" i="1"/>
  <c r="X63" i="1"/>
  <c r="X44" i="5" s="1"/>
  <c r="X48" i="1"/>
  <c r="X64" i="1"/>
  <c r="X17" i="1"/>
  <c r="X10" i="5" s="1"/>
  <c r="X41" i="1"/>
  <c r="X52" i="1"/>
  <c r="X47" i="1"/>
  <c r="X16" i="1"/>
  <c r="X9" i="5" s="1"/>
  <c r="X51" i="1"/>
  <c r="X18" i="1"/>
  <c r="X11" i="5" s="1"/>
  <c r="X69" i="1"/>
  <c r="X72" i="1"/>
  <c r="X38" i="1"/>
  <c r="X49" i="1"/>
  <c r="X65" i="1"/>
  <c r="X68" i="1"/>
  <c r="X36" i="1"/>
  <c r="X23" i="5" s="1"/>
  <c r="X39" i="1"/>
  <c r="X53" i="1"/>
  <c r="X40" i="5" s="1"/>
  <c r="X77" i="1"/>
  <c r="X80" i="1"/>
  <c r="X61" i="5" s="1"/>
  <c r="X46" i="1"/>
  <c r="X70" i="1"/>
  <c r="X73" i="1"/>
  <c r="X22" i="1"/>
  <c r="X15" i="5" s="1"/>
  <c r="X74" i="1"/>
  <c r="X66" i="1"/>
  <c r="X26" i="1"/>
  <c r="X19" i="5" s="1"/>
  <c r="X54" i="1"/>
  <c r="X41" i="5" s="1"/>
  <c r="X78" i="1"/>
  <c r="X81" i="1"/>
  <c r="X62" i="5" s="1"/>
  <c r="X40" i="1"/>
  <c r="X13" i="1"/>
  <c r="X6" i="5" s="1"/>
  <c r="X10" i="1"/>
  <c r="X3" i="5" s="1"/>
  <c r="X37" i="1"/>
  <c r="X67" i="1"/>
  <c r="X9" i="1"/>
  <c r="X2" i="5" s="1"/>
  <c r="X14" i="1"/>
  <c r="X7" i="5" s="1"/>
  <c r="X43" i="1"/>
  <c r="X12" i="1"/>
  <c r="X5" i="5" s="1"/>
  <c r="X44" i="1"/>
  <c r="X23" i="1"/>
  <c r="X16" i="5" s="1"/>
  <c r="X20" i="1"/>
  <c r="X13" i="5" s="1"/>
  <c r="X45" i="1"/>
  <c r="X75" i="1"/>
  <c r="X19" i="1"/>
  <c r="X12" i="5" s="1"/>
  <c r="X24" i="1"/>
  <c r="X17" i="5" s="1"/>
  <c r="X15" i="1"/>
  <c r="X8" i="5" s="1"/>
  <c r="X27" i="1"/>
  <c r="X20" i="5" s="1"/>
  <c r="X25" i="1"/>
  <c r="X18" i="5" s="1"/>
  <c r="W37" i="1"/>
  <c r="D12" i="20"/>
  <c r="D21" i="20"/>
  <c r="E30" i="20" s="1"/>
  <c r="F39" i="20" s="1"/>
  <c r="G48" i="20" s="1"/>
  <c r="H57" i="20" s="1"/>
  <c r="I66" i="20" s="1"/>
  <c r="J75" i="20" s="1"/>
  <c r="K84" i="20" s="1"/>
  <c r="L93" i="20" s="1"/>
  <c r="M102" i="20" s="1"/>
  <c r="N111" i="20" s="1"/>
  <c r="O120" i="20" s="1"/>
  <c r="P129" i="20" s="1"/>
  <c r="Q138" i="20" s="1"/>
  <c r="R147" i="20" s="1"/>
  <c r="S156" i="20" s="1"/>
  <c r="X41" i="19"/>
  <c r="W102" i="19"/>
  <c r="X43" i="19"/>
  <c r="W104" i="19"/>
  <c r="X36" i="19"/>
  <c r="W97" i="19"/>
  <c r="H77" i="19"/>
  <c r="I79" i="19"/>
  <c r="G25" i="20"/>
  <c r="H34" i="20" s="1"/>
  <c r="I43" i="20" s="1"/>
  <c r="J52" i="20" s="1"/>
  <c r="K61" i="20" s="1"/>
  <c r="L70" i="20" s="1"/>
  <c r="M79" i="20" s="1"/>
  <c r="N88" i="20" s="1"/>
  <c r="O97" i="20" s="1"/>
  <c r="P106" i="20" s="1"/>
  <c r="Q115" i="20" s="1"/>
  <c r="R124" i="20" s="1"/>
  <c r="S133" i="20" s="1"/>
  <c r="T142" i="20" s="1"/>
  <c r="U151" i="20" s="1"/>
  <c r="Q14" i="22"/>
  <c r="R14" i="20" s="1"/>
  <c r="U69" i="19"/>
  <c r="R23" i="20"/>
  <c r="S32" i="20" s="1"/>
  <c r="T41" i="20" s="1"/>
  <c r="U50" i="20" s="1"/>
  <c r="U62" i="20"/>
  <c r="V93" i="19"/>
  <c r="X44" i="19"/>
  <c r="W105" i="19"/>
  <c r="X37" i="19"/>
  <c r="W98" i="19"/>
  <c r="G47" i="20"/>
  <c r="G165" i="20" s="1"/>
  <c r="H24" i="20"/>
  <c r="I33" i="20" s="1"/>
  <c r="J42" i="20" s="1"/>
  <c r="K51" i="20" s="1"/>
  <c r="L60" i="20" s="1"/>
  <c r="M69" i="20" s="1"/>
  <c r="N78" i="20" s="1"/>
  <c r="O87" i="20" s="1"/>
  <c r="P96" i="20" s="1"/>
  <c r="Q105" i="20" s="1"/>
  <c r="R114" i="20" s="1"/>
  <c r="S123" i="20" s="1"/>
  <c r="T132" i="20" s="1"/>
  <c r="U141" i="20" s="1"/>
  <c r="X34" i="19"/>
  <c r="W7" i="19"/>
  <c r="W95" i="19"/>
  <c r="W32" i="19"/>
  <c r="S5" i="22" s="1"/>
  <c r="T14" i="21" s="1"/>
  <c r="X38" i="19"/>
  <c r="W99" i="19"/>
  <c r="X35" i="19"/>
  <c r="W96" i="19"/>
  <c r="X42" i="19"/>
  <c r="W103" i="19"/>
  <c r="X45" i="19"/>
  <c r="W106" i="19"/>
  <c r="L109" i="19"/>
  <c r="K108" i="19"/>
  <c r="G15" i="22" s="1"/>
  <c r="H15" i="20" s="1"/>
  <c r="K113" i="19"/>
  <c r="J111" i="19"/>
  <c r="F16" i="22" s="1"/>
  <c r="G16" i="20" s="1"/>
  <c r="D80" i="10"/>
  <c r="C80" i="10"/>
  <c r="B80" i="10"/>
  <c r="D79" i="10"/>
  <c r="C79" i="10"/>
  <c r="B79" i="10"/>
  <c r="D78" i="10"/>
  <c r="C78" i="10"/>
  <c r="B78" i="10"/>
  <c r="D77" i="10"/>
  <c r="C77" i="10"/>
  <c r="B77" i="10"/>
  <c r="D76" i="10"/>
  <c r="C76" i="10"/>
  <c r="B76" i="10"/>
  <c r="D75" i="10"/>
  <c r="C75" i="10"/>
  <c r="B75" i="10"/>
  <c r="D74" i="10"/>
  <c r="C74" i="10"/>
  <c r="B74" i="10"/>
  <c r="D73" i="10"/>
  <c r="C73" i="10"/>
  <c r="B73" i="10"/>
  <c r="O72" i="10"/>
  <c r="D72" i="10"/>
  <c r="C72" i="10"/>
  <c r="B72" i="10"/>
  <c r="O71" i="10"/>
  <c r="D71" i="10"/>
  <c r="C71" i="10"/>
  <c r="B71" i="10"/>
  <c r="O70" i="10"/>
  <c r="D70" i="10"/>
  <c r="C70" i="10"/>
  <c r="B70" i="10"/>
  <c r="O69" i="10"/>
  <c r="D69" i="10"/>
  <c r="C69" i="10"/>
  <c r="B69" i="10"/>
  <c r="O68" i="10"/>
  <c r="D68" i="10"/>
  <c r="C68" i="10"/>
  <c r="B68" i="10"/>
  <c r="O67" i="10"/>
  <c r="D67" i="10"/>
  <c r="C67" i="10"/>
  <c r="B67" i="10"/>
  <c r="O66" i="10"/>
  <c r="D66" i="10"/>
  <c r="C66" i="10"/>
  <c r="B66" i="10"/>
  <c r="O65" i="10"/>
  <c r="D65" i="10"/>
  <c r="C65" i="10"/>
  <c r="B65" i="10"/>
  <c r="O64" i="10"/>
  <c r="D64" i="10"/>
  <c r="C64" i="10"/>
  <c r="B64" i="10"/>
  <c r="O63" i="10"/>
  <c r="D63" i="10"/>
  <c r="C63" i="10"/>
  <c r="B63" i="10"/>
  <c r="O62" i="10"/>
  <c r="D62" i="10"/>
  <c r="C62" i="10"/>
  <c r="B62" i="10"/>
  <c r="V61" i="10"/>
  <c r="U61" i="10"/>
  <c r="T61" i="10"/>
  <c r="S61" i="10"/>
  <c r="R61" i="10"/>
  <c r="O61" i="10"/>
  <c r="D61" i="10"/>
  <c r="C61" i="10"/>
  <c r="B61" i="10"/>
  <c r="V60" i="10"/>
  <c r="U60" i="10"/>
  <c r="T60" i="10"/>
  <c r="S60" i="10"/>
  <c r="R60" i="10"/>
  <c r="Q60" i="10"/>
  <c r="O60" i="10"/>
  <c r="D60" i="10"/>
  <c r="C60" i="10"/>
  <c r="B60" i="10"/>
  <c r="V59" i="10"/>
  <c r="U59" i="10"/>
  <c r="T59" i="10"/>
  <c r="S59" i="10"/>
  <c r="R59" i="10"/>
  <c r="Q59" i="10"/>
  <c r="O59" i="10"/>
  <c r="D59" i="10"/>
  <c r="C59" i="10"/>
  <c r="B59" i="10"/>
  <c r="Y58" i="10"/>
  <c r="X58" i="10"/>
  <c r="W58" i="10"/>
  <c r="V58" i="10"/>
  <c r="U58" i="10"/>
  <c r="T58" i="10"/>
  <c r="S58" i="10"/>
  <c r="R58" i="10"/>
  <c r="Q58" i="10"/>
  <c r="O58" i="10"/>
  <c r="D58" i="10"/>
  <c r="C58" i="10"/>
  <c r="B58" i="10"/>
  <c r="D53" i="10"/>
  <c r="C53" i="10"/>
  <c r="B53" i="10"/>
  <c r="D52" i="10"/>
  <c r="C52" i="10"/>
  <c r="B52" i="10"/>
  <c r="D51" i="10"/>
  <c r="C51" i="10"/>
  <c r="B51" i="10"/>
  <c r="D50" i="10"/>
  <c r="C50" i="10"/>
  <c r="B50" i="10"/>
  <c r="D49" i="10"/>
  <c r="C49" i="10"/>
  <c r="B49" i="10"/>
  <c r="O48" i="10"/>
  <c r="D48" i="10"/>
  <c r="C48" i="10"/>
  <c r="B48" i="10"/>
  <c r="O47" i="10"/>
  <c r="D47" i="10"/>
  <c r="C47" i="10"/>
  <c r="B47" i="10"/>
  <c r="O46" i="10"/>
  <c r="D46" i="10"/>
  <c r="C46" i="10"/>
  <c r="B46" i="10"/>
  <c r="O45" i="10"/>
  <c r="D45" i="10"/>
  <c r="C45" i="10"/>
  <c r="B45" i="10"/>
  <c r="O44" i="10"/>
  <c r="D44" i="10"/>
  <c r="C44" i="10"/>
  <c r="B44" i="10"/>
  <c r="O43" i="10"/>
  <c r="D43" i="10"/>
  <c r="C43" i="10"/>
  <c r="B43" i="10"/>
  <c r="O42" i="10"/>
  <c r="D42" i="10"/>
  <c r="C42" i="10"/>
  <c r="B42" i="10"/>
  <c r="O41" i="10"/>
  <c r="D41" i="10"/>
  <c r="C41" i="10"/>
  <c r="B41" i="10"/>
  <c r="O40" i="10"/>
  <c r="D40" i="10"/>
  <c r="C40" i="10"/>
  <c r="B40" i="10"/>
  <c r="O39" i="10"/>
  <c r="D39" i="10"/>
  <c r="C39" i="10"/>
  <c r="B39" i="10"/>
  <c r="O38" i="10"/>
  <c r="D38" i="10"/>
  <c r="C38" i="10"/>
  <c r="B38" i="10"/>
  <c r="O37" i="10"/>
  <c r="D37" i="10"/>
  <c r="C37" i="10"/>
  <c r="B37" i="10"/>
  <c r="O36" i="10"/>
  <c r="D36" i="10"/>
  <c r="C36" i="10"/>
  <c r="B36" i="10"/>
  <c r="O35" i="10"/>
  <c r="D35" i="10"/>
  <c r="C35" i="10"/>
  <c r="B35" i="10"/>
  <c r="V34" i="10"/>
  <c r="U34" i="10"/>
  <c r="T34" i="10"/>
  <c r="S34" i="10"/>
  <c r="R34" i="10"/>
  <c r="Q34" i="10"/>
  <c r="O34" i="10"/>
  <c r="D34" i="10"/>
  <c r="C34" i="10"/>
  <c r="B34" i="10"/>
  <c r="V33" i="10"/>
  <c r="U33" i="10"/>
  <c r="T33" i="10"/>
  <c r="S33" i="10"/>
  <c r="R33" i="10"/>
  <c r="Q33" i="10"/>
  <c r="O33" i="10"/>
  <c r="D33" i="10"/>
  <c r="C33" i="10"/>
  <c r="B33" i="10"/>
  <c r="V32" i="10"/>
  <c r="U32" i="10"/>
  <c r="T32" i="10"/>
  <c r="S32" i="10"/>
  <c r="R32" i="10"/>
  <c r="Q32" i="10"/>
  <c r="O32" i="10"/>
  <c r="D32" i="10"/>
  <c r="C32" i="10"/>
  <c r="B32" i="10"/>
  <c r="Y31" i="10"/>
  <c r="X31" i="10"/>
  <c r="V31" i="10"/>
  <c r="U31" i="10"/>
  <c r="T31" i="10"/>
  <c r="S31" i="10"/>
  <c r="R31" i="10"/>
  <c r="O31" i="10"/>
  <c r="D31" i="10"/>
  <c r="C31" i="10"/>
  <c r="H169" i="20" l="1"/>
  <c r="X68" i="5"/>
  <c r="R168" i="20"/>
  <c r="G170" i="20"/>
  <c r="D166" i="20"/>
  <c r="I24" i="20"/>
  <c r="J33" i="20" s="1"/>
  <c r="K42" i="20" s="1"/>
  <c r="L51" i="20" s="1"/>
  <c r="M60" i="20" s="1"/>
  <c r="N69" i="20" s="1"/>
  <c r="O78" i="20" s="1"/>
  <c r="P87" i="20" s="1"/>
  <c r="Q96" i="20" s="1"/>
  <c r="R105" i="20" s="1"/>
  <c r="S114" i="20" s="1"/>
  <c r="T123" i="20" s="1"/>
  <c r="U132" i="20" s="1"/>
  <c r="X98" i="19"/>
  <c r="J79" i="19"/>
  <c r="I77" i="19"/>
  <c r="X106" i="19"/>
  <c r="H56" i="20"/>
  <c r="H165" i="20" s="1"/>
  <c r="U53" i="20"/>
  <c r="U177" i="20" s="1"/>
  <c r="X97" i="19"/>
  <c r="X102" i="19"/>
  <c r="X105" i="19"/>
  <c r="X103" i="19"/>
  <c r="W93" i="19"/>
  <c r="D12" i="22"/>
  <c r="E12" i="20" s="1"/>
  <c r="H69" i="19"/>
  <c r="X99" i="19"/>
  <c r="S23" i="20"/>
  <c r="T32" i="20" s="1"/>
  <c r="U41" i="20" s="1"/>
  <c r="E34" i="19"/>
  <c r="X95" i="19"/>
  <c r="X32" i="19"/>
  <c r="T5" i="22" s="1"/>
  <c r="U14" i="21" s="1"/>
  <c r="X7" i="19"/>
  <c r="R14" i="22"/>
  <c r="S14" i="20" s="1"/>
  <c r="V69" i="19"/>
  <c r="H25" i="20"/>
  <c r="I34" i="20" s="1"/>
  <c r="J43" i="20" s="1"/>
  <c r="K52" i="20" s="1"/>
  <c r="L61" i="20" s="1"/>
  <c r="M70" i="20" s="1"/>
  <c r="N79" i="20" s="1"/>
  <c r="O88" i="20" s="1"/>
  <c r="P97" i="20" s="1"/>
  <c r="Q106" i="20" s="1"/>
  <c r="R115" i="20" s="1"/>
  <c r="S124" i="20" s="1"/>
  <c r="T133" i="20" s="1"/>
  <c r="U142" i="20" s="1"/>
  <c r="X96" i="19"/>
  <c r="X104" i="19"/>
  <c r="E21" i="20"/>
  <c r="F30" i="20" s="1"/>
  <c r="G39" i="20" s="1"/>
  <c r="H48" i="20" s="1"/>
  <c r="I57" i="20" s="1"/>
  <c r="J66" i="20" s="1"/>
  <c r="K75" i="20" s="1"/>
  <c r="L84" i="20" s="1"/>
  <c r="M93" i="20" s="1"/>
  <c r="N102" i="20" s="1"/>
  <c r="O111" i="20" s="1"/>
  <c r="P120" i="20" s="1"/>
  <c r="Q129" i="20" s="1"/>
  <c r="R138" i="20" s="1"/>
  <c r="S147" i="20" s="1"/>
  <c r="T156" i="20" s="1"/>
  <c r="Z59" i="10"/>
  <c r="Z58" i="10"/>
  <c r="E90" i="19"/>
  <c r="K111" i="19"/>
  <c r="G16" i="22" s="1"/>
  <c r="H16" i="20" s="1"/>
  <c r="L113" i="19"/>
  <c r="L111" i="19" s="1"/>
  <c r="L108" i="19"/>
  <c r="H15" i="22" s="1"/>
  <c r="I15" i="20" s="1"/>
  <c r="I169" i="20" s="1"/>
  <c r="M109" i="19"/>
  <c r="H170" i="20" l="1"/>
  <c r="S168" i="20"/>
  <c r="E166" i="20"/>
  <c r="E37" i="19"/>
  <c r="E43" i="19"/>
  <c r="T23" i="20"/>
  <c r="U32" i="20" s="1"/>
  <c r="F21" i="20"/>
  <c r="G30" i="20" s="1"/>
  <c r="H39" i="20" s="1"/>
  <c r="I48" i="20" s="1"/>
  <c r="J57" i="20" s="1"/>
  <c r="K66" i="20" s="1"/>
  <c r="L75" i="20" s="1"/>
  <c r="M84" i="20" s="1"/>
  <c r="N93" i="20" s="1"/>
  <c r="O102" i="20" s="1"/>
  <c r="P111" i="20" s="1"/>
  <c r="Q120" i="20" s="1"/>
  <c r="R129" i="20" s="1"/>
  <c r="S138" i="20" s="1"/>
  <c r="T147" i="20" s="1"/>
  <c r="U156" i="20" s="1"/>
  <c r="U161" i="20" s="1"/>
  <c r="U183" i="20" s="1"/>
  <c r="I65" i="20"/>
  <c r="I165" i="20" s="1"/>
  <c r="I25" i="20"/>
  <c r="J34" i="20" s="1"/>
  <c r="K43" i="20" s="1"/>
  <c r="L52" i="20" s="1"/>
  <c r="M61" i="20" s="1"/>
  <c r="N70" i="20" s="1"/>
  <c r="O79" i="20" s="1"/>
  <c r="P88" i="20" s="1"/>
  <c r="Q97" i="20" s="1"/>
  <c r="R106" i="20" s="1"/>
  <c r="S115" i="20" s="1"/>
  <c r="T124" i="20" s="1"/>
  <c r="U133" i="20" s="1"/>
  <c r="E44" i="19"/>
  <c r="E41" i="19"/>
  <c r="E45" i="19"/>
  <c r="U44" i="20"/>
  <c r="W69" i="19"/>
  <c r="S14" i="22"/>
  <c r="T14" i="20" s="1"/>
  <c r="J24" i="20"/>
  <c r="K33" i="20" s="1"/>
  <c r="L42" i="20" s="1"/>
  <c r="M51" i="20" s="1"/>
  <c r="N60" i="20" s="1"/>
  <c r="O69" i="20" s="1"/>
  <c r="P78" i="20" s="1"/>
  <c r="Q87" i="20" s="1"/>
  <c r="R96" i="20" s="1"/>
  <c r="S105" i="20" s="1"/>
  <c r="T114" i="20" s="1"/>
  <c r="U123" i="20" s="1"/>
  <c r="E35" i="19"/>
  <c r="E42" i="19"/>
  <c r="E36" i="19"/>
  <c r="E7" i="19"/>
  <c r="E38" i="19"/>
  <c r="J77" i="19"/>
  <c r="K79" i="19"/>
  <c r="X93" i="19"/>
  <c r="E12" i="22"/>
  <c r="F12" i="20" s="1"/>
  <c r="I69" i="19"/>
  <c r="E111" i="19"/>
  <c r="H16" i="22"/>
  <c r="I16" i="20" s="1"/>
  <c r="M108" i="19"/>
  <c r="I15" i="22" s="1"/>
  <c r="J15" i="20" s="1"/>
  <c r="C44" i="5"/>
  <c r="D44" i="5"/>
  <c r="E44" i="5"/>
  <c r="C23" i="5"/>
  <c r="D23" i="5"/>
  <c r="E23" i="5"/>
  <c r="AF111" i="9"/>
  <c r="Q111" i="9"/>
  <c r="AF110" i="9"/>
  <c r="Q110" i="9"/>
  <c r="AF109" i="9"/>
  <c r="Q109" i="9"/>
  <c r="AF108" i="9"/>
  <c r="Q108" i="9"/>
  <c r="AF107" i="9"/>
  <c r="Q107" i="9"/>
  <c r="AF106" i="9"/>
  <c r="Q106" i="9"/>
  <c r="AF105" i="9"/>
  <c r="Q105" i="9"/>
  <c r="AF104" i="9"/>
  <c r="Q104" i="9"/>
  <c r="AF103" i="9"/>
  <c r="Q103" i="9"/>
  <c r="AF102" i="9"/>
  <c r="Q102" i="9"/>
  <c r="AF101" i="9"/>
  <c r="Q101" i="9"/>
  <c r="AF100" i="9"/>
  <c r="Q100" i="9"/>
  <c r="AF99" i="9"/>
  <c r="Q99" i="9"/>
  <c r="AF98" i="9"/>
  <c r="Q98" i="9"/>
  <c r="AF97" i="9"/>
  <c r="Q97" i="9"/>
  <c r="AF96" i="9"/>
  <c r="Q96" i="9"/>
  <c r="AF95" i="9"/>
  <c r="Q95" i="9"/>
  <c r="AF94" i="9"/>
  <c r="Q94" i="9"/>
  <c r="AF93" i="9"/>
  <c r="Q93" i="9"/>
  <c r="AF92" i="9"/>
  <c r="AA92" i="9"/>
  <c r="Z92" i="9"/>
  <c r="Y92" i="9"/>
  <c r="X92" i="9"/>
  <c r="W92" i="9"/>
  <c r="V92" i="9"/>
  <c r="Q92" i="9"/>
  <c r="AF91" i="9"/>
  <c r="AA91" i="9"/>
  <c r="Z91" i="9"/>
  <c r="Y91" i="9"/>
  <c r="X91" i="9"/>
  <c r="W91" i="9"/>
  <c r="V91" i="9"/>
  <c r="Q91" i="9"/>
  <c r="AF90" i="9"/>
  <c r="AD90" i="9"/>
  <c r="AC90" i="9"/>
  <c r="AB90" i="9"/>
  <c r="AL90" i="9" s="1"/>
  <c r="AA90" i="9"/>
  <c r="Z90" i="9"/>
  <c r="Y90" i="9"/>
  <c r="X90" i="9"/>
  <c r="W90" i="9"/>
  <c r="V90" i="9"/>
  <c r="Q90" i="9"/>
  <c r="AF89" i="9"/>
  <c r="AD89" i="9"/>
  <c r="AC89" i="9"/>
  <c r="AA89" i="9"/>
  <c r="Z89" i="9"/>
  <c r="Y89" i="9"/>
  <c r="X89" i="9"/>
  <c r="W89" i="9"/>
  <c r="V89" i="9"/>
  <c r="Q89" i="9"/>
  <c r="AF83" i="9"/>
  <c r="AE83" i="9"/>
  <c r="Q83" i="9"/>
  <c r="AF82" i="9"/>
  <c r="AE82" i="9"/>
  <c r="Q82" i="9"/>
  <c r="AF81" i="9"/>
  <c r="AE81" i="9"/>
  <c r="Q81" i="9"/>
  <c r="AF80" i="9"/>
  <c r="AE80" i="9"/>
  <c r="Q80" i="9"/>
  <c r="AF79" i="9"/>
  <c r="AE79" i="9"/>
  <c r="Q79" i="9"/>
  <c r="AF78" i="9"/>
  <c r="AE78" i="9"/>
  <c r="Q78" i="9"/>
  <c r="AF77" i="9"/>
  <c r="AE77" i="9"/>
  <c r="Q77" i="9"/>
  <c r="AF76" i="9"/>
  <c r="AE76" i="9"/>
  <c r="Q76" i="9"/>
  <c r="AF75" i="9"/>
  <c r="AE75" i="9"/>
  <c r="Q75" i="9"/>
  <c r="AF74" i="9"/>
  <c r="AE74" i="9"/>
  <c r="Q74" i="9"/>
  <c r="AF73" i="9"/>
  <c r="AE73" i="9"/>
  <c r="Q73" i="9"/>
  <c r="AF72" i="9"/>
  <c r="AE72" i="9"/>
  <c r="Q72" i="9"/>
  <c r="AF71" i="9"/>
  <c r="AE71" i="9"/>
  <c r="Q71" i="9"/>
  <c r="AF70" i="9"/>
  <c r="AE70" i="9"/>
  <c r="Q70" i="9"/>
  <c r="AF69" i="9"/>
  <c r="AE69" i="9"/>
  <c r="Q69" i="9"/>
  <c r="AF68" i="9"/>
  <c r="AE68" i="9"/>
  <c r="Q68" i="9"/>
  <c r="AF67" i="9"/>
  <c r="AE67" i="9"/>
  <c r="Q67" i="9"/>
  <c r="AF66" i="9"/>
  <c r="AE66" i="9"/>
  <c r="Q66" i="9"/>
  <c r="AF65" i="9"/>
  <c r="AE65" i="9"/>
  <c r="Q65" i="9"/>
  <c r="AF64" i="9"/>
  <c r="AA64" i="9"/>
  <c r="Z64" i="9"/>
  <c r="Y64" i="9"/>
  <c r="X64" i="9"/>
  <c r="W64" i="9"/>
  <c r="V64" i="9"/>
  <c r="Q64" i="9"/>
  <c r="AF63" i="9"/>
  <c r="AA63" i="9"/>
  <c r="Z63" i="9"/>
  <c r="Y63" i="9"/>
  <c r="X63" i="9"/>
  <c r="W63" i="9"/>
  <c r="V63" i="9"/>
  <c r="Q63" i="9"/>
  <c r="AF62" i="9"/>
  <c r="AD62" i="9"/>
  <c r="AC62" i="9"/>
  <c r="AB62" i="9"/>
  <c r="AL62" i="9" s="1"/>
  <c r="AA62" i="9"/>
  <c r="Z62" i="9"/>
  <c r="Y62" i="9"/>
  <c r="X62" i="9"/>
  <c r="W62" i="9"/>
  <c r="V62" i="9"/>
  <c r="Q62" i="9"/>
  <c r="AF61" i="9"/>
  <c r="AD61" i="9"/>
  <c r="AC61" i="9"/>
  <c r="AA61" i="9"/>
  <c r="Z61" i="9"/>
  <c r="Y61" i="9"/>
  <c r="X61" i="9"/>
  <c r="W61" i="9"/>
  <c r="V61" i="9"/>
  <c r="Q61" i="9"/>
  <c r="AF55" i="9"/>
  <c r="AE55" i="9"/>
  <c r="Q55" i="9"/>
  <c r="AF54" i="9"/>
  <c r="AE54" i="9"/>
  <c r="Q54" i="9"/>
  <c r="AF53" i="9"/>
  <c r="AE53" i="9"/>
  <c r="Q53" i="9"/>
  <c r="AF52" i="9"/>
  <c r="AE52" i="9"/>
  <c r="Q52" i="9"/>
  <c r="AF51" i="9"/>
  <c r="AE51" i="9"/>
  <c r="Q51" i="9"/>
  <c r="AF50" i="9"/>
  <c r="AE50" i="9"/>
  <c r="Q50" i="9"/>
  <c r="AF49" i="9"/>
  <c r="AE49" i="9"/>
  <c r="Q49" i="9"/>
  <c r="AF48" i="9"/>
  <c r="AE48" i="9"/>
  <c r="Q48" i="9"/>
  <c r="AF47" i="9"/>
  <c r="AE47" i="9"/>
  <c r="Q47" i="9"/>
  <c r="AF46" i="9"/>
  <c r="AE46" i="9"/>
  <c r="Q46" i="9"/>
  <c r="AF45" i="9"/>
  <c r="AE45" i="9"/>
  <c r="Q45" i="9"/>
  <c r="AF44" i="9"/>
  <c r="AE44" i="9"/>
  <c r="Q44" i="9"/>
  <c r="AF43" i="9"/>
  <c r="AE43" i="9"/>
  <c r="Q43" i="9"/>
  <c r="AF42" i="9"/>
  <c r="AE42" i="9"/>
  <c r="Q42" i="9"/>
  <c r="AF41" i="9"/>
  <c r="AE41" i="9"/>
  <c r="Q41" i="9"/>
  <c r="AF40" i="9"/>
  <c r="AE40" i="9"/>
  <c r="Q40" i="9"/>
  <c r="AF39" i="9"/>
  <c r="AE39" i="9"/>
  <c r="Q39" i="9"/>
  <c r="AF38" i="9"/>
  <c r="AE38" i="9"/>
  <c r="Q38" i="9"/>
  <c r="AF37" i="9"/>
  <c r="AE37" i="9"/>
  <c r="Q37" i="9"/>
  <c r="AF36" i="9"/>
  <c r="AA36" i="9"/>
  <c r="Z36" i="9"/>
  <c r="Y36" i="9"/>
  <c r="X36" i="9"/>
  <c r="W36" i="9"/>
  <c r="V36" i="9"/>
  <c r="Q36" i="9"/>
  <c r="AF35" i="9"/>
  <c r="AA35" i="9"/>
  <c r="Z35" i="9"/>
  <c r="Y35" i="9"/>
  <c r="X35" i="9"/>
  <c r="W35" i="9"/>
  <c r="V35" i="9"/>
  <c r="Q35" i="9"/>
  <c r="AF34" i="9"/>
  <c r="AD34" i="9"/>
  <c r="AC34" i="9"/>
  <c r="AB34" i="9"/>
  <c r="AL34" i="9" s="1"/>
  <c r="AA34" i="9"/>
  <c r="Z34" i="9"/>
  <c r="Y34" i="9"/>
  <c r="X34" i="9"/>
  <c r="W34" i="9"/>
  <c r="V34" i="9"/>
  <c r="Q34" i="9"/>
  <c r="AF33" i="9"/>
  <c r="AD33" i="9"/>
  <c r="AC33" i="9"/>
  <c r="AA33" i="9"/>
  <c r="Z33" i="9"/>
  <c r="Y33" i="9"/>
  <c r="X33" i="9"/>
  <c r="W33" i="9"/>
  <c r="V33" i="9"/>
  <c r="Q33" i="9"/>
  <c r="AG5" i="9"/>
  <c r="T168" i="20" l="1"/>
  <c r="AG34" i="9"/>
  <c r="AK33" i="9"/>
  <c r="R35" i="9"/>
  <c r="R90" i="9"/>
  <c r="AK90" i="9"/>
  <c r="AM90" i="9" s="1"/>
  <c r="AN90" i="9" s="1"/>
  <c r="R62" i="9"/>
  <c r="AK62" i="9"/>
  <c r="AM62" i="9" s="1"/>
  <c r="AN62" i="9" s="1"/>
  <c r="AG90" i="9"/>
  <c r="R34" i="9"/>
  <c r="AK34" i="9"/>
  <c r="AM34" i="9" s="1"/>
  <c r="AN34" i="9" s="1"/>
  <c r="AG62" i="9"/>
  <c r="R91" i="9"/>
  <c r="R92" i="9"/>
  <c r="R63" i="9"/>
  <c r="R64" i="9"/>
  <c r="R36" i="9"/>
  <c r="R89" i="9"/>
  <c r="AK89" i="9"/>
  <c r="R61" i="9"/>
  <c r="AK61" i="9"/>
  <c r="F166" i="20"/>
  <c r="I170" i="20"/>
  <c r="J169" i="20"/>
  <c r="E6" i="19"/>
  <c r="E8" i="19"/>
  <c r="K24" i="20"/>
  <c r="K169" i="20" s="1"/>
  <c r="U35" i="20"/>
  <c r="U176" i="20" s="1"/>
  <c r="F12" i="22"/>
  <c r="G12" i="20" s="1"/>
  <c r="G166" i="20" s="1"/>
  <c r="J69" i="19"/>
  <c r="J25" i="20"/>
  <c r="J170" i="20" s="1"/>
  <c r="U23" i="20"/>
  <c r="E93" i="19"/>
  <c r="X69" i="19"/>
  <c r="T14" i="22"/>
  <c r="U14" i="20" s="1"/>
  <c r="J74" i="20"/>
  <c r="J165" i="20" s="1"/>
  <c r="G21" i="20"/>
  <c r="H30" i="20" s="1"/>
  <c r="I39" i="20" s="1"/>
  <c r="J48" i="20" s="1"/>
  <c r="K57" i="20" s="1"/>
  <c r="L66" i="20" s="1"/>
  <c r="M75" i="20" s="1"/>
  <c r="N84" i="20" s="1"/>
  <c r="O93" i="20" s="1"/>
  <c r="P102" i="20" s="1"/>
  <c r="Q111" i="20" s="1"/>
  <c r="R120" i="20" s="1"/>
  <c r="S129" i="20" s="1"/>
  <c r="T138" i="20" s="1"/>
  <c r="U147" i="20" s="1"/>
  <c r="L79" i="19"/>
  <c r="L77" i="19" s="1"/>
  <c r="K77" i="19"/>
  <c r="AH5" i="9"/>
  <c r="M69" i="19"/>
  <c r="E108" i="19"/>
  <c r="B3" i="5"/>
  <c r="U34" i="9" l="1"/>
  <c r="AH34" i="9"/>
  <c r="AI34" i="9" s="1"/>
  <c r="U92" i="9"/>
  <c r="U89" i="9"/>
  <c r="U64" i="9"/>
  <c r="U91" i="9"/>
  <c r="U35" i="9"/>
  <c r="U168" i="20"/>
  <c r="U61" i="9"/>
  <c r="U36" i="9"/>
  <c r="U63" i="9"/>
  <c r="U62" i="9"/>
  <c r="AH62" i="9"/>
  <c r="AI62" i="9" s="1"/>
  <c r="U90" i="9"/>
  <c r="AH90" i="9"/>
  <c r="AI90" i="9" s="1"/>
  <c r="E77" i="19"/>
  <c r="E67" i="19" s="1"/>
  <c r="K34" i="20"/>
  <c r="K170" i="20" s="1"/>
  <c r="G12" i="22"/>
  <c r="H12" i="20" s="1"/>
  <c r="K69" i="19"/>
  <c r="H21" i="20"/>
  <c r="I30" i="20" s="1"/>
  <c r="J39" i="20" s="1"/>
  <c r="K48" i="20" s="1"/>
  <c r="L57" i="20" s="1"/>
  <c r="M66" i="20" s="1"/>
  <c r="N75" i="20" s="1"/>
  <c r="O84" i="20" s="1"/>
  <c r="P93" i="20" s="1"/>
  <c r="Q102" i="20" s="1"/>
  <c r="R111" i="20" s="1"/>
  <c r="S120" i="20" s="1"/>
  <c r="T129" i="20" s="1"/>
  <c r="U138" i="20" s="1"/>
  <c r="U152" i="20"/>
  <c r="H12" i="22"/>
  <c r="I12" i="20" s="1"/>
  <c r="K83" i="20"/>
  <c r="K165" i="20" s="1"/>
  <c r="L69" i="19"/>
  <c r="U17" i="20"/>
  <c r="U26" i="20"/>
  <c r="L33" i="20"/>
  <c r="L169" i="20" s="1"/>
  <c r="B24" i="2"/>
  <c r="B3" i="2"/>
  <c r="H166" i="20" l="1"/>
  <c r="E69" i="19"/>
  <c r="U143" i="20"/>
  <c r="U182" i="20" s="1"/>
  <c r="L92" i="20"/>
  <c r="L165" i="20" s="1"/>
  <c r="J21" i="20"/>
  <c r="I21" i="20"/>
  <c r="J30" i="20" s="1"/>
  <c r="K39" i="20" s="1"/>
  <c r="L48" i="20" s="1"/>
  <c r="M57" i="20" s="1"/>
  <c r="N66" i="20" s="1"/>
  <c r="O75" i="20" s="1"/>
  <c r="P84" i="20" s="1"/>
  <c r="Q93" i="20" s="1"/>
  <c r="R102" i="20" s="1"/>
  <c r="S111" i="20" s="1"/>
  <c r="T120" i="20" s="1"/>
  <c r="U129" i="20" s="1"/>
  <c r="M42" i="20"/>
  <c r="M169" i="20" s="1"/>
  <c r="U175" i="20"/>
  <c r="L43" i="20"/>
  <c r="L170" i="20" s="1"/>
  <c r="X59" i="2"/>
  <c r="Y59" i="2" s="1"/>
  <c r="Z59" i="2" s="1"/>
  <c r="W58" i="2"/>
  <c r="X58" i="2" s="1"/>
  <c r="Y58" i="2" s="1"/>
  <c r="Z58" i="2" s="1"/>
  <c r="V57" i="2"/>
  <c r="W57" i="2" s="1"/>
  <c r="X57" i="2" s="1"/>
  <c r="Y57" i="2" s="1"/>
  <c r="Z57" i="2" s="1"/>
  <c r="U56" i="2"/>
  <c r="V56" i="2" s="1"/>
  <c r="W56" i="2" s="1"/>
  <c r="X56" i="2" s="1"/>
  <c r="Y56" i="2" s="1"/>
  <c r="Z56" i="2" s="1"/>
  <c r="T55" i="2"/>
  <c r="U55" i="2" s="1"/>
  <c r="V55" i="2" s="1"/>
  <c r="W55" i="2" s="1"/>
  <c r="X55" i="2" s="1"/>
  <c r="Y55" i="2" s="1"/>
  <c r="Z55" i="2" s="1"/>
  <c r="S54" i="2"/>
  <c r="T54" i="2" s="1"/>
  <c r="U54" i="2" s="1"/>
  <c r="V54" i="2" s="1"/>
  <c r="W54" i="2" s="1"/>
  <c r="X54" i="2" s="1"/>
  <c r="Y54" i="2" s="1"/>
  <c r="Z54" i="2" s="1"/>
  <c r="R53" i="2"/>
  <c r="S53" i="2" s="1"/>
  <c r="T53" i="2" s="1"/>
  <c r="U53" i="2" s="1"/>
  <c r="V53" i="2" s="1"/>
  <c r="W53" i="2" s="1"/>
  <c r="X53" i="2" s="1"/>
  <c r="Y53" i="2" s="1"/>
  <c r="Z53" i="2" s="1"/>
  <c r="Q52" i="2"/>
  <c r="R52" i="2" s="1"/>
  <c r="S52" i="2" s="1"/>
  <c r="T52" i="2" s="1"/>
  <c r="U52" i="2" s="1"/>
  <c r="V52" i="2" s="1"/>
  <c r="W52" i="2" s="1"/>
  <c r="X52" i="2" s="1"/>
  <c r="Y52" i="2" s="1"/>
  <c r="Z52" i="2" s="1"/>
  <c r="P51" i="2"/>
  <c r="Q51" i="2" s="1"/>
  <c r="R51" i="2" s="1"/>
  <c r="S51" i="2" s="1"/>
  <c r="T51" i="2" s="1"/>
  <c r="U51" i="2" s="1"/>
  <c r="V51" i="2" s="1"/>
  <c r="W51" i="2" s="1"/>
  <c r="X51" i="2" s="1"/>
  <c r="Y51" i="2" s="1"/>
  <c r="Z51" i="2" s="1"/>
  <c r="O50" i="2"/>
  <c r="P50" i="2" s="1"/>
  <c r="Q50" i="2" s="1"/>
  <c r="R50" i="2" s="1"/>
  <c r="S50" i="2" s="1"/>
  <c r="T50" i="2" s="1"/>
  <c r="U50" i="2" s="1"/>
  <c r="V50" i="2" s="1"/>
  <c r="W50" i="2" s="1"/>
  <c r="X50" i="2" s="1"/>
  <c r="Y50" i="2" s="1"/>
  <c r="Z50" i="2" s="1"/>
  <c r="N49" i="2"/>
  <c r="O49" i="2" s="1"/>
  <c r="P49" i="2" s="1"/>
  <c r="Q49" i="2" s="1"/>
  <c r="R49" i="2" s="1"/>
  <c r="S49" i="2" s="1"/>
  <c r="T49" i="2" s="1"/>
  <c r="U49" i="2" s="1"/>
  <c r="V49" i="2" s="1"/>
  <c r="W49" i="2" s="1"/>
  <c r="X49" i="2" s="1"/>
  <c r="Y49" i="2" s="1"/>
  <c r="Z49" i="2" s="1"/>
  <c r="M48" i="2"/>
  <c r="N48" i="2" s="1"/>
  <c r="O48" i="2" s="1"/>
  <c r="P48" i="2" s="1"/>
  <c r="Q48" i="2" s="1"/>
  <c r="R48" i="2" s="1"/>
  <c r="S48" i="2" s="1"/>
  <c r="T48" i="2" s="1"/>
  <c r="U48" i="2" s="1"/>
  <c r="V48" i="2" s="1"/>
  <c r="W48" i="2" s="1"/>
  <c r="X48" i="2" s="1"/>
  <c r="Y48" i="2" s="1"/>
  <c r="Z48" i="2" s="1"/>
  <c r="L47" i="2"/>
  <c r="M47" i="2" s="1"/>
  <c r="N47" i="2" s="1"/>
  <c r="O47" i="2" s="1"/>
  <c r="P47" i="2" s="1"/>
  <c r="Q47" i="2" s="1"/>
  <c r="R47" i="2" s="1"/>
  <c r="S47" i="2" s="1"/>
  <c r="T47" i="2" s="1"/>
  <c r="U47" i="2" s="1"/>
  <c r="V47" i="2" s="1"/>
  <c r="W47" i="2" s="1"/>
  <c r="X47" i="2" s="1"/>
  <c r="Y47" i="2" s="1"/>
  <c r="Z47" i="2" s="1"/>
  <c r="K46" i="2"/>
  <c r="L46" i="2" s="1"/>
  <c r="M46" i="2" s="1"/>
  <c r="N46" i="2" s="1"/>
  <c r="O46" i="2" s="1"/>
  <c r="P46" i="2" s="1"/>
  <c r="Q46" i="2" s="1"/>
  <c r="R46" i="2" s="1"/>
  <c r="S46" i="2" s="1"/>
  <c r="T46" i="2" s="1"/>
  <c r="U46" i="2" s="1"/>
  <c r="V46" i="2" s="1"/>
  <c r="W46" i="2" s="1"/>
  <c r="X46" i="2" s="1"/>
  <c r="Y46" i="2" s="1"/>
  <c r="Z46" i="2" s="1"/>
  <c r="J45" i="2"/>
  <c r="Y39" i="2"/>
  <c r="Z39" i="2" s="1"/>
  <c r="X38" i="2"/>
  <c r="Y38" i="2" s="1"/>
  <c r="Z38" i="2" s="1"/>
  <c r="W37" i="2"/>
  <c r="X37" i="2" s="1"/>
  <c r="Y37" i="2" s="1"/>
  <c r="Z37" i="2" s="1"/>
  <c r="V36" i="2"/>
  <c r="W36" i="2" s="1"/>
  <c r="X36" i="2" s="1"/>
  <c r="Y36" i="2" s="1"/>
  <c r="Z36" i="2" s="1"/>
  <c r="U35" i="2"/>
  <c r="V35" i="2" s="1"/>
  <c r="W35" i="2" s="1"/>
  <c r="X35" i="2" s="1"/>
  <c r="Y35" i="2" s="1"/>
  <c r="Z35" i="2" s="1"/>
  <c r="T34" i="2"/>
  <c r="U34" i="2" s="1"/>
  <c r="V34" i="2" s="1"/>
  <c r="W34" i="2" s="1"/>
  <c r="X34" i="2" s="1"/>
  <c r="Y34" i="2" s="1"/>
  <c r="Z34" i="2" s="1"/>
  <c r="S33" i="2"/>
  <c r="T33" i="2" s="1"/>
  <c r="U33" i="2" s="1"/>
  <c r="V33" i="2" s="1"/>
  <c r="W33" i="2" s="1"/>
  <c r="X33" i="2" s="1"/>
  <c r="Y33" i="2" s="1"/>
  <c r="Z33" i="2" s="1"/>
  <c r="R32" i="2"/>
  <c r="S32" i="2" s="1"/>
  <c r="T32" i="2" s="1"/>
  <c r="U32" i="2" s="1"/>
  <c r="V32" i="2" s="1"/>
  <c r="W32" i="2" s="1"/>
  <c r="X32" i="2" s="1"/>
  <c r="Y32" i="2" s="1"/>
  <c r="Z32" i="2" s="1"/>
  <c r="Q31" i="2"/>
  <c r="R31" i="2" s="1"/>
  <c r="S31" i="2" s="1"/>
  <c r="T31" i="2" s="1"/>
  <c r="U31" i="2" s="1"/>
  <c r="V31" i="2" s="1"/>
  <c r="W31" i="2" s="1"/>
  <c r="X31" i="2" s="1"/>
  <c r="Y31" i="2" s="1"/>
  <c r="Z31" i="2" s="1"/>
  <c r="P30" i="2"/>
  <c r="Q30" i="2" s="1"/>
  <c r="R30" i="2" s="1"/>
  <c r="S30" i="2" s="1"/>
  <c r="T30" i="2" s="1"/>
  <c r="U30" i="2" s="1"/>
  <c r="V30" i="2" s="1"/>
  <c r="W30" i="2" s="1"/>
  <c r="X30" i="2" s="1"/>
  <c r="Y30" i="2" s="1"/>
  <c r="Z30" i="2" s="1"/>
  <c r="O29" i="2"/>
  <c r="P29" i="2" s="1"/>
  <c r="Q29" i="2" s="1"/>
  <c r="R29" i="2" s="1"/>
  <c r="S29" i="2" s="1"/>
  <c r="T29" i="2" s="1"/>
  <c r="U29" i="2" s="1"/>
  <c r="V29" i="2" s="1"/>
  <c r="W29" i="2" s="1"/>
  <c r="X29" i="2" s="1"/>
  <c r="Y29" i="2" s="1"/>
  <c r="Z29" i="2" s="1"/>
  <c r="N28" i="2"/>
  <c r="O28" i="2" s="1"/>
  <c r="P28" i="2" s="1"/>
  <c r="Q28" i="2" s="1"/>
  <c r="R28" i="2" s="1"/>
  <c r="S28" i="2" s="1"/>
  <c r="T28" i="2" s="1"/>
  <c r="U28" i="2" s="1"/>
  <c r="V28" i="2" s="1"/>
  <c r="W28" i="2" s="1"/>
  <c r="X28" i="2" s="1"/>
  <c r="Y28" i="2" s="1"/>
  <c r="Z28" i="2" s="1"/>
  <c r="M27" i="2"/>
  <c r="N27" i="2" s="1"/>
  <c r="O27" i="2" s="1"/>
  <c r="P27" i="2" s="1"/>
  <c r="Q27" i="2" s="1"/>
  <c r="R27" i="2" s="1"/>
  <c r="S27" i="2" s="1"/>
  <c r="T27" i="2" s="1"/>
  <c r="U27" i="2" s="1"/>
  <c r="V27" i="2" s="1"/>
  <c r="W27" i="2" s="1"/>
  <c r="X27" i="2" s="1"/>
  <c r="Y27" i="2" s="1"/>
  <c r="Z27" i="2" s="1"/>
  <c r="L26" i="2"/>
  <c r="M26" i="2" s="1"/>
  <c r="N26" i="2" s="1"/>
  <c r="O26" i="2" s="1"/>
  <c r="P26" i="2" s="1"/>
  <c r="Q26" i="2" s="1"/>
  <c r="R26" i="2" s="1"/>
  <c r="S26" i="2" s="1"/>
  <c r="T26" i="2" s="1"/>
  <c r="U26" i="2" s="1"/>
  <c r="V26" i="2" s="1"/>
  <c r="W26" i="2" s="1"/>
  <c r="X26" i="2" s="1"/>
  <c r="Y26" i="2" s="1"/>
  <c r="Z26" i="2" s="1"/>
  <c r="K25" i="2"/>
  <c r="L25" i="2" s="1"/>
  <c r="M25" i="2" s="1"/>
  <c r="N25" i="2" s="1"/>
  <c r="O25" i="2" s="1"/>
  <c r="P25" i="2" s="1"/>
  <c r="Q25" i="2" s="1"/>
  <c r="R25" i="2" s="1"/>
  <c r="S25" i="2" s="1"/>
  <c r="T25" i="2" s="1"/>
  <c r="U25" i="2" s="1"/>
  <c r="V25" i="2" s="1"/>
  <c r="W25" i="2" s="1"/>
  <c r="X25" i="2" s="1"/>
  <c r="Y25" i="2" s="1"/>
  <c r="Z25" i="2" s="1"/>
  <c r="J24" i="2"/>
  <c r="J166" i="20" l="1"/>
  <c r="I166" i="20"/>
  <c r="J69" i="2"/>
  <c r="K45" i="2"/>
  <c r="J70" i="2"/>
  <c r="K24" i="2"/>
  <c r="N51" i="20"/>
  <c r="N169" i="20" s="1"/>
  <c r="K30" i="20"/>
  <c r="K166" i="20" s="1"/>
  <c r="M52" i="20"/>
  <c r="M170" i="20" s="1"/>
  <c r="M101" i="20"/>
  <c r="M165" i="20" s="1"/>
  <c r="U134" i="20"/>
  <c r="X55" i="5"/>
  <c r="X48" i="5"/>
  <c r="X56" i="5"/>
  <c r="X34" i="5"/>
  <c r="X35" i="5"/>
  <c r="X36" i="5"/>
  <c r="X49" i="5"/>
  <c r="X57" i="5"/>
  <c r="X47" i="5"/>
  <c r="X29" i="5"/>
  <c r="X37" i="5"/>
  <c r="X50" i="5"/>
  <c r="X58" i="5"/>
  <c r="X27" i="5"/>
  <c r="X30" i="5"/>
  <c r="X38" i="5"/>
  <c r="X51" i="5"/>
  <c r="X59" i="5"/>
  <c r="X26" i="5"/>
  <c r="X28" i="5"/>
  <c r="X31" i="5"/>
  <c r="X39" i="5"/>
  <c r="X52" i="5"/>
  <c r="X32" i="5"/>
  <c r="X53" i="5"/>
  <c r="X25" i="5"/>
  <c r="X33" i="5"/>
  <c r="X46" i="5"/>
  <c r="X54" i="5"/>
  <c r="W80" i="1"/>
  <c r="W79" i="1"/>
  <c r="V79" i="1"/>
  <c r="W78" i="1"/>
  <c r="V78" i="1"/>
  <c r="U78" i="1"/>
  <c r="W77" i="1"/>
  <c r="V77" i="1"/>
  <c r="U77" i="1"/>
  <c r="T77" i="1"/>
  <c r="W76" i="1"/>
  <c r="V76" i="1"/>
  <c r="U76" i="1"/>
  <c r="T76" i="1"/>
  <c r="S76" i="1"/>
  <c r="W75" i="1"/>
  <c r="V75" i="1"/>
  <c r="U75" i="1"/>
  <c r="T75" i="1"/>
  <c r="S75" i="1"/>
  <c r="R75" i="1"/>
  <c r="W74" i="1"/>
  <c r="V74" i="1"/>
  <c r="U74" i="1"/>
  <c r="T74" i="1"/>
  <c r="S74" i="1"/>
  <c r="R74" i="1"/>
  <c r="Q74" i="1"/>
  <c r="W73" i="1"/>
  <c r="V73" i="1"/>
  <c r="U73" i="1"/>
  <c r="T73" i="1"/>
  <c r="S73" i="1"/>
  <c r="R73" i="1"/>
  <c r="Q73" i="1"/>
  <c r="P73" i="1"/>
  <c r="W72" i="1"/>
  <c r="V72" i="1"/>
  <c r="U72" i="1"/>
  <c r="T72" i="1"/>
  <c r="S72" i="1"/>
  <c r="R72" i="1"/>
  <c r="Q72" i="1"/>
  <c r="P72" i="1"/>
  <c r="O72" i="1"/>
  <c r="W71" i="1"/>
  <c r="V71" i="1"/>
  <c r="U71" i="1"/>
  <c r="T71" i="1"/>
  <c r="S71" i="1"/>
  <c r="R71" i="1"/>
  <c r="Q71" i="1"/>
  <c r="P71" i="1"/>
  <c r="O71" i="1"/>
  <c r="N71" i="1"/>
  <c r="W70" i="1"/>
  <c r="V70" i="1"/>
  <c r="U70" i="1"/>
  <c r="T70" i="1"/>
  <c r="S70" i="1"/>
  <c r="R70" i="1"/>
  <c r="Q70" i="1"/>
  <c r="P70" i="1"/>
  <c r="O70" i="1"/>
  <c r="N70" i="1"/>
  <c r="M70" i="1"/>
  <c r="W69" i="1"/>
  <c r="V69" i="1"/>
  <c r="U69" i="1"/>
  <c r="T69" i="1"/>
  <c r="S69" i="1"/>
  <c r="R69" i="1"/>
  <c r="Q69" i="1"/>
  <c r="P69" i="1"/>
  <c r="O69" i="1"/>
  <c r="N69" i="1"/>
  <c r="M69" i="1"/>
  <c r="L69" i="1"/>
  <c r="W68" i="1"/>
  <c r="V68" i="1"/>
  <c r="U68" i="1"/>
  <c r="T68" i="1"/>
  <c r="S68" i="1"/>
  <c r="R68" i="1"/>
  <c r="Q68" i="1"/>
  <c r="P68" i="1"/>
  <c r="O68" i="1"/>
  <c r="N68" i="1"/>
  <c r="M68" i="1"/>
  <c r="L68" i="1"/>
  <c r="K68" i="1"/>
  <c r="W67" i="1"/>
  <c r="V67" i="1"/>
  <c r="U67" i="1"/>
  <c r="T67" i="1"/>
  <c r="S67" i="1"/>
  <c r="R67" i="1"/>
  <c r="Q67" i="1"/>
  <c r="P67" i="1"/>
  <c r="O67" i="1"/>
  <c r="N67" i="1"/>
  <c r="M67" i="1"/>
  <c r="L67" i="1"/>
  <c r="K67" i="1"/>
  <c r="J67" i="1"/>
  <c r="W66" i="1"/>
  <c r="V66" i="1"/>
  <c r="U66" i="1"/>
  <c r="T66" i="1"/>
  <c r="S66" i="1"/>
  <c r="R66" i="1"/>
  <c r="Q66" i="1"/>
  <c r="P66" i="1"/>
  <c r="O66" i="1"/>
  <c r="N66" i="1"/>
  <c r="M66" i="1"/>
  <c r="L66" i="1"/>
  <c r="K66" i="1"/>
  <c r="J66" i="1"/>
  <c r="I66" i="1"/>
  <c r="W65" i="1"/>
  <c r="V65" i="1"/>
  <c r="U65" i="1"/>
  <c r="T65" i="1"/>
  <c r="S65" i="1"/>
  <c r="R65" i="1"/>
  <c r="Q65" i="1"/>
  <c r="P65" i="1"/>
  <c r="O65" i="1"/>
  <c r="N65" i="1"/>
  <c r="M65" i="1"/>
  <c r="L65" i="1"/>
  <c r="K65" i="1"/>
  <c r="J65" i="1"/>
  <c r="I65" i="1"/>
  <c r="H65" i="1"/>
  <c r="K69" i="2" l="1"/>
  <c r="L45" i="2"/>
  <c r="K70" i="2"/>
  <c r="L24" i="2"/>
  <c r="N61" i="20"/>
  <c r="N170" i="20" s="1"/>
  <c r="L39" i="20"/>
  <c r="L166" i="20" s="1"/>
  <c r="N110" i="20"/>
  <c r="N165" i="20" s="1"/>
  <c r="O60" i="20"/>
  <c r="O169" i="20" s="1"/>
  <c r="D73" i="5"/>
  <c r="E73" i="5" s="1"/>
  <c r="F73" i="5" s="1"/>
  <c r="G73" i="5" s="1"/>
  <c r="H73" i="5" s="1"/>
  <c r="I73" i="5" s="1"/>
  <c r="J73" i="5" s="1"/>
  <c r="K73" i="5" s="1"/>
  <c r="L73" i="5" s="1"/>
  <c r="M73" i="5" s="1"/>
  <c r="N73" i="5" s="1"/>
  <c r="O73" i="5" s="1"/>
  <c r="P73" i="5" s="1"/>
  <c r="Q73" i="5" s="1"/>
  <c r="R73" i="5" s="1"/>
  <c r="S73" i="5" s="1"/>
  <c r="T73" i="5" s="1"/>
  <c r="U73" i="5" s="1"/>
  <c r="V73" i="5" s="1"/>
  <c r="W73" i="5" s="1"/>
  <c r="X73" i="5" s="1"/>
  <c r="E168" i="7"/>
  <c r="E132" i="7"/>
  <c r="E128" i="7"/>
  <c r="E123" i="7"/>
  <c r="E136" i="7"/>
  <c r="D136" i="7"/>
  <c r="E135" i="7"/>
  <c r="D135" i="7"/>
  <c r="E134" i="7"/>
  <c r="D134" i="7"/>
  <c r="E133" i="7"/>
  <c r="D133" i="7"/>
  <c r="E131" i="7"/>
  <c r="D131" i="7"/>
  <c r="E130" i="7"/>
  <c r="D130" i="7"/>
  <c r="E129" i="7"/>
  <c r="D129" i="7"/>
  <c r="D128" i="7"/>
  <c r="E127" i="7"/>
  <c r="D127" i="7"/>
  <c r="E126" i="7"/>
  <c r="D126" i="7"/>
  <c r="E125" i="7"/>
  <c r="D125" i="7"/>
  <c r="E124" i="7"/>
  <c r="D123" i="7"/>
  <c r="E122" i="7"/>
  <c r="D122" i="7"/>
  <c r="E121" i="7"/>
  <c r="D121" i="7"/>
  <c r="E120" i="7"/>
  <c r="D120" i="7"/>
  <c r="E119" i="7"/>
  <c r="D119" i="7"/>
  <c r="E118" i="7"/>
  <c r="E117" i="7"/>
  <c r="D117" i="7"/>
  <c r="E116" i="7"/>
  <c r="E115" i="7"/>
  <c r="E114" i="7"/>
  <c r="D114" i="7"/>
  <c r="D32" i="7"/>
  <c r="W64" i="5"/>
  <c r="V64" i="5"/>
  <c r="U64" i="5"/>
  <c r="T64" i="5"/>
  <c r="S64" i="5"/>
  <c r="R64" i="5"/>
  <c r="Q64" i="5"/>
  <c r="P64" i="5"/>
  <c r="O64" i="5"/>
  <c r="N64" i="5"/>
  <c r="M64" i="5"/>
  <c r="L64" i="5"/>
  <c r="K64" i="5"/>
  <c r="J64" i="5"/>
  <c r="I64" i="5"/>
  <c r="H64" i="5"/>
  <c r="G64" i="5"/>
  <c r="F64" i="5"/>
  <c r="E64" i="5"/>
  <c r="D64" i="5"/>
  <c r="C64" i="5"/>
  <c r="W63" i="5"/>
  <c r="V63" i="5"/>
  <c r="U63" i="5"/>
  <c r="T63" i="5"/>
  <c r="S63" i="5"/>
  <c r="R63" i="5"/>
  <c r="Q63" i="5"/>
  <c r="P63" i="5"/>
  <c r="O63" i="5"/>
  <c r="N63" i="5"/>
  <c r="M63" i="5"/>
  <c r="L63" i="5"/>
  <c r="K63" i="5"/>
  <c r="J63" i="5"/>
  <c r="I63" i="5"/>
  <c r="H63" i="5"/>
  <c r="G63" i="5"/>
  <c r="F63" i="5"/>
  <c r="E63" i="5"/>
  <c r="D63" i="5"/>
  <c r="C63" i="5"/>
  <c r="W62" i="5"/>
  <c r="V62" i="5"/>
  <c r="U62" i="5"/>
  <c r="T62" i="5"/>
  <c r="S62" i="5"/>
  <c r="R62" i="5"/>
  <c r="Q62" i="5"/>
  <c r="P62" i="5"/>
  <c r="O62" i="5"/>
  <c r="N62" i="5"/>
  <c r="M62" i="5"/>
  <c r="L62" i="5"/>
  <c r="K62" i="5"/>
  <c r="J62" i="5"/>
  <c r="I62" i="5"/>
  <c r="H62" i="5"/>
  <c r="G62" i="5"/>
  <c r="F62" i="5"/>
  <c r="E62" i="5"/>
  <c r="D62" i="5"/>
  <c r="C62" i="5"/>
  <c r="V61" i="5"/>
  <c r="U61" i="5"/>
  <c r="T61" i="5"/>
  <c r="S61" i="5"/>
  <c r="R61" i="5"/>
  <c r="Q61" i="5"/>
  <c r="P61" i="5"/>
  <c r="O61" i="5"/>
  <c r="N61" i="5"/>
  <c r="M61" i="5"/>
  <c r="L61" i="5"/>
  <c r="K61" i="5"/>
  <c r="J61" i="5"/>
  <c r="I61" i="5"/>
  <c r="H61" i="5"/>
  <c r="G61" i="5"/>
  <c r="F61" i="5"/>
  <c r="E61" i="5"/>
  <c r="D61" i="5"/>
  <c r="C61" i="5"/>
  <c r="U60" i="5"/>
  <c r="T60" i="5"/>
  <c r="S60" i="5"/>
  <c r="R60" i="5"/>
  <c r="Q60" i="5"/>
  <c r="P60" i="5"/>
  <c r="O60" i="5"/>
  <c r="N60" i="5"/>
  <c r="M60" i="5"/>
  <c r="L60" i="5"/>
  <c r="K60" i="5"/>
  <c r="J60" i="5"/>
  <c r="I60" i="5"/>
  <c r="H60" i="5"/>
  <c r="G60" i="5"/>
  <c r="F60" i="5"/>
  <c r="E60" i="5"/>
  <c r="D60" i="5"/>
  <c r="C60" i="5"/>
  <c r="T59" i="5"/>
  <c r="S59" i="5"/>
  <c r="R59" i="5"/>
  <c r="Q59" i="5"/>
  <c r="P59" i="5"/>
  <c r="O59" i="5"/>
  <c r="N59" i="5"/>
  <c r="M59" i="5"/>
  <c r="L59" i="5"/>
  <c r="K59" i="5"/>
  <c r="J59" i="5"/>
  <c r="I59" i="5"/>
  <c r="H59" i="5"/>
  <c r="G59" i="5"/>
  <c r="F59" i="5"/>
  <c r="E59" i="5"/>
  <c r="D59" i="5"/>
  <c r="C59" i="5"/>
  <c r="S58" i="5"/>
  <c r="R58" i="5"/>
  <c r="Q58" i="5"/>
  <c r="P58" i="5"/>
  <c r="O58" i="5"/>
  <c r="N58" i="5"/>
  <c r="M58" i="5"/>
  <c r="L58" i="5"/>
  <c r="K58" i="5"/>
  <c r="J58" i="5"/>
  <c r="I58" i="5"/>
  <c r="H58" i="5"/>
  <c r="G58" i="5"/>
  <c r="F58" i="5"/>
  <c r="E58" i="5"/>
  <c r="D58" i="5"/>
  <c r="C58" i="5"/>
  <c r="R57" i="5"/>
  <c r="Q57" i="5"/>
  <c r="P57" i="5"/>
  <c r="O57" i="5"/>
  <c r="N57" i="5"/>
  <c r="M57" i="5"/>
  <c r="L57" i="5"/>
  <c r="K57" i="5"/>
  <c r="J57" i="5"/>
  <c r="I57" i="5"/>
  <c r="H57" i="5"/>
  <c r="G57" i="5"/>
  <c r="F57" i="5"/>
  <c r="E57" i="5"/>
  <c r="D57" i="5"/>
  <c r="C57" i="5"/>
  <c r="Q56" i="5"/>
  <c r="P56" i="5"/>
  <c r="O56" i="5"/>
  <c r="N56" i="5"/>
  <c r="M56" i="5"/>
  <c r="L56" i="5"/>
  <c r="K56" i="5"/>
  <c r="J56" i="5"/>
  <c r="I56" i="5"/>
  <c r="H56" i="5"/>
  <c r="G56" i="5"/>
  <c r="F56" i="5"/>
  <c r="E56" i="5"/>
  <c r="D56" i="5"/>
  <c r="C56" i="5"/>
  <c r="P55" i="5"/>
  <c r="O55" i="5"/>
  <c r="N55" i="5"/>
  <c r="M55" i="5"/>
  <c r="L55" i="5"/>
  <c r="K55" i="5"/>
  <c r="J55" i="5"/>
  <c r="I55" i="5"/>
  <c r="H55" i="5"/>
  <c r="G55" i="5"/>
  <c r="F55" i="5"/>
  <c r="E55" i="5"/>
  <c r="D55" i="5"/>
  <c r="C55" i="5"/>
  <c r="O54" i="5"/>
  <c r="N54" i="5"/>
  <c r="M54" i="5"/>
  <c r="L54" i="5"/>
  <c r="K54" i="5"/>
  <c r="J54" i="5"/>
  <c r="I54" i="5"/>
  <c r="H54" i="5"/>
  <c r="G54" i="5"/>
  <c r="F54" i="5"/>
  <c r="E54" i="5"/>
  <c r="D54" i="5"/>
  <c r="C54" i="5"/>
  <c r="N53" i="5"/>
  <c r="M53" i="5"/>
  <c r="L53" i="5"/>
  <c r="K53" i="5"/>
  <c r="J53" i="5"/>
  <c r="I53" i="5"/>
  <c r="H53" i="5"/>
  <c r="G53" i="5"/>
  <c r="F53" i="5"/>
  <c r="E53" i="5"/>
  <c r="D53" i="5"/>
  <c r="C53" i="5"/>
  <c r="M52" i="5"/>
  <c r="L52" i="5"/>
  <c r="K52" i="5"/>
  <c r="J52" i="5"/>
  <c r="I52" i="5"/>
  <c r="H52" i="5"/>
  <c r="G52" i="5"/>
  <c r="F52" i="5"/>
  <c r="E52" i="5"/>
  <c r="D52" i="5"/>
  <c r="C52" i="5"/>
  <c r="L51" i="5"/>
  <c r="K51" i="5"/>
  <c r="J51" i="5"/>
  <c r="I51" i="5"/>
  <c r="H51" i="5"/>
  <c r="G51" i="5"/>
  <c r="F51" i="5"/>
  <c r="E51" i="5"/>
  <c r="D51" i="5"/>
  <c r="C51" i="5"/>
  <c r="K50" i="5"/>
  <c r="J50" i="5"/>
  <c r="I50" i="5"/>
  <c r="H50" i="5"/>
  <c r="G50" i="5"/>
  <c r="F50" i="5"/>
  <c r="E50" i="5"/>
  <c r="D50" i="5"/>
  <c r="C50" i="5"/>
  <c r="J49" i="5"/>
  <c r="I49" i="5"/>
  <c r="H49" i="5"/>
  <c r="G49" i="5"/>
  <c r="F49" i="5"/>
  <c r="E49" i="5"/>
  <c r="D49" i="5"/>
  <c r="C49" i="5"/>
  <c r="I48" i="5"/>
  <c r="H48" i="5"/>
  <c r="G48" i="5"/>
  <c r="F48" i="5"/>
  <c r="E48" i="5"/>
  <c r="D48" i="5"/>
  <c r="C48" i="5"/>
  <c r="H47" i="5"/>
  <c r="G47" i="5"/>
  <c r="F47" i="5"/>
  <c r="E47" i="5"/>
  <c r="D47" i="5"/>
  <c r="C47" i="5"/>
  <c r="G46" i="5"/>
  <c r="F46" i="5"/>
  <c r="E46" i="5"/>
  <c r="D46" i="5"/>
  <c r="C46" i="5"/>
  <c r="F45" i="5"/>
  <c r="E45" i="5"/>
  <c r="D45" i="5"/>
  <c r="C45" i="5"/>
  <c r="B45" i="5"/>
  <c r="W43" i="5"/>
  <c r="V43" i="5"/>
  <c r="U43" i="5"/>
  <c r="T43" i="5"/>
  <c r="S43" i="5"/>
  <c r="R43" i="5"/>
  <c r="Q43" i="5"/>
  <c r="P43" i="5"/>
  <c r="O43" i="5"/>
  <c r="N43" i="5"/>
  <c r="M43" i="5"/>
  <c r="L43" i="5"/>
  <c r="K43" i="5"/>
  <c r="J43" i="5"/>
  <c r="I43" i="5"/>
  <c r="H43" i="5"/>
  <c r="G43" i="5"/>
  <c r="F43" i="5"/>
  <c r="E43" i="5"/>
  <c r="D43" i="5"/>
  <c r="C43" i="5"/>
  <c r="W42" i="5"/>
  <c r="V42" i="5"/>
  <c r="U42" i="5"/>
  <c r="T42" i="5"/>
  <c r="S42" i="5"/>
  <c r="R42" i="5"/>
  <c r="Q42" i="5"/>
  <c r="P42" i="5"/>
  <c r="O42" i="5"/>
  <c r="N42" i="5"/>
  <c r="M42" i="5"/>
  <c r="L42" i="5"/>
  <c r="K42" i="5"/>
  <c r="J42" i="5"/>
  <c r="I42" i="5"/>
  <c r="H42" i="5"/>
  <c r="G42" i="5"/>
  <c r="F42" i="5"/>
  <c r="E42" i="5"/>
  <c r="D42" i="5"/>
  <c r="C42" i="5"/>
  <c r="W41" i="5"/>
  <c r="V41" i="5"/>
  <c r="U41" i="5"/>
  <c r="T41" i="5"/>
  <c r="S41" i="5"/>
  <c r="R41" i="5"/>
  <c r="Q41" i="5"/>
  <c r="P41" i="5"/>
  <c r="O41" i="5"/>
  <c r="N41" i="5"/>
  <c r="M41" i="5"/>
  <c r="L41" i="5"/>
  <c r="K41" i="5"/>
  <c r="J41" i="5"/>
  <c r="I41" i="5"/>
  <c r="H41" i="5"/>
  <c r="G41" i="5"/>
  <c r="F41" i="5"/>
  <c r="E41" i="5"/>
  <c r="D41" i="5"/>
  <c r="C41" i="5"/>
  <c r="V40" i="5"/>
  <c r="U40" i="5"/>
  <c r="T40" i="5"/>
  <c r="S40" i="5"/>
  <c r="R40" i="5"/>
  <c r="Q40" i="5"/>
  <c r="P40" i="5"/>
  <c r="O40" i="5"/>
  <c r="N40" i="5"/>
  <c r="M40" i="5"/>
  <c r="L40" i="5"/>
  <c r="K40" i="5"/>
  <c r="J40" i="5"/>
  <c r="I40" i="5"/>
  <c r="H40" i="5"/>
  <c r="G40" i="5"/>
  <c r="F40" i="5"/>
  <c r="E40" i="5"/>
  <c r="D40" i="5"/>
  <c r="C40" i="5"/>
  <c r="U39" i="5"/>
  <c r="T39" i="5"/>
  <c r="S39" i="5"/>
  <c r="R39" i="5"/>
  <c r="Q39" i="5"/>
  <c r="P39" i="5"/>
  <c r="O39" i="5"/>
  <c r="N39" i="5"/>
  <c r="M39" i="5"/>
  <c r="L39" i="5"/>
  <c r="K39" i="5"/>
  <c r="J39" i="5"/>
  <c r="I39" i="5"/>
  <c r="H39" i="5"/>
  <c r="G39" i="5"/>
  <c r="F39" i="5"/>
  <c r="E39" i="5"/>
  <c r="D39" i="5"/>
  <c r="C39" i="5"/>
  <c r="T38" i="5"/>
  <c r="S38" i="5"/>
  <c r="R38" i="5"/>
  <c r="Q38" i="5"/>
  <c r="P38" i="5"/>
  <c r="O38" i="5"/>
  <c r="N38" i="5"/>
  <c r="M38" i="5"/>
  <c r="L38" i="5"/>
  <c r="K38" i="5"/>
  <c r="J38" i="5"/>
  <c r="I38" i="5"/>
  <c r="H38" i="5"/>
  <c r="G38" i="5"/>
  <c r="F38" i="5"/>
  <c r="E38" i="5"/>
  <c r="D38" i="5"/>
  <c r="C38" i="5"/>
  <c r="S37" i="5"/>
  <c r="R37" i="5"/>
  <c r="Q37" i="5"/>
  <c r="P37" i="5"/>
  <c r="O37" i="5"/>
  <c r="N37" i="5"/>
  <c r="M37" i="5"/>
  <c r="L37" i="5"/>
  <c r="K37" i="5"/>
  <c r="J37" i="5"/>
  <c r="I37" i="5"/>
  <c r="H37" i="5"/>
  <c r="F37" i="5"/>
  <c r="E37" i="5"/>
  <c r="D37" i="5"/>
  <c r="C37" i="5"/>
  <c r="R36" i="5"/>
  <c r="Q36" i="5"/>
  <c r="P36" i="5"/>
  <c r="O36" i="5"/>
  <c r="N36" i="5"/>
  <c r="M36" i="5"/>
  <c r="L36" i="5"/>
  <c r="K36" i="5"/>
  <c r="J36" i="5"/>
  <c r="I36" i="5"/>
  <c r="H36" i="5"/>
  <c r="G36" i="5"/>
  <c r="F36" i="5"/>
  <c r="E36" i="5"/>
  <c r="D36" i="5"/>
  <c r="C36" i="5"/>
  <c r="Q35" i="5"/>
  <c r="P35" i="5"/>
  <c r="O35" i="5"/>
  <c r="N35" i="5"/>
  <c r="M35" i="5"/>
  <c r="L35" i="5"/>
  <c r="K35" i="5"/>
  <c r="J35" i="5"/>
  <c r="I35" i="5"/>
  <c r="H35" i="5"/>
  <c r="G35" i="5"/>
  <c r="F35" i="5"/>
  <c r="E35" i="5"/>
  <c r="D35" i="5"/>
  <c r="C35" i="5"/>
  <c r="P34" i="5"/>
  <c r="O34" i="5"/>
  <c r="N34" i="5"/>
  <c r="M34" i="5"/>
  <c r="L34" i="5"/>
  <c r="K34" i="5"/>
  <c r="J34" i="5"/>
  <c r="I34" i="5"/>
  <c r="H34" i="5"/>
  <c r="G34" i="5"/>
  <c r="F34" i="5"/>
  <c r="E34" i="5"/>
  <c r="D34" i="5"/>
  <c r="C34" i="5"/>
  <c r="O33" i="5"/>
  <c r="N33" i="5"/>
  <c r="M33" i="5"/>
  <c r="L33" i="5"/>
  <c r="K33" i="5"/>
  <c r="J33" i="5"/>
  <c r="I33" i="5"/>
  <c r="H33" i="5"/>
  <c r="G33" i="5"/>
  <c r="F33" i="5"/>
  <c r="E33" i="5"/>
  <c r="D33" i="5"/>
  <c r="C33" i="5"/>
  <c r="N32" i="5"/>
  <c r="M32" i="5"/>
  <c r="L32" i="5"/>
  <c r="K32" i="5"/>
  <c r="J32" i="5"/>
  <c r="I32" i="5"/>
  <c r="H32" i="5"/>
  <c r="G32" i="5"/>
  <c r="F32" i="5"/>
  <c r="E32" i="5"/>
  <c r="D32" i="5"/>
  <c r="C32" i="5"/>
  <c r="M31" i="5"/>
  <c r="L31" i="5"/>
  <c r="K31" i="5"/>
  <c r="J31" i="5"/>
  <c r="I31" i="5"/>
  <c r="H31" i="5"/>
  <c r="G31" i="5"/>
  <c r="F31" i="5"/>
  <c r="E31" i="5"/>
  <c r="D31" i="5"/>
  <c r="C31" i="5"/>
  <c r="L30" i="5"/>
  <c r="K30" i="5"/>
  <c r="J30" i="5"/>
  <c r="I30" i="5"/>
  <c r="H30" i="5"/>
  <c r="G30" i="5"/>
  <c r="F30" i="5"/>
  <c r="E30" i="5"/>
  <c r="D30" i="5"/>
  <c r="C30" i="5"/>
  <c r="K29" i="5"/>
  <c r="J29" i="5"/>
  <c r="I29" i="5"/>
  <c r="H29" i="5"/>
  <c r="G29" i="5"/>
  <c r="F29" i="5"/>
  <c r="E29" i="5"/>
  <c r="D29" i="5"/>
  <c r="C29" i="5"/>
  <c r="J28" i="5"/>
  <c r="I28" i="5"/>
  <c r="H28" i="5"/>
  <c r="G28" i="5"/>
  <c r="F28" i="5"/>
  <c r="E28" i="5"/>
  <c r="D28" i="5"/>
  <c r="C28" i="5"/>
  <c r="I27" i="5"/>
  <c r="H27" i="5"/>
  <c r="G27" i="5"/>
  <c r="F27" i="5"/>
  <c r="E27" i="5"/>
  <c r="D27" i="5"/>
  <c r="C27" i="5"/>
  <c r="H26" i="5"/>
  <c r="G26" i="5"/>
  <c r="F26" i="5"/>
  <c r="E26" i="5"/>
  <c r="D26" i="5"/>
  <c r="C26" i="5"/>
  <c r="G25" i="5"/>
  <c r="F25" i="5"/>
  <c r="E25" i="5"/>
  <c r="D25" i="5"/>
  <c r="C25" i="5"/>
  <c r="F24" i="5"/>
  <c r="E24" i="5"/>
  <c r="D24" i="5"/>
  <c r="C24" i="5"/>
  <c r="B24" i="5"/>
  <c r="W22" i="5"/>
  <c r="V22" i="5"/>
  <c r="U22" i="5"/>
  <c r="T22" i="5"/>
  <c r="S22" i="5"/>
  <c r="R22" i="5"/>
  <c r="Q22" i="5"/>
  <c r="P22" i="5"/>
  <c r="O22" i="5"/>
  <c r="N22" i="5"/>
  <c r="M22" i="5"/>
  <c r="L22" i="5"/>
  <c r="K22" i="5"/>
  <c r="J22" i="5"/>
  <c r="I22" i="5"/>
  <c r="H22" i="5"/>
  <c r="G22" i="5"/>
  <c r="F22" i="5"/>
  <c r="E22" i="5"/>
  <c r="D22" i="5"/>
  <c r="C22" i="5"/>
  <c r="W21" i="5"/>
  <c r="V21" i="5"/>
  <c r="U21" i="5"/>
  <c r="T21" i="5"/>
  <c r="S21" i="5"/>
  <c r="R21" i="5"/>
  <c r="Q21" i="5"/>
  <c r="P21" i="5"/>
  <c r="O21" i="5"/>
  <c r="N21" i="5"/>
  <c r="M21" i="5"/>
  <c r="L21" i="5"/>
  <c r="K21" i="5"/>
  <c r="J21" i="5"/>
  <c r="I21" i="5"/>
  <c r="H21" i="5"/>
  <c r="G21" i="5"/>
  <c r="F21" i="5"/>
  <c r="E21" i="5"/>
  <c r="D21" i="5"/>
  <c r="C21" i="5"/>
  <c r="W20" i="5"/>
  <c r="V20" i="5"/>
  <c r="U20" i="5"/>
  <c r="T20" i="5"/>
  <c r="S20" i="5"/>
  <c r="R20" i="5"/>
  <c r="Q20" i="5"/>
  <c r="P20" i="5"/>
  <c r="O20" i="5"/>
  <c r="N20" i="5"/>
  <c r="M20" i="5"/>
  <c r="L20" i="5"/>
  <c r="K20" i="5"/>
  <c r="J20" i="5"/>
  <c r="I20" i="5"/>
  <c r="H20" i="5"/>
  <c r="G20" i="5"/>
  <c r="F20" i="5"/>
  <c r="E20" i="5"/>
  <c r="D20" i="5"/>
  <c r="C20" i="5"/>
  <c r="V19" i="5"/>
  <c r="U19" i="5"/>
  <c r="T19" i="5"/>
  <c r="S19" i="5"/>
  <c r="R19" i="5"/>
  <c r="Q19" i="5"/>
  <c r="P19" i="5"/>
  <c r="O19" i="5"/>
  <c r="N19" i="5"/>
  <c r="M19" i="5"/>
  <c r="L19" i="5"/>
  <c r="K19" i="5"/>
  <c r="J19" i="5"/>
  <c r="I19" i="5"/>
  <c r="H19" i="5"/>
  <c r="G19" i="5"/>
  <c r="F19" i="5"/>
  <c r="E19" i="5"/>
  <c r="D19" i="5"/>
  <c r="C19" i="5"/>
  <c r="U18" i="5"/>
  <c r="T18" i="5"/>
  <c r="S18" i="5"/>
  <c r="R18" i="5"/>
  <c r="Q18" i="5"/>
  <c r="P18" i="5"/>
  <c r="O18" i="5"/>
  <c r="N18" i="5"/>
  <c r="M18" i="5"/>
  <c r="L18" i="5"/>
  <c r="K18" i="5"/>
  <c r="J18" i="5"/>
  <c r="I18" i="5"/>
  <c r="H18" i="5"/>
  <c r="G18" i="5"/>
  <c r="F18" i="5"/>
  <c r="E18" i="5"/>
  <c r="D18" i="5"/>
  <c r="C18" i="5"/>
  <c r="T17" i="5"/>
  <c r="S17" i="5"/>
  <c r="R17" i="5"/>
  <c r="Q17" i="5"/>
  <c r="P17" i="5"/>
  <c r="O17" i="5"/>
  <c r="N17" i="5"/>
  <c r="M17" i="5"/>
  <c r="L17" i="5"/>
  <c r="K17" i="5"/>
  <c r="J17" i="5"/>
  <c r="I17" i="5"/>
  <c r="H17" i="5"/>
  <c r="G17" i="5"/>
  <c r="F17" i="5"/>
  <c r="E17" i="5"/>
  <c r="D17" i="5"/>
  <c r="C17" i="5"/>
  <c r="S16" i="5"/>
  <c r="R16" i="5"/>
  <c r="Q16" i="5"/>
  <c r="P16" i="5"/>
  <c r="O16" i="5"/>
  <c r="N16" i="5"/>
  <c r="M16" i="5"/>
  <c r="L16" i="5"/>
  <c r="K16" i="5"/>
  <c r="J16" i="5"/>
  <c r="I16" i="5"/>
  <c r="H16" i="5"/>
  <c r="G16" i="5"/>
  <c r="F16" i="5"/>
  <c r="E16" i="5"/>
  <c r="D16" i="5"/>
  <c r="C16" i="5"/>
  <c r="R15" i="5"/>
  <c r="Q15" i="5"/>
  <c r="P15" i="5"/>
  <c r="O15" i="5"/>
  <c r="N15" i="5"/>
  <c r="M15" i="5"/>
  <c r="L15" i="5"/>
  <c r="K15" i="5"/>
  <c r="J15" i="5"/>
  <c r="I15" i="5"/>
  <c r="H15" i="5"/>
  <c r="G15" i="5"/>
  <c r="F15" i="5"/>
  <c r="E15" i="5"/>
  <c r="D15" i="5"/>
  <c r="C15" i="5"/>
  <c r="Q14" i="5"/>
  <c r="P14" i="5"/>
  <c r="O14" i="5"/>
  <c r="N14" i="5"/>
  <c r="M14" i="5"/>
  <c r="L14" i="5"/>
  <c r="K14" i="5"/>
  <c r="J14" i="5"/>
  <c r="I14" i="5"/>
  <c r="H14" i="5"/>
  <c r="G14" i="5"/>
  <c r="F14" i="5"/>
  <c r="E14" i="5"/>
  <c r="D14" i="5"/>
  <c r="C14" i="5"/>
  <c r="P13" i="5"/>
  <c r="O13" i="5"/>
  <c r="N13" i="5"/>
  <c r="M13" i="5"/>
  <c r="L13" i="5"/>
  <c r="K13" i="5"/>
  <c r="J13" i="5"/>
  <c r="I13" i="5"/>
  <c r="H13" i="5"/>
  <c r="G13" i="5"/>
  <c r="F13" i="5"/>
  <c r="E13" i="5"/>
  <c r="D13" i="5"/>
  <c r="C13" i="5"/>
  <c r="O12" i="5"/>
  <c r="N12" i="5"/>
  <c r="M12" i="5"/>
  <c r="L12" i="5"/>
  <c r="K12" i="5"/>
  <c r="J12" i="5"/>
  <c r="I12" i="5"/>
  <c r="H12" i="5"/>
  <c r="G12" i="5"/>
  <c r="F12" i="5"/>
  <c r="E12" i="5"/>
  <c r="D12" i="5"/>
  <c r="C12" i="5"/>
  <c r="N11" i="5"/>
  <c r="M11" i="5"/>
  <c r="L11" i="5"/>
  <c r="K11" i="5"/>
  <c r="J11" i="5"/>
  <c r="I11" i="5"/>
  <c r="H11" i="5"/>
  <c r="G11" i="5"/>
  <c r="F11" i="5"/>
  <c r="E11" i="5"/>
  <c r="D11" i="5"/>
  <c r="C11" i="5"/>
  <c r="M10" i="5"/>
  <c r="L10" i="5"/>
  <c r="K10" i="5"/>
  <c r="J10" i="5"/>
  <c r="I10" i="5"/>
  <c r="H10" i="5"/>
  <c r="G10" i="5"/>
  <c r="F10" i="5"/>
  <c r="E10" i="5"/>
  <c r="D10" i="5"/>
  <c r="C10" i="5"/>
  <c r="L9" i="5"/>
  <c r="K9" i="5"/>
  <c r="J9" i="5"/>
  <c r="I9" i="5"/>
  <c r="H9" i="5"/>
  <c r="G9" i="5"/>
  <c r="F9" i="5"/>
  <c r="E9" i="5"/>
  <c r="D9" i="5"/>
  <c r="C9" i="5"/>
  <c r="K8" i="5"/>
  <c r="J8" i="5"/>
  <c r="I8" i="5"/>
  <c r="H8" i="5"/>
  <c r="G8" i="5"/>
  <c r="F8" i="5"/>
  <c r="E8" i="5"/>
  <c r="D8" i="5"/>
  <c r="C8" i="5"/>
  <c r="J7" i="5"/>
  <c r="I7" i="5"/>
  <c r="H7" i="5"/>
  <c r="G7" i="5"/>
  <c r="F7" i="5"/>
  <c r="E7" i="5"/>
  <c r="D7" i="5"/>
  <c r="C7" i="5"/>
  <c r="I6" i="5"/>
  <c r="H6" i="5"/>
  <c r="G6" i="5"/>
  <c r="F6" i="5"/>
  <c r="E6" i="5"/>
  <c r="D6" i="5"/>
  <c r="C6" i="5"/>
  <c r="H5" i="5"/>
  <c r="G5" i="5"/>
  <c r="F5" i="5"/>
  <c r="E5" i="5"/>
  <c r="D5" i="5"/>
  <c r="C5" i="5"/>
  <c r="G4" i="5"/>
  <c r="F4" i="5"/>
  <c r="F68" i="5" s="1"/>
  <c r="E4" i="5"/>
  <c r="D4" i="5"/>
  <c r="C4" i="5"/>
  <c r="E3" i="5"/>
  <c r="D3" i="5"/>
  <c r="C3" i="5"/>
  <c r="B4" i="5"/>
  <c r="D1" i="5"/>
  <c r="E1" i="5" s="1"/>
  <c r="F1" i="5" s="1"/>
  <c r="G1" i="5" s="1"/>
  <c r="H1" i="5" s="1"/>
  <c r="I1" i="5" s="1"/>
  <c r="J1" i="5" s="1"/>
  <c r="K1" i="5" s="1"/>
  <c r="L1" i="5" s="1"/>
  <c r="M1" i="5" s="1"/>
  <c r="N1" i="5" s="1"/>
  <c r="O1" i="5" s="1"/>
  <c r="P1" i="5" s="1"/>
  <c r="Q1" i="5" s="1"/>
  <c r="R1" i="5" s="1"/>
  <c r="S1" i="5" s="1"/>
  <c r="T1" i="5" s="1"/>
  <c r="U1" i="5" s="1"/>
  <c r="V1" i="5" s="1"/>
  <c r="W1" i="5" s="1"/>
  <c r="J76" i="2"/>
  <c r="I76" i="2"/>
  <c r="H76" i="2"/>
  <c r="G76" i="2"/>
  <c r="F76" i="2"/>
  <c r="E76" i="2"/>
  <c r="G75" i="2"/>
  <c r="F75" i="2"/>
  <c r="E75" i="2"/>
  <c r="F73" i="2"/>
  <c r="G73" i="2" s="1"/>
  <c r="H73" i="2" s="1"/>
  <c r="I73" i="2" s="1"/>
  <c r="J73" i="2" s="1"/>
  <c r="K73" i="2" s="1"/>
  <c r="L73" i="2" s="1"/>
  <c r="M73" i="2" s="1"/>
  <c r="N73" i="2" s="1"/>
  <c r="O73" i="2" s="1"/>
  <c r="P73" i="2" s="1"/>
  <c r="Q73" i="2" s="1"/>
  <c r="R73" i="2" s="1"/>
  <c r="S73" i="2" s="1"/>
  <c r="T73" i="2" s="1"/>
  <c r="U73" i="2" s="1"/>
  <c r="V73" i="2" s="1"/>
  <c r="W73" i="2" s="1"/>
  <c r="X73" i="2" s="1"/>
  <c r="Y73" i="2" s="1"/>
  <c r="Z73" i="2" s="1"/>
  <c r="F67" i="2"/>
  <c r="G67" i="2" s="1"/>
  <c r="H67" i="2" s="1"/>
  <c r="I67" i="2" s="1"/>
  <c r="J67" i="2" s="1"/>
  <c r="K67" i="2" s="1"/>
  <c r="L67" i="2" s="1"/>
  <c r="M67" i="2" s="1"/>
  <c r="N67" i="2" s="1"/>
  <c r="O67" i="2" s="1"/>
  <c r="P67" i="2" s="1"/>
  <c r="Q67" i="2" s="1"/>
  <c r="R67" i="2" s="1"/>
  <c r="S67" i="2" s="1"/>
  <c r="T67" i="2" s="1"/>
  <c r="U67" i="2" s="1"/>
  <c r="V67" i="2" s="1"/>
  <c r="W67" i="2" s="1"/>
  <c r="X67" i="2" s="1"/>
  <c r="Y67" i="2" s="1"/>
  <c r="Z67" i="2" s="1"/>
  <c r="B45" i="2"/>
  <c r="B25" i="2"/>
  <c r="B4" i="2"/>
  <c r="F1" i="2"/>
  <c r="G1" i="2" s="1"/>
  <c r="H1" i="2" s="1"/>
  <c r="I1" i="2" s="1"/>
  <c r="J1" i="2" s="1"/>
  <c r="K1" i="2" s="1"/>
  <c r="L1" i="2" s="1"/>
  <c r="M1" i="2" s="1"/>
  <c r="N1" i="2" s="1"/>
  <c r="O1" i="2" s="1"/>
  <c r="P1" i="2" s="1"/>
  <c r="Q1" i="2" s="1"/>
  <c r="R1" i="2" s="1"/>
  <c r="S1" i="2" s="1"/>
  <c r="T1" i="2" s="1"/>
  <c r="U1" i="2" s="1"/>
  <c r="V1" i="2" s="1"/>
  <c r="W1" i="2" s="1"/>
  <c r="X1" i="2" s="1"/>
  <c r="Y1" i="2" s="1"/>
  <c r="Z1" i="2" s="1"/>
  <c r="F29" i="8"/>
  <c r="F28" i="8"/>
  <c r="F27" i="8"/>
  <c r="F26" i="8"/>
  <c r="F25" i="8"/>
  <c r="F24" i="8"/>
  <c r="F23" i="8"/>
  <c r="F22" i="8"/>
  <c r="F21" i="8"/>
  <c r="F20" i="8"/>
  <c r="F19" i="8"/>
  <c r="F18" i="8"/>
  <c r="F17" i="8"/>
  <c r="F16" i="8"/>
  <c r="F15" i="8"/>
  <c r="F14" i="8"/>
  <c r="F13" i="8"/>
  <c r="F12" i="8"/>
  <c r="F11" i="8"/>
  <c r="F10" i="8"/>
  <c r="F9" i="8"/>
  <c r="F6" i="8"/>
  <c r="K127" i="8"/>
  <c r="F127" i="8"/>
  <c r="K126" i="8"/>
  <c r="F126" i="8"/>
  <c r="K125" i="8"/>
  <c r="F125" i="8"/>
  <c r="K124" i="8"/>
  <c r="F124" i="8"/>
  <c r="K123" i="8"/>
  <c r="F123" i="8"/>
  <c r="K122" i="8"/>
  <c r="F122" i="8"/>
  <c r="K121" i="8"/>
  <c r="F121" i="8"/>
  <c r="K120" i="8"/>
  <c r="F120" i="8"/>
  <c r="K119" i="8"/>
  <c r="F119" i="8"/>
  <c r="K118" i="8"/>
  <c r="F118" i="8"/>
  <c r="K117" i="8"/>
  <c r="F117" i="8"/>
  <c r="K116" i="8"/>
  <c r="F116" i="8"/>
  <c r="K115" i="8"/>
  <c r="F115" i="8"/>
  <c r="K114" i="8"/>
  <c r="F114" i="8"/>
  <c r="K113" i="8"/>
  <c r="F113" i="8"/>
  <c r="K112" i="8"/>
  <c r="F112" i="8"/>
  <c r="K111" i="8"/>
  <c r="F111" i="8"/>
  <c r="K110" i="8"/>
  <c r="F110" i="8"/>
  <c r="K109" i="8"/>
  <c r="F109" i="8"/>
  <c r="K108" i="8"/>
  <c r="F108" i="8"/>
  <c r="K107" i="8"/>
  <c r="F107" i="8"/>
  <c r="G106" i="8"/>
  <c r="AB86" i="10" s="1"/>
  <c r="F106" i="8"/>
  <c r="AB85" i="10"/>
  <c r="F105" i="8"/>
  <c r="K104" i="8"/>
  <c r="F104" i="8"/>
  <c r="K103" i="8"/>
  <c r="F103" i="8"/>
  <c r="K102" i="8"/>
  <c r="F102" i="8"/>
  <c r="E101" i="8"/>
  <c r="K94" i="8"/>
  <c r="F94" i="8"/>
  <c r="K93" i="8"/>
  <c r="C170" i="8" s="1"/>
  <c r="F93" i="8"/>
  <c r="K92" i="8"/>
  <c r="C169" i="8" s="1"/>
  <c r="F92" i="8"/>
  <c r="K91" i="8"/>
  <c r="C168" i="8" s="1"/>
  <c r="F91" i="8"/>
  <c r="K90" i="8"/>
  <c r="F90" i="8"/>
  <c r="K89" i="8"/>
  <c r="F89" i="8"/>
  <c r="K88" i="8"/>
  <c r="F88" i="8"/>
  <c r="K87" i="8"/>
  <c r="F87" i="8"/>
  <c r="K86" i="8"/>
  <c r="F86" i="8"/>
  <c r="K85" i="8"/>
  <c r="F85" i="8"/>
  <c r="K84" i="8"/>
  <c r="F84" i="8"/>
  <c r="K83" i="8"/>
  <c r="F83" i="8"/>
  <c r="K82" i="8"/>
  <c r="F82" i="8"/>
  <c r="K81" i="8"/>
  <c r="F81" i="8"/>
  <c r="K80" i="8"/>
  <c r="C157" i="8" s="1"/>
  <c r="F80" i="8"/>
  <c r="K79" i="8"/>
  <c r="F79" i="8"/>
  <c r="K78" i="8"/>
  <c r="C155" i="8" s="1"/>
  <c r="F78" i="8"/>
  <c r="K77" i="8"/>
  <c r="F77" i="8"/>
  <c r="K76" i="8"/>
  <c r="C153" i="8" s="1"/>
  <c r="F76" i="8"/>
  <c r="F75" i="8"/>
  <c r="K74" i="8"/>
  <c r="C151" i="8" s="1"/>
  <c r="F74" i="8"/>
  <c r="G73" i="8"/>
  <c r="K73" i="8" s="1"/>
  <c r="F73" i="8"/>
  <c r="E72" i="8"/>
  <c r="F72" i="8" s="1"/>
  <c r="K71" i="8"/>
  <c r="F71" i="8"/>
  <c r="K70" i="8"/>
  <c r="F70" i="8"/>
  <c r="K69" i="8"/>
  <c r="F69" i="8"/>
  <c r="K61" i="8"/>
  <c r="B171" i="8" s="1"/>
  <c r="F61" i="8"/>
  <c r="K60" i="8"/>
  <c r="B170" i="8" s="1"/>
  <c r="F60" i="8"/>
  <c r="K59" i="8"/>
  <c r="B169" i="8" s="1"/>
  <c r="F59" i="8"/>
  <c r="K58" i="8"/>
  <c r="B168" i="8" s="1"/>
  <c r="F58" i="8"/>
  <c r="K57" i="8"/>
  <c r="B167" i="8" s="1"/>
  <c r="F57" i="8"/>
  <c r="K56" i="8"/>
  <c r="B166" i="8" s="1"/>
  <c r="F56" i="8"/>
  <c r="K55" i="8"/>
  <c r="B165" i="8" s="1"/>
  <c r="F55" i="8"/>
  <c r="K54" i="8"/>
  <c r="B164" i="8" s="1"/>
  <c r="F54" i="8"/>
  <c r="K53" i="8"/>
  <c r="B163" i="8" s="1"/>
  <c r="F53" i="8"/>
  <c r="K52" i="8"/>
  <c r="B162" i="8" s="1"/>
  <c r="F52" i="8"/>
  <c r="K51" i="8"/>
  <c r="B161" i="8" s="1"/>
  <c r="F51" i="8"/>
  <c r="F50" i="8"/>
  <c r="K49" i="8"/>
  <c r="B159" i="8" s="1"/>
  <c r="F49" i="8"/>
  <c r="K48" i="8"/>
  <c r="B158" i="8" s="1"/>
  <c r="F48" i="8"/>
  <c r="K47" i="8"/>
  <c r="B157" i="8" s="1"/>
  <c r="F47" i="8"/>
  <c r="K46" i="8"/>
  <c r="B156" i="8" s="1"/>
  <c r="F46" i="8"/>
  <c r="K45" i="8"/>
  <c r="B155" i="8" s="1"/>
  <c r="F45" i="8"/>
  <c r="K44" i="8"/>
  <c r="B154" i="8" s="1"/>
  <c r="F44" i="8"/>
  <c r="K43" i="8"/>
  <c r="B153" i="8" s="1"/>
  <c r="F43" i="8"/>
  <c r="F42" i="8"/>
  <c r="K41" i="8"/>
  <c r="B151" i="8" s="1"/>
  <c r="F41" i="8"/>
  <c r="G40" i="8"/>
  <c r="K40" i="8" s="1"/>
  <c r="B150" i="8" s="1"/>
  <c r="F40" i="8"/>
  <c r="E39" i="8"/>
  <c r="K39" i="8" s="1"/>
  <c r="B149" i="8" s="1"/>
  <c r="K38" i="8"/>
  <c r="F38" i="8"/>
  <c r="K37" i="8"/>
  <c r="F37" i="8"/>
  <c r="F36" i="8"/>
  <c r="AB88" i="10" l="1"/>
  <c r="D150" i="8"/>
  <c r="AB96" i="10"/>
  <c r="D158" i="8"/>
  <c r="AB104" i="10"/>
  <c r="D166" i="8"/>
  <c r="K94" i="7"/>
  <c r="AB68" i="10"/>
  <c r="C159" i="8"/>
  <c r="AB72" i="10"/>
  <c r="C163" i="8"/>
  <c r="AB76" i="10"/>
  <c r="C167" i="8"/>
  <c r="AB80" i="10"/>
  <c r="AB81" i="10" s="1"/>
  <c r="C171" i="8"/>
  <c r="E171" i="8" s="1"/>
  <c r="K95" i="7"/>
  <c r="K103" i="7"/>
  <c r="D70" i="5"/>
  <c r="D151" i="8"/>
  <c r="E151" i="8" s="1"/>
  <c r="AB89" i="10"/>
  <c r="D155" i="8"/>
  <c r="E155" i="8" s="1"/>
  <c r="AB93" i="10"/>
  <c r="D159" i="8"/>
  <c r="AB97" i="10"/>
  <c r="AB101" i="10"/>
  <c r="D163" i="8"/>
  <c r="D167" i="8"/>
  <c r="AB105" i="10"/>
  <c r="K96" i="7"/>
  <c r="K104" i="7"/>
  <c r="C68" i="5"/>
  <c r="E70" i="5"/>
  <c r="AB100" i="10"/>
  <c r="D162" i="8"/>
  <c r="K102" i="7"/>
  <c r="AB65" i="10"/>
  <c r="C156" i="8"/>
  <c r="AB69" i="10"/>
  <c r="C160" i="8"/>
  <c r="AB73" i="10"/>
  <c r="C164" i="8"/>
  <c r="K89" i="7"/>
  <c r="L89" i="7" s="1"/>
  <c r="K97" i="7"/>
  <c r="K105" i="7"/>
  <c r="B26" i="2"/>
  <c r="B27" i="2" s="1"/>
  <c r="B28" i="2" s="1"/>
  <c r="B29" i="2" s="1"/>
  <c r="B30" i="2" s="1"/>
  <c r="B31" i="2" s="1"/>
  <c r="B32" i="2" s="1"/>
  <c r="B33" i="2" s="1"/>
  <c r="B34" i="2" s="1"/>
  <c r="B35" i="2" s="1"/>
  <c r="B36" i="2" s="1"/>
  <c r="B37" i="2" s="1"/>
  <c r="B38" i="2" s="1"/>
  <c r="B39" i="2" s="1"/>
  <c r="B40" i="2" s="1"/>
  <c r="B41" i="2" s="1"/>
  <c r="B42" i="2" s="1"/>
  <c r="B43" i="2" s="1"/>
  <c r="I81" i="2"/>
  <c r="C75" i="2"/>
  <c r="C81" i="2"/>
  <c r="G81" i="2"/>
  <c r="H81" i="2"/>
  <c r="J81" i="2"/>
  <c r="D68" i="5"/>
  <c r="F70" i="5"/>
  <c r="K81" i="2"/>
  <c r="AB59" i="10"/>
  <c r="C150" i="8"/>
  <c r="G76" i="5"/>
  <c r="AB90" i="10"/>
  <c r="D152" i="8"/>
  <c r="E152" i="8" s="1"/>
  <c r="D156" i="8"/>
  <c r="AB94" i="10"/>
  <c r="AB98" i="10"/>
  <c r="D160" i="8"/>
  <c r="AB102" i="10"/>
  <c r="D164" i="8"/>
  <c r="AB106" i="10"/>
  <c r="D168" i="8"/>
  <c r="E168" i="8" s="1"/>
  <c r="K90" i="7"/>
  <c r="L90" i="7" s="1"/>
  <c r="K98" i="7"/>
  <c r="K106" i="7"/>
  <c r="B46" i="2"/>
  <c r="E68" i="5"/>
  <c r="B25" i="5"/>
  <c r="B26" i="5" s="1"/>
  <c r="B27" i="5" s="1"/>
  <c r="B28" i="5" s="1"/>
  <c r="B29" i="5" s="1"/>
  <c r="B30" i="5" s="1"/>
  <c r="B31" i="5" s="1"/>
  <c r="B32" i="5" s="1"/>
  <c r="B33" i="5" s="1"/>
  <c r="B34" i="5" s="1"/>
  <c r="B35" i="5" s="1"/>
  <c r="B36" i="5" s="1"/>
  <c r="B37" i="5" s="1"/>
  <c r="B38" i="5" s="1"/>
  <c r="B39" i="5" s="1"/>
  <c r="B40" i="5" s="1"/>
  <c r="B41" i="5" s="1"/>
  <c r="B42" i="5" s="1"/>
  <c r="B43" i="5" s="1"/>
  <c r="D81" i="5"/>
  <c r="C81" i="5"/>
  <c r="E81" i="5"/>
  <c r="E170" i="8"/>
  <c r="AB70" i="10"/>
  <c r="C161" i="8"/>
  <c r="AB74" i="10"/>
  <c r="C165" i="8"/>
  <c r="K91" i="7"/>
  <c r="K99" i="7"/>
  <c r="K107" i="7"/>
  <c r="C75" i="5"/>
  <c r="C69" i="5"/>
  <c r="D76" i="5"/>
  <c r="X81" i="5"/>
  <c r="C70" i="5"/>
  <c r="D149" i="8"/>
  <c r="AA85" i="10" s="1"/>
  <c r="AC85" i="10" s="1"/>
  <c r="AB87" i="10"/>
  <c r="AB91" i="10"/>
  <c r="D153" i="8"/>
  <c r="E153" i="8" s="1"/>
  <c r="AB95" i="10"/>
  <c r="D157" i="8"/>
  <c r="E157" i="8" s="1"/>
  <c r="AB99" i="10"/>
  <c r="D161" i="8"/>
  <c r="AB103" i="10"/>
  <c r="D165" i="8"/>
  <c r="AB107" i="10"/>
  <c r="D169" i="8"/>
  <c r="E169" i="8" s="1"/>
  <c r="AB108" i="10"/>
  <c r="K92" i="7"/>
  <c r="K100" i="7"/>
  <c r="K108" i="7"/>
  <c r="D75" i="5"/>
  <c r="D69" i="5"/>
  <c r="E76" i="5"/>
  <c r="AB92" i="10"/>
  <c r="D154" i="8"/>
  <c r="AB63" i="10"/>
  <c r="C154" i="8"/>
  <c r="AB67" i="10"/>
  <c r="C158" i="8"/>
  <c r="AB71" i="10"/>
  <c r="C162" i="8"/>
  <c r="AB75" i="10"/>
  <c r="C166" i="8"/>
  <c r="E166" i="8" s="1"/>
  <c r="K93" i="7"/>
  <c r="K101" i="7"/>
  <c r="K109" i="7"/>
  <c r="E75" i="5"/>
  <c r="E69" i="5"/>
  <c r="B46" i="5"/>
  <c r="B47" i="5" s="1"/>
  <c r="B48" i="5" s="1"/>
  <c r="B49" i="5" s="1"/>
  <c r="B50" i="5" s="1"/>
  <c r="B51" i="5" s="1"/>
  <c r="B52" i="5" s="1"/>
  <c r="B53" i="5" s="1"/>
  <c r="B54" i="5" s="1"/>
  <c r="B55" i="5" s="1"/>
  <c r="B56" i="5" s="1"/>
  <c r="B57" i="5" s="1"/>
  <c r="B58" i="5" s="1"/>
  <c r="B59" i="5" s="1"/>
  <c r="B60" i="5" s="1"/>
  <c r="B61" i="5" s="1"/>
  <c r="B62" i="5" s="1"/>
  <c r="B63" i="5" s="1"/>
  <c r="B64" i="5" s="1"/>
  <c r="D82" i="5"/>
  <c r="E82" i="5"/>
  <c r="F82" i="5"/>
  <c r="G82" i="5"/>
  <c r="H82" i="5"/>
  <c r="C82" i="5"/>
  <c r="F76" i="5"/>
  <c r="X82" i="5"/>
  <c r="C74" i="5"/>
  <c r="C80" i="5"/>
  <c r="D80" i="5"/>
  <c r="L81" i="2"/>
  <c r="L69" i="2"/>
  <c r="M45" i="2"/>
  <c r="L70" i="2"/>
  <c r="F8" i="8"/>
  <c r="AI5" i="9"/>
  <c r="AB61" i="10"/>
  <c r="K15" i="8"/>
  <c r="AB12" i="10" s="1"/>
  <c r="M24" i="2"/>
  <c r="O119" i="20"/>
  <c r="O165" i="20" s="1"/>
  <c r="M48" i="20"/>
  <c r="M166" i="20" s="1"/>
  <c r="P69" i="20"/>
  <c r="P169" i="20" s="1"/>
  <c r="O70" i="20"/>
  <c r="O170" i="20" s="1"/>
  <c r="B5" i="5"/>
  <c r="B6" i="5" s="1"/>
  <c r="B7" i="5" s="1"/>
  <c r="B8" i="5" s="1"/>
  <c r="B9" i="5" s="1"/>
  <c r="B10" i="5" s="1"/>
  <c r="B11" i="5" s="1"/>
  <c r="B12" i="5" s="1"/>
  <c r="B13" i="5" s="1"/>
  <c r="B14" i="5" s="1"/>
  <c r="B15" i="5" s="1"/>
  <c r="B16" i="5" s="1"/>
  <c r="B17" i="5" s="1"/>
  <c r="B18" i="5" s="1"/>
  <c r="B19" i="5" s="1"/>
  <c r="B20" i="5" s="1"/>
  <c r="B21" i="5" s="1"/>
  <c r="B22" i="5" s="1"/>
  <c r="B5" i="2"/>
  <c r="B6" i="2" s="1"/>
  <c r="B7" i="2" s="1"/>
  <c r="B8" i="2" s="1"/>
  <c r="B9" i="2" s="1"/>
  <c r="B10" i="2" s="1"/>
  <c r="B11" i="2" s="1"/>
  <c r="B12" i="2" s="1"/>
  <c r="B13" i="2" s="1"/>
  <c r="B14" i="2" s="1"/>
  <c r="B15" i="2" s="1"/>
  <c r="B16" i="2" s="1"/>
  <c r="B17" i="2" s="1"/>
  <c r="B18" i="2" s="1"/>
  <c r="B19" i="2" s="1"/>
  <c r="B20" i="2" s="1"/>
  <c r="B21" i="2" s="1"/>
  <c r="B22" i="2" s="1"/>
  <c r="AB50" i="9"/>
  <c r="AC91" i="9"/>
  <c r="AC63" i="9"/>
  <c r="AC35" i="9"/>
  <c r="AC93" i="9"/>
  <c r="AC65" i="9"/>
  <c r="AC37" i="9"/>
  <c r="AC92" i="9"/>
  <c r="AC36" i="9"/>
  <c r="AC64" i="9"/>
  <c r="AB63" i="9"/>
  <c r="AG6" i="9"/>
  <c r="AH6" i="9" s="1"/>
  <c r="AI6" i="9" s="1"/>
  <c r="AB91" i="9"/>
  <c r="AB35" i="9"/>
  <c r="AB36" i="9"/>
  <c r="AB64" i="9"/>
  <c r="AB92" i="9"/>
  <c r="AI7" i="9"/>
  <c r="AD63" i="9"/>
  <c r="AD91" i="9"/>
  <c r="AD35" i="9"/>
  <c r="AB93" i="9"/>
  <c r="AB37" i="9"/>
  <c r="AB65" i="9"/>
  <c r="AD92" i="9"/>
  <c r="AD64" i="9"/>
  <c r="AD36" i="9"/>
  <c r="AD65" i="9"/>
  <c r="AD93" i="9"/>
  <c r="AD37" i="9"/>
  <c r="H116" i="7"/>
  <c r="H117" i="7"/>
  <c r="AB31" i="10"/>
  <c r="AB44" i="10"/>
  <c r="AB77" i="10"/>
  <c r="AB32" i="10"/>
  <c r="AB33" i="10"/>
  <c r="AB37" i="10"/>
  <c r="AB41" i="10"/>
  <c r="AB45" i="10"/>
  <c r="AB49" i="10"/>
  <c r="AB53" i="10"/>
  <c r="AB54" i="10" s="1"/>
  <c r="AB62" i="10"/>
  <c r="AB66" i="10"/>
  <c r="AB78" i="10"/>
  <c r="AB36" i="10"/>
  <c r="AB52" i="10"/>
  <c r="F39" i="8"/>
  <c r="AB34" i="10"/>
  <c r="AB38" i="10"/>
  <c r="AB42" i="10"/>
  <c r="AB46" i="10"/>
  <c r="AB50" i="10"/>
  <c r="AB48" i="10"/>
  <c r="AB79" i="10"/>
  <c r="AB35" i="10"/>
  <c r="AB39" i="10"/>
  <c r="AB43" i="10"/>
  <c r="AB47" i="10"/>
  <c r="AB51" i="10"/>
  <c r="AB40" i="10"/>
  <c r="AB60" i="10"/>
  <c r="AB64" i="10"/>
  <c r="D118" i="7"/>
  <c r="J75" i="2"/>
  <c r="H77" i="2"/>
  <c r="F23" i="5"/>
  <c r="K20" i="8"/>
  <c r="AB17" i="10" s="1"/>
  <c r="K8" i="8"/>
  <c r="AB5" i="10" s="1"/>
  <c r="M5" i="10" s="1"/>
  <c r="K16" i="8"/>
  <c r="AB13" i="10" s="1"/>
  <c r="K17" i="8"/>
  <c r="AB14" i="10" s="1"/>
  <c r="K25" i="8"/>
  <c r="AB22" i="10" s="1"/>
  <c r="K26" i="8"/>
  <c r="AB23" i="10" s="1"/>
  <c r="I77" i="2"/>
  <c r="K6" i="8"/>
  <c r="G6" i="8" s="1"/>
  <c r="K21" i="8"/>
  <c r="AB18" i="10" s="1"/>
  <c r="K29" i="8"/>
  <c r="AB26" i="10" s="1"/>
  <c r="K13" i="8"/>
  <c r="AB10" i="10" s="1"/>
  <c r="K11" i="8"/>
  <c r="AB8" i="10" s="1"/>
  <c r="H71" i="2"/>
  <c r="K24" i="8"/>
  <c r="AB21" i="10" s="1"/>
  <c r="K18" i="8"/>
  <c r="AB15" i="10" s="1"/>
  <c r="K22" i="8"/>
  <c r="AB19" i="10" s="1"/>
  <c r="K9" i="8"/>
  <c r="AB6" i="10" s="1"/>
  <c r="M6" i="10" s="1"/>
  <c r="K12" i="8"/>
  <c r="AB9" i="10" s="1"/>
  <c r="K14" i="8"/>
  <c r="AB11" i="10" s="1"/>
  <c r="K72" i="8"/>
  <c r="K27" i="8"/>
  <c r="AB24" i="10" s="1"/>
  <c r="G71" i="2"/>
  <c r="K4" i="8"/>
  <c r="G4" i="8" s="1"/>
  <c r="K19" i="8"/>
  <c r="AB16" i="10" s="1"/>
  <c r="K23" i="8"/>
  <c r="AB20" i="10" s="1"/>
  <c r="K28" i="8"/>
  <c r="AB25" i="10" s="1"/>
  <c r="F71" i="2"/>
  <c r="F77" i="2"/>
  <c r="G77" i="2"/>
  <c r="D116" i="7"/>
  <c r="D124" i="7"/>
  <c r="D132" i="7"/>
  <c r="I117" i="7"/>
  <c r="D115" i="7"/>
  <c r="I115" i="7" s="1"/>
  <c r="E167" i="8" l="1"/>
  <c r="AC31" i="10"/>
  <c r="E150" i="8"/>
  <c r="E162" i="8"/>
  <c r="E163" i="8"/>
  <c r="E158" i="8"/>
  <c r="E154" i="8"/>
  <c r="J117" i="7"/>
  <c r="E165" i="8"/>
  <c r="E156" i="8"/>
  <c r="E161" i="8"/>
  <c r="E164" i="8"/>
  <c r="E159" i="8"/>
  <c r="AK35" i="9"/>
  <c r="AM35" i="9" s="1"/>
  <c r="AN35" i="9" s="1"/>
  <c r="AK91" i="9"/>
  <c r="AM91" i="9" s="1"/>
  <c r="AN91" i="9" s="1"/>
  <c r="AK92" i="9"/>
  <c r="M22" i="10"/>
  <c r="M11" i="10"/>
  <c r="AL36" i="9"/>
  <c r="AG36" i="9"/>
  <c r="AH36" i="9" s="1"/>
  <c r="AI36" i="9" s="1"/>
  <c r="M9" i="10"/>
  <c r="F146" i="7" s="1"/>
  <c r="G146" i="7" s="1"/>
  <c r="AL35" i="9"/>
  <c r="AG35" i="9"/>
  <c r="AH35" i="9" s="1"/>
  <c r="AI35" i="9" s="1"/>
  <c r="C71" i="5"/>
  <c r="K80" i="2"/>
  <c r="I80" i="2"/>
  <c r="L80" i="2"/>
  <c r="M10" i="10"/>
  <c r="F147" i="7" s="1"/>
  <c r="G147" i="7" s="1"/>
  <c r="M13" i="10"/>
  <c r="P13" i="12" s="1"/>
  <c r="P97" i="12" s="1"/>
  <c r="Z97" i="12" s="1"/>
  <c r="M20" i="10"/>
  <c r="J125" i="12"/>
  <c r="J155" i="12" s="1"/>
  <c r="P6" i="10"/>
  <c r="M87" i="10"/>
  <c r="P87" i="10" s="1"/>
  <c r="AB27" i="10"/>
  <c r="M27" i="10" s="1"/>
  <c r="M26" i="10"/>
  <c r="M86" i="10"/>
  <c r="P86" i="10" s="1"/>
  <c r="AD86" i="10" s="1"/>
  <c r="P5" i="10"/>
  <c r="AD5" i="10" s="1"/>
  <c r="M124" i="12" s="1"/>
  <c r="J124" i="12"/>
  <c r="AL91" i="9"/>
  <c r="AG91" i="9"/>
  <c r="AH91" i="9" s="1"/>
  <c r="AI91" i="9" s="1"/>
  <c r="F80" i="5"/>
  <c r="R32" i="12"/>
  <c r="AA32" i="12" s="1"/>
  <c r="U80" i="2"/>
  <c r="N80" i="2"/>
  <c r="M25" i="10"/>
  <c r="M16" i="10"/>
  <c r="M70" i="10" s="1"/>
  <c r="M19" i="10"/>
  <c r="M18" i="10"/>
  <c r="P18" i="12" s="1"/>
  <c r="P102" i="12" s="1"/>
  <c r="Z102" i="12" s="1"/>
  <c r="M17" i="10"/>
  <c r="M12" i="10"/>
  <c r="M39" i="10" s="1"/>
  <c r="D75" i="2"/>
  <c r="E160" i="8"/>
  <c r="H80" i="2"/>
  <c r="O80" i="2"/>
  <c r="E80" i="2"/>
  <c r="X80" i="2"/>
  <c r="F74" i="5"/>
  <c r="M7" i="10"/>
  <c r="C80" i="2"/>
  <c r="F69" i="5"/>
  <c r="F71" i="5" s="1"/>
  <c r="AL63" i="9"/>
  <c r="AG63" i="9"/>
  <c r="AH63" i="9" s="1"/>
  <c r="AI63" i="9" s="1"/>
  <c r="AK63" i="9"/>
  <c r="F81" i="2"/>
  <c r="F80" i="2"/>
  <c r="J80" i="2"/>
  <c r="Z80" i="2"/>
  <c r="C74" i="2"/>
  <c r="X80" i="5"/>
  <c r="X83" i="5" s="1"/>
  <c r="M14" i="10"/>
  <c r="M68" i="10" s="1"/>
  <c r="R80" i="2"/>
  <c r="M15" i="10"/>
  <c r="E80" i="5"/>
  <c r="C76" i="5"/>
  <c r="E81" i="2"/>
  <c r="Q80" i="2"/>
  <c r="S80" i="2"/>
  <c r="T80" i="2"/>
  <c r="X74" i="5"/>
  <c r="AB58" i="10"/>
  <c r="Y80" i="2"/>
  <c r="M21" i="10"/>
  <c r="M75" i="10" s="1"/>
  <c r="AK64" i="9"/>
  <c r="M24" i="10"/>
  <c r="M23" i="10"/>
  <c r="AL92" i="9"/>
  <c r="AG92" i="9"/>
  <c r="AH92" i="9" s="1"/>
  <c r="AI92" i="9" s="1"/>
  <c r="AK36" i="9"/>
  <c r="K88" i="7"/>
  <c r="L88" i="7" s="1"/>
  <c r="E74" i="5"/>
  <c r="F81" i="5"/>
  <c r="B47" i="2"/>
  <c r="D71" i="5"/>
  <c r="D81" i="2"/>
  <c r="D74" i="2"/>
  <c r="M80" i="2"/>
  <c r="G80" i="2"/>
  <c r="V80" i="2"/>
  <c r="M8" i="10"/>
  <c r="AL64" i="9"/>
  <c r="AG64" i="9"/>
  <c r="AH64" i="9" s="1"/>
  <c r="AI64" i="9" s="1"/>
  <c r="D74" i="5"/>
  <c r="E71" i="5"/>
  <c r="W80" i="2"/>
  <c r="P80" i="2"/>
  <c r="D80" i="2"/>
  <c r="F75" i="5"/>
  <c r="X76" i="5"/>
  <c r="N45" i="2"/>
  <c r="M70" i="2"/>
  <c r="M81" i="2"/>
  <c r="M69" i="2"/>
  <c r="AB104" i="9"/>
  <c r="AB110" i="9"/>
  <c r="H98" i="5"/>
  <c r="O99" i="5"/>
  <c r="P99" i="5"/>
  <c r="O96" i="5"/>
  <c r="J95" i="5"/>
  <c r="H95" i="5"/>
  <c r="L97" i="5"/>
  <c r="L98" i="5"/>
  <c r="E214" i="7"/>
  <c r="E217" i="7"/>
  <c r="E213" i="7"/>
  <c r="E203" i="7"/>
  <c r="E208" i="7"/>
  <c r="E207" i="7"/>
  <c r="E204" i="7"/>
  <c r="E211" i="7"/>
  <c r="E205" i="7"/>
  <c r="F7" i="8"/>
  <c r="E216" i="7"/>
  <c r="E206" i="7"/>
  <c r="E210" i="7"/>
  <c r="E218" i="7"/>
  <c r="E212" i="7"/>
  <c r="E215" i="7"/>
  <c r="E209" i="7"/>
  <c r="I116" i="7"/>
  <c r="J116" i="7" s="1"/>
  <c r="N24" i="2"/>
  <c r="P79" i="20"/>
  <c r="P170" i="20" s="1"/>
  <c r="Q78" i="20"/>
  <c r="Q169" i="20" s="1"/>
  <c r="N57" i="20"/>
  <c r="N166" i="20" s="1"/>
  <c r="P128" i="20"/>
  <c r="P165" i="20" s="1"/>
  <c r="I93" i="5"/>
  <c r="K96" i="5"/>
  <c r="S97" i="5"/>
  <c r="H99" i="5"/>
  <c r="N98" i="5"/>
  <c r="I94" i="5"/>
  <c r="J93" i="5"/>
  <c r="O97" i="5"/>
  <c r="S99" i="5"/>
  <c r="H92" i="5"/>
  <c r="O98" i="5"/>
  <c r="I92" i="5"/>
  <c r="M94" i="5"/>
  <c r="J96" i="5"/>
  <c r="R97" i="5"/>
  <c r="I97" i="5"/>
  <c r="N99" i="5"/>
  <c r="L99" i="5"/>
  <c r="I95" i="5"/>
  <c r="R98" i="5"/>
  <c r="X91" i="5"/>
  <c r="Q97" i="5"/>
  <c r="X97" i="5"/>
  <c r="R99" i="5"/>
  <c r="H93" i="5"/>
  <c r="M95" i="5"/>
  <c r="J97" i="5"/>
  <c r="P96" i="5"/>
  <c r="U98" i="5"/>
  <c r="S98" i="5"/>
  <c r="X95" i="5"/>
  <c r="H94" i="5"/>
  <c r="J98" i="5"/>
  <c r="X93" i="5"/>
  <c r="N95" i="5"/>
  <c r="T99" i="5"/>
  <c r="J99" i="5"/>
  <c r="Q99" i="5"/>
  <c r="L94" i="5"/>
  <c r="Q96" i="5"/>
  <c r="H96" i="5"/>
  <c r="M98" i="5"/>
  <c r="K98" i="5"/>
  <c r="U99" i="5"/>
  <c r="K93" i="5"/>
  <c r="M97" i="5"/>
  <c r="X92" i="5"/>
  <c r="K97" i="5"/>
  <c r="N96" i="5"/>
  <c r="Q98" i="5"/>
  <c r="I99" i="5"/>
  <c r="I96" i="5"/>
  <c r="L95" i="5"/>
  <c r="K95" i="5"/>
  <c r="P97" i="5"/>
  <c r="N97" i="5"/>
  <c r="M99" i="5"/>
  <c r="X98" i="5"/>
  <c r="L96" i="5"/>
  <c r="X96" i="5"/>
  <c r="V99" i="5"/>
  <c r="K99" i="5"/>
  <c r="I98" i="5"/>
  <c r="P98" i="5"/>
  <c r="K94" i="5"/>
  <c r="W99" i="5"/>
  <c r="J94" i="5"/>
  <c r="H97" i="5"/>
  <c r="M96" i="5"/>
  <c r="T98" i="5"/>
  <c r="X99" i="5"/>
  <c r="O95" i="5"/>
  <c r="X94" i="5"/>
  <c r="AB71" i="9"/>
  <c r="F44" i="7"/>
  <c r="F52" i="7"/>
  <c r="F45" i="7"/>
  <c r="F53" i="7"/>
  <c r="F38" i="7"/>
  <c r="F46" i="7"/>
  <c r="F39" i="7"/>
  <c r="F47" i="7"/>
  <c r="F40" i="7"/>
  <c r="F48" i="7"/>
  <c r="F41" i="7"/>
  <c r="F49" i="7"/>
  <c r="F42" i="7"/>
  <c r="F50" i="7"/>
  <c r="F51" i="7"/>
  <c r="F43" i="7"/>
  <c r="AB99" i="9"/>
  <c r="AB73" i="9"/>
  <c r="AB74" i="9"/>
  <c r="P22" i="12"/>
  <c r="P106" i="12" s="1"/>
  <c r="Z106" i="12" s="1"/>
  <c r="F159" i="7"/>
  <c r="G159" i="7" s="1"/>
  <c r="P6" i="12"/>
  <c r="F143" i="7"/>
  <c r="G143" i="7" s="1"/>
  <c r="P5" i="12"/>
  <c r="F142" i="7"/>
  <c r="G142" i="7" s="1"/>
  <c r="P11" i="12"/>
  <c r="P95" i="12" s="1"/>
  <c r="Z95" i="12" s="1"/>
  <c r="F148" i="7"/>
  <c r="G148" i="7" s="1"/>
  <c r="D83" i="5"/>
  <c r="AB48" i="9"/>
  <c r="AB80" i="9"/>
  <c r="AB82" i="9"/>
  <c r="AB98" i="9"/>
  <c r="AB68" i="9"/>
  <c r="AB76" i="9"/>
  <c r="AB52" i="9"/>
  <c r="AB54" i="9"/>
  <c r="AB40" i="9"/>
  <c r="AB43" i="9"/>
  <c r="AB102" i="9"/>
  <c r="AB78" i="9"/>
  <c r="AB101" i="9"/>
  <c r="AB46" i="9"/>
  <c r="AB106" i="9"/>
  <c r="AB108" i="9"/>
  <c r="AB83" i="9"/>
  <c r="AB72" i="9"/>
  <c r="AB67" i="9"/>
  <c r="AB75" i="9"/>
  <c r="AB105" i="9"/>
  <c r="AB53" i="9"/>
  <c r="AB47" i="9"/>
  <c r="AB79" i="9"/>
  <c r="AB111" i="9"/>
  <c r="AB100" i="9"/>
  <c r="AB39" i="9"/>
  <c r="AB69" i="9"/>
  <c r="AB51" i="9"/>
  <c r="AB44" i="9"/>
  <c r="AB97" i="9"/>
  <c r="AB77" i="9"/>
  <c r="AB81" i="9"/>
  <c r="AB70" i="9"/>
  <c r="AB95" i="9"/>
  <c r="AB41" i="9"/>
  <c r="AB55" i="9"/>
  <c r="AB103" i="9"/>
  <c r="AB49" i="9"/>
  <c r="AB107" i="9"/>
  <c r="AB109" i="9"/>
  <c r="AB45" i="9"/>
  <c r="AB42" i="9"/>
  <c r="AB96" i="9"/>
  <c r="F37" i="7"/>
  <c r="AL13" i="9"/>
  <c r="AL17" i="9"/>
  <c r="AL21" i="9"/>
  <c r="AL25" i="9"/>
  <c r="AL14" i="9"/>
  <c r="AL18" i="9"/>
  <c r="AL27" i="9"/>
  <c r="AL11" i="9"/>
  <c r="AL15" i="9"/>
  <c r="AL19" i="9"/>
  <c r="AL23" i="9"/>
  <c r="AL22" i="9"/>
  <c r="AL12" i="9"/>
  <c r="AL16" i="9"/>
  <c r="AL20" i="9"/>
  <c r="AL24" i="9"/>
  <c r="AL26" i="9"/>
  <c r="AL10" i="9"/>
  <c r="AB56" i="9"/>
  <c r="T16" i="9"/>
  <c r="T25" i="9"/>
  <c r="T9" i="9"/>
  <c r="T12" i="9"/>
  <c r="T11" i="9"/>
  <c r="T10" i="9"/>
  <c r="N54" i="9"/>
  <c r="N97" i="9"/>
  <c r="N48" i="9"/>
  <c r="N55" i="9"/>
  <c r="N44" i="9"/>
  <c r="N98" i="9"/>
  <c r="N84" i="9"/>
  <c r="N81" i="9"/>
  <c r="N49" i="9"/>
  <c r="T24" i="9"/>
  <c r="T21" i="9"/>
  <c r="N108" i="9"/>
  <c r="N102" i="9"/>
  <c r="N42" i="9"/>
  <c r="N109" i="9"/>
  <c r="N78" i="9"/>
  <c r="N72" i="9"/>
  <c r="N69" i="9"/>
  <c r="T18" i="9"/>
  <c r="T13" i="9"/>
  <c r="N41" i="9"/>
  <c r="N111" i="9"/>
  <c r="N53" i="9"/>
  <c r="N96" i="9"/>
  <c r="N79" i="9"/>
  <c r="N75" i="9"/>
  <c r="T19" i="9"/>
  <c r="N103" i="9"/>
  <c r="N46" i="9"/>
  <c r="N40" i="9"/>
  <c r="N107" i="9"/>
  <c r="N47" i="9"/>
  <c r="N76" i="9"/>
  <c r="N73" i="9"/>
  <c r="N82" i="9"/>
  <c r="N43" i="9"/>
  <c r="N104" i="9"/>
  <c r="AL104" i="9" s="1"/>
  <c r="N66" i="9"/>
  <c r="T17" i="9"/>
  <c r="T22" i="9"/>
  <c r="N100" i="9"/>
  <c r="N51" i="9"/>
  <c r="N71" i="9"/>
  <c r="N94" i="9"/>
  <c r="N112" i="9"/>
  <c r="N101" i="9"/>
  <c r="N70" i="9"/>
  <c r="T20" i="9"/>
  <c r="T23" i="9"/>
  <c r="T14" i="9"/>
  <c r="N105" i="9"/>
  <c r="N56" i="9"/>
  <c r="N45" i="9"/>
  <c r="N52" i="9"/>
  <c r="N106" i="9"/>
  <c r="N67" i="9"/>
  <c r="N74" i="9"/>
  <c r="N83" i="9"/>
  <c r="T15" i="9"/>
  <c r="T27" i="9"/>
  <c r="T26" i="9"/>
  <c r="N95" i="9"/>
  <c r="N38" i="9"/>
  <c r="N110" i="9"/>
  <c r="N99" i="9"/>
  <c r="AL99" i="9" s="1"/>
  <c r="N50" i="9"/>
  <c r="AL50" i="9" s="1"/>
  <c r="N39" i="9"/>
  <c r="T39" i="9" s="1"/>
  <c r="N68" i="9"/>
  <c r="N77" i="9"/>
  <c r="N80" i="9"/>
  <c r="C83" i="5"/>
  <c r="E77" i="5"/>
  <c r="F83" i="5"/>
  <c r="D77" i="5"/>
  <c r="C77" i="5"/>
  <c r="E83" i="5"/>
  <c r="J61" i="7"/>
  <c r="F8" i="7"/>
  <c r="J63" i="7"/>
  <c r="J60" i="7"/>
  <c r="J77" i="2"/>
  <c r="D169" i="7"/>
  <c r="D170" i="7"/>
  <c r="F6" i="7"/>
  <c r="D168" i="7"/>
  <c r="E222" i="7"/>
  <c r="M65" i="10"/>
  <c r="M38" i="10"/>
  <c r="M66" i="10"/>
  <c r="M59" i="10"/>
  <c r="M32" i="10"/>
  <c r="P32" i="10" s="1"/>
  <c r="AD32" i="10" s="1"/>
  <c r="M44" i="10"/>
  <c r="M33" i="10"/>
  <c r="P33" i="10" s="1"/>
  <c r="AD33" i="10" s="1"/>
  <c r="M60" i="10"/>
  <c r="P60" i="10" s="1"/>
  <c r="M49" i="10"/>
  <c r="M76" i="10"/>
  <c r="K75" i="2"/>
  <c r="K76" i="2"/>
  <c r="J71" i="2"/>
  <c r="G20" i="8"/>
  <c r="G12" i="8"/>
  <c r="G13" i="8"/>
  <c r="G8" i="8"/>
  <c r="G24" i="8"/>
  <c r="G17" i="8"/>
  <c r="G10" i="8"/>
  <c r="G45" i="5"/>
  <c r="G24" i="5"/>
  <c r="G75" i="5" s="1"/>
  <c r="G3" i="5"/>
  <c r="G80" i="5" s="1"/>
  <c r="G36" i="1"/>
  <c r="G23" i="5" s="1"/>
  <c r="G22" i="8"/>
  <c r="G21" i="8"/>
  <c r="I71" i="2"/>
  <c r="G15" i="8"/>
  <c r="G25" i="8"/>
  <c r="G23" i="8"/>
  <c r="G19" i="8"/>
  <c r="AB4" i="10"/>
  <c r="G18" i="8"/>
  <c r="G11" i="8"/>
  <c r="G14" i="8"/>
  <c r="G16" i="8"/>
  <c r="G63" i="1"/>
  <c r="G44" i="5" s="1"/>
  <c r="M45" i="10" l="1"/>
  <c r="M72" i="10"/>
  <c r="F150" i="7"/>
  <c r="G150" i="7" s="1"/>
  <c r="F155" i="7"/>
  <c r="G155" i="7" s="1"/>
  <c r="F149" i="7"/>
  <c r="G149" i="7" s="1"/>
  <c r="P12" i="12"/>
  <c r="P96" i="12" s="1"/>
  <c r="Z96" i="12" s="1"/>
  <c r="M41" i="10"/>
  <c r="F151" i="7"/>
  <c r="G151" i="7" s="1"/>
  <c r="M36" i="10"/>
  <c r="P14" i="12"/>
  <c r="P98" i="12" s="1"/>
  <c r="Z98" i="12" s="1"/>
  <c r="M63" i="10"/>
  <c r="F158" i="7"/>
  <c r="G158" i="7" s="1"/>
  <c r="P9" i="12"/>
  <c r="P93" i="12" s="1"/>
  <c r="Z93" i="12" s="1"/>
  <c r="M48" i="10"/>
  <c r="M67" i="10"/>
  <c r="P21" i="12"/>
  <c r="P105" i="12" s="1"/>
  <c r="Z105" i="12" s="1"/>
  <c r="M40" i="10"/>
  <c r="F170" i="7"/>
  <c r="K63" i="7"/>
  <c r="L63" i="7" s="1"/>
  <c r="F168" i="7"/>
  <c r="K61" i="7"/>
  <c r="L61" i="7"/>
  <c r="AM92" i="9"/>
  <c r="AN92" i="9" s="1"/>
  <c r="AM36" i="9"/>
  <c r="AN36" i="9" s="1"/>
  <c r="AM63" i="9"/>
  <c r="AN63" i="9" s="1"/>
  <c r="J137" i="12"/>
  <c r="J167" i="12" s="1"/>
  <c r="M99" i="10"/>
  <c r="J128" i="12"/>
  <c r="J158" i="12" s="1"/>
  <c r="M90" i="10"/>
  <c r="J127" i="12"/>
  <c r="J157" i="12" s="1"/>
  <c r="M89" i="10"/>
  <c r="J142" i="12"/>
  <c r="J172" i="12" s="1"/>
  <c r="M104" i="10"/>
  <c r="AA58" i="10"/>
  <c r="AC58" i="10" s="1"/>
  <c r="J134" i="12"/>
  <c r="J164" i="12" s="1"/>
  <c r="M96" i="10"/>
  <c r="J138" i="12"/>
  <c r="J168" i="12" s="1"/>
  <c r="M100" i="10"/>
  <c r="D11" i="7"/>
  <c r="E74" i="2"/>
  <c r="E77" i="2" s="1"/>
  <c r="D27" i="7"/>
  <c r="E189" i="7" s="1"/>
  <c r="D10" i="7"/>
  <c r="E172" i="7" s="1"/>
  <c r="J126" i="12"/>
  <c r="J156" i="12" s="1"/>
  <c r="P7" i="10"/>
  <c r="D12" i="7"/>
  <c r="E174" i="7" s="1"/>
  <c r="B48" i="2"/>
  <c r="J143" i="12"/>
  <c r="J173" i="12" s="1"/>
  <c r="M105" i="10"/>
  <c r="J145" i="12"/>
  <c r="J175" i="12" s="1"/>
  <c r="M107" i="10"/>
  <c r="J130" i="12"/>
  <c r="J160" i="12" s="1"/>
  <c r="M92" i="10"/>
  <c r="G81" i="5"/>
  <c r="G83" i="5" s="1"/>
  <c r="G70" i="5"/>
  <c r="D26" i="7"/>
  <c r="E188" i="7" s="1"/>
  <c r="D66" i="7"/>
  <c r="D20" i="7"/>
  <c r="E182" i="7" s="1"/>
  <c r="D19" i="7"/>
  <c r="D45" i="7" s="1"/>
  <c r="D22" i="7"/>
  <c r="D17" i="7"/>
  <c r="AM64" i="9"/>
  <c r="AN64" i="9" s="1"/>
  <c r="J133" i="12"/>
  <c r="J163" i="12" s="1"/>
  <c r="M95" i="10"/>
  <c r="J135" i="12"/>
  <c r="J165" i="12" s="1"/>
  <c r="M97" i="10"/>
  <c r="D23" i="7"/>
  <c r="E185" i="7" s="1"/>
  <c r="D18" i="7"/>
  <c r="E180" i="7" s="1"/>
  <c r="D14" i="7"/>
  <c r="E176" i="7" s="1"/>
  <c r="D16" i="7"/>
  <c r="E178" i="7" s="1"/>
  <c r="D15" i="7"/>
  <c r="D41" i="7" s="1"/>
  <c r="D25" i="7"/>
  <c r="J115" i="7"/>
  <c r="J131" i="12"/>
  <c r="J161" i="12" s="1"/>
  <c r="M93" i="10"/>
  <c r="J154" i="12"/>
  <c r="K124" i="12"/>
  <c r="K154" i="12" s="1"/>
  <c r="M108" i="10"/>
  <c r="P27" i="10"/>
  <c r="J139" i="12"/>
  <c r="J169" i="12" s="1"/>
  <c r="M101" i="10"/>
  <c r="J132" i="12"/>
  <c r="J162" i="12" s="1"/>
  <c r="M94" i="10"/>
  <c r="G69" i="5"/>
  <c r="D21" i="7"/>
  <c r="D47" i="7" s="1"/>
  <c r="H47" i="7" s="1"/>
  <c r="J129" i="12"/>
  <c r="J159" i="12" s="1"/>
  <c r="M91" i="10"/>
  <c r="D13" i="7"/>
  <c r="E175" i="7" s="1"/>
  <c r="D24" i="7"/>
  <c r="K87" i="7"/>
  <c r="L87" i="7" s="1"/>
  <c r="J140" i="12"/>
  <c r="J170" i="12" s="1"/>
  <c r="M102" i="10"/>
  <c r="J136" i="12"/>
  <c r="J166" i="12" s="1"/>
  <c r="M98" i="10"/>
  <c r="J144" i="12"/>
  <c r="J174" i="12" s="1"/>
  <c r="M106" i="10"/>
  <c r="J141" i="12"/>
  <c r="J171" i="12" s="1"/>
  <c r="M103" i="10"/>
  <c r="Q6" i="12"/>
  <c r="P90" i="12"/>
  <c r="Z90" i="12" s="1"/>
  <c r="Q5" i="12"/>
  <c r="P89" i="12"/>
  <c r="AL73" i="9"/>
  <c r="N81" i="2"/>
  <c r="N69" i="2"/>
  <c r="O45" i="2"/>
  <c r="N70" i="2"/>
  <c r="AL110" i="9"/>
  <c r="AL74" i="9"/>
  <c r="D52" i="7"/>
  <c r="H52" i="7" s="1"/>
  <c r="T56" i="9"/>
  <c r="AL71" i="9"/>
  <c r="F144" i="7"/>
  <c r="G144" i="7" s="1"/>
  <c r="M88" i="10"/>
  <c r="P88" i="10" s="1"/>
  <c r="F153" i="7"/>
  <c r="G153" i="7" s="1"/>
  <c r="M43" i="10"/>
  <c r="P17" i="12"/>
  <c r="P101" i="12" s="1"/>
  <c r="Z101" i="12" s="1"/>
  <c r="M74" i="10"/>
  <c r="F145" i="7"/>
  <c r="G145" i="7" s="1"/>
  <c r="M47" i="10"/>
  <c r="P8" i="12"/>
  <c r="F154" i="7"/>
  <c r="G154" i="7" s="1"/>
  <c r="P16" i="12"/>
  <c r="P100" i="12" s="1"/>
  <c r="Z100" i="12" s="1"/>
  <c r="M71" i="10"/>
  <c r="M35" i="10"/>
  <c r="F157" i="7"/>
  <c r="G157" i="7" s="1"/>
  <c r="M62" i="10"/>
  <c r="P20" i="12"/>
  <c r="P48" i="12" s="1"/>
  <c r="M37" i="10"/>
  <c r="P15" i="12"/>
  <c r="P99" i="12" s="1"/>
  <c r="Z99" i="12" s="1"/>
  <c r="M34" i="10"/>
  <c r="P34" i="10" s="1"/>
  <c r="AD34" i="10" s="1"/>
  <c r="M64" i="10"/>
  <c r="M42" i="10"/>
  <c r="P10" i="12"/>
  <c r="E219" i="7"/>
  <c r="F152" i="7"/>
  <c r="G152" i="7" s="1"/>
  <c r="E221" i="7"/>
  <c r="M69" i="10"/>
  <c r="M46" i="10"/>
  <c r="E220" i="7"/>
  <c r="F156" i="7"/>
  <c r="G156" i="7" s="1"/>
  <c r="M73" i="10"/>
  <c r="P19" i="12"/>
  <c r="P7" i="12"/>
  <c r="M61" i="10"/>
  <c r="P61" i="10" s="1"/>
  <c r="O24" i="2"/>
  <c r="Q137" i="20"/>
  <c r="Q165" i="20" s="1"/>
  <c r="O66" i="20"/>
  <c r="O166" i="20" s="1"/>
  <c r="R87" i="20"/>
  <c r="R169" i="20" s="1"/>
  <c r="Q88" i="20"/>
  <c r="Q170" i="20" s="1"/>
  <c r="Z22" i="12"/>
  <c r="P78" i="12"/>
  <c r="P50" i="12"/>
  <c r="Z12" i="12"/>
  <c r="P68" i="12"/>
  <c r="Z9" i="12"/>
  <c r="P37" i="12"/>
  <c r="P65" i="12"/>
  <c r="Z6" i="12"/>
  <c r="P62" i="12"/>
  <c r="Q62" i="12" s="1"/>
  <c r="P34" i="12"/>
  <c r="Q34" i="12" s="1"/>
  <c r="Z13" i="12"/>
  <c r="P69" i="12"/>
  <c r="P41" i="12"/>
  <c r="Z11" i="12"/>
  <c r="P67" i="12"/>
  <c r="P39" i="12"/>
  <c r="Z14" i="12"/>
  <c r="P70" i="12"/>
  <c r="P42" i="12"/>
  <c r="Z18" i="12"/>
  <c r="P74" i="12"/>
  <c r="P46" i="12"/>
  <c r="Z5" i="12"/>
  <c r="P33" i="12"/>
  <c r="Q33" i="12" s="1"/>
  <c r="P61" i="12"/>
  <c r="Q61" i="12" s="1"/>
  <c r="P25" i="12"/>
  <c r="P59" i="10"/>
  <c r="AD59" i="10" s="1"/>
  <c r="D40" i="7"/>
  <c r="H40" i="7" s="1"/>
  <c r="D53" i="7"/>
  <c r="H53" i="7" s="1"/>
  <c r="D46" i="7"/>
  <c r="E186" i="7"/>
  <c r="D50" i="7"/>
  <c r="H50" i="7" s="1"/>
  <c r="E181" i="7"/>
  <c r="D48" i="7"/>
  <c r="E184" i="7"/>
  <c r="E183" i="7"/>
  <c r="E187" i="7"/>
  <c r="D51" i="7"/>
  <c r="E179" i="7"/>
  <c r="D43" i="7"/>
  <c r="D44" i="7"/>
  <c r="AL8" i="9"/>
  <c r="D38" i="7"/>
  <c r="T112" i="9"/>
  <c r="AL112" i="9"/>
  <c r="T84" i="9"/>
  <c r="AL84" i="9"/>
  <c r="E173" i="7"/>
  <c r="D37" i="7"/>
  <c r="AL45" i="9"/>
  <c r="AL44" i="9"/>
  <c r="AL79" i="9"/>
  <c r="AL72" i="9"/>
  <c r="AL98" i="9"/>
  <c r="AL9" i="9"/>
  <c r="AB94" i="9"/>
  <c r="AB66" i="9"/>
  <c r="AB38" i="9"/>
  <c r="AL109" i="9"/>
  <c r="AL51" i="9"/>
  <c r="AL47" i="9"/>
  <c r="AL83" i="9"/>
  <c r="AL82" i="9"/>
  <c r="AL56" i="9"/>
  <c r="AL107" i="9"/>
  <c r="AL41" i="9"/>
  <c r="AL53" i="9"/>
  <c r="AL108" i="9"/>
  <c r="AL43" i="9"/>
  <c r="AL80" i="9"/>
  <c r="AL49" i="9"/>
  <c r="AL95" i="9"/>
  <c r="AL105" i="9"/>
  <c r="AL106" i="9"/>
  <c r="AL40" i="9"/>
  <c r="AL48" i="9"/>
  <c r="AL103" i="9"/>
  <c r="AL70" i="9"/>
  <c r="AL69" i="9"/>
  <c r="AL75" i="9"/>
  <c r="AL46" i="9"/>
  <c r="AL54" i="9"/>
  <c r="H46" i="7"/>
  <c r="AL55" i="9"/>
  <c r="AL81" i="9"/>
  <c r="AL39" i="9"/>
  <c r="AL101" i="9"/>
  <c r="AL52" i="9"/>
  <c r="AL96" i="9"/>
  <c r="AL77" i="9"/>
  <c r="AL100" i="9"/>
  <c r="AL78" i="9"/>
  <c r="AL76" i="9"/>
  <c r="AL42" i="9"/>
  <c r="AL97" i="9"/>
  <c r="AL111" i="9"/>
  <c r="AL67" i="9"/>
  <c r="AL102" i="9"/>
  <c r="AL68" i="9"/>
  <c r="Y35" i="12"/>
  <c r="T52" i="9"/>
  <c r="T100" i="9"/>
  <c r="T73" i="9"/>
  <c r="T46" i="9"/>
  <c r="T79" i="9"/>
  <c r="T102" i="9"/>
  <c r="T44" i="9"/>
  <c r="T54" i="9"/>
  <c r="T50" i="9"/>
  <c r="T70" i="9"/>
  <c r="T76" i="9"/>
  <c r="T103" i="9"/>
  <c r="T96" i="9"/>
  <c r="T69" i="9"/>
  <c r="T108" i="9"/>
  <c r="T78" i="9"/>
  <c r="T110" i="9"/>
  <c r="H81" i="7" s="1"/>
  <c r="T83" i="9"/>
  <c r="F82" i="7" s="1"/>
  <c r="T104" i="9"/>
  <c r="T49" i="9"/>
  <c r="T101" i="9"/>
  <c r="T55" i="9"/>
  <c r="T66" i="9"/>
  <c r="T47" i="9"/>
  <c r="T80" i="9"/>
  <c r="T38" i="9"/>
  <c r="T74" i="9"/>
  <c r="T105" i="9"/>
  <c r="T94" i="9"/>
  <c r="T43" i="9"/>
  <c r="T107" i="9"/>
  <c r="T111" i="9"/>
  <c r="H82" i="7" s="1"/>
  <c r="T109" i="9"/>
  <c r="T81" i="9"/>
  <c r="T48" i="9"/>
  <c r="T99" i="9"/>
  <c r="T53" i="9"/>
  <c r="T77" i="9"/>
  <c r="T67" i="9"/>
  <c r="T71" i="9"/>
  <c r="T82" i="9"/>
  <c r="T40" i="9"/>
  <c r="T75" i="9"/>
  <c r="T41" i="9"/>
  <c r="T42" i="9"/>
  <c r="T97" i="9"/>
  <c r="T45" i="9"/>
  <c r="T72" i="9"/>
  <c r="T68" i="9"/>
  <c r="T95" i="9"/>
  <c r="T106" i="9"/>
  <c r="T51" i="9"/>
  <c r="T98" i="9"/>
  <c r="T8" i="9"/>
  <c r="N37" i="9"/>
  <c r="AL37" i="9" s="1"/>
  <c r="N93" i="9"/>
  <c r="AL93" i="9" s="1"/>
  <c r="N65" i="9"/>
  <c r="AL65" i="9" s="1"/>
  <c r="Y63" i="12"/>
  <c r="D33" i="7"/>
  <c r="H33" i="7" s="1"/>
  <c r="J33" i="7" s="1"/>
  <c r="E169" i="7"/>
  <c r="F7" i="7"/>
  <c r="E170" i="7"/>
  <c r="D34" i="7"/>
  <c r="H34" i="7" s="1"/>
  <c r="J34" i="7" s="1"/>
  <c r="K77" i="2"/>
  <c r="M52" i="10"/>
  <c r="G2" i="5"/>
  <c r="H4" i="5"/>
  <c r="H3" i="5"/>
  <c r="L76" i="2"/>
  <c r="L75" i="2"/>
  <c r="K71" i="2"/>
  <c r="Y62" i="12"/>
  <c r="Y34" i="12"/>
  <c r="G7" i="8"/>
  <c r="H46" i="5"/>
  <c r="H76" i="5" s="1"/>
  <c r="H45" i="5"/>
  <c r="H38" i="1"/>
  <c r="H25" i="5" s="1"/>
  <c r="H24" i="5"/>
  <c r="H36" i="1"/>
  <c r="H23" i="5" s="1"/>
  <c r="H63" i="1"/>
  <c r="H44" i="5" s="1"/>
  <c r="Y36" i="12"/>
  <c r="Y64" i="12"/>
  <c r="P49" i="12" l="1"/>
  <c r="P40" i="12"/>
  <c r="Z16" i="12"/>
  <c r="P77" i="12"/>
  <c r="Z21" i="12"/>
  <c r="D36" i="7"/>
  <c r="F169" i="7"/>
  <c r="K62" i="7"/>
  <c r="L62" i="7" s="1"/>
  <c r="D39" i="7"/>
  <c r="D42" i="7"/>
  <c r="F71" i="7"/>
  <c r="D74" i="7"/>
  <c r="F77" i="7"/>
  <c r="D81" i="7"/>
  <c r="D71" i="7"/>
  <c r="F70" i="7"/>
  <c r="F66" i="7"/>
  <c r="D9" i="7"/>
  <c r="E171" i="7" s="1"/>
  <c r="D82" i="7"/>
  <c r="D80" i="7"/>
  <c r="H67" i="7"/>
  <c r="F67" i="7"/>
  <c r="F81" i="7"/>
  <c r="F79" i="7"/>
  <c r="D79" i="7"/>
  <c r="D72" i="7"/>
  <c r="F65" i="7"/>
  <c r="D49" i="7"/>
  <c r="D70" i="7"/>
  <c r="H70" i="5"/>
  <c r="D78" i="7"/>
  <c r="H70" i="7"/>
  <c r="H74" i="7"/>
  <c r="H80" i="7"/>
  <c r="D77" i="7"/>
  <c r="H78" i="7"/>
  <c r="G74" i="5"/>
  <c r="G68" i="5"/>
  <c r="G71" i="5" s="1"/>
  <c r="F76" i="7"/>
  <c r="H73" i="7"/>
  <c r="D69" i="7"/>
  <c r="H72" i="7"/>
  <c r="D68" i="7"/>
  <c r="H76" i="7"/>
  <c r="D73" i="7"/>
  <c r="H69" i="5"/>
  <c r="H77" i="7"/>
  <c r="F74" i="7"/>
  <c r="D75" i="7"/>
  <c r="F73" i="7"/>
  <c r="H75" i="7"/>
  <c r="F75" i="7"/>
  <c r="F72" i="7"/>
  <c r="E177" i="7"/>
  <c r="B49" i="2"/>
  <c r="R61" i="12"/>
  <c r="AA61" i="12" s="1"/>
  <c r="R60" i="12"/>
  <c r="AA60" i="12" s="1"/>
  <c r="H79" i="7"/>
  <c r="H68" i="7"/>
  <c r="F68" i="7"/>
  <c r="H69" i="7"/>
  <c r="H65" i="7"/>
  <c r="F78" i="7"/>
  <c r="D76" i="7"/>
  <c r="H75" i="5"/>
  <c r="H66" i="7"/>
  <c r="D67" i="7"/>
  <c r="F80" i="7"/>
  <c r="D65" i="7"/>
  <c r="F69" i="7"/>
  <c r="H71" i="7"/>
  <c r="P73" i="12"/>
  <c r="Z17" i="12"/>
  <c r="P72" i="12"/>
  <c r="Z15" i="12"/>
  <c r="P76" i="12"/>
  <c r="H80" i="5"/>
  <c r="J123" i="12"/>
  <c r="M85" i="10"/>
  <c r="P85" i="10" s="1"/>
  <c r="AD85" i="10" s="1"/>
  <c r="AE85" i="10" s="1"/>
  <c r="AA86" i="10" s="1"/>
  <c r="AC86" i="10" s="1"/>
  <c r="P44" i="12"/>
  <c r="P45" i="12"/>
  <c r="Q7" i="12"/>
  <c r="P91" i="12"/>
  <c r="Z91" i="12" s="1"/>
  <c r="P103" i="12"/>
  <c r="Z103" i="12" s="1"/>
  <c r="Z8" i="12"/>
  <c r="P92" i="12"/>
  <c r="Z92" i="12" s="1"/>
  <c r="Z89" i="12"/>
  <c r="Q89" i="12"/>
  <c r="Z20" i="12"/>
  <c r="P104" i="12"/>
  <c r="Z104" i="12" s="1"/>
  <c r="P43" i="12"/>
  <c r="Z10" i="12"/>
  <c r="P94" i="12"/>
  <c r="Z94" i="12" s="1"/>
  <c r="P109" i="12"/>
  <c r="Z109" i="12" s="1"/>
  <c r="P71" i="12"/>
  <c r="H81" i="5"/>
  <c r="O69" i="2"/>
  <c r="O81" i="2"/>
  <c r="P45" i="2"/>
  <c r="O70" i="2"/>
  <c r="P64" i="12"/>
  <c r="P36" i="12"/>
  <c r="F160" i="7"/>
  <c r="G160" i="7" s="1"/>
  <c r="F161" i="7"/>
  <c r="G161" i="7" s="1"/>
  <c r="M51" i="10"/>
  <c r="P24" i="12"/>
  <c r="M78" i="10"/>
  <c r="P38" i="12"/>
  <c r="P66" i="12"/>
  <c r="F162" i="7"/>
  <c r="G162" i="7" s="1"/>
  <c r="P47" i="12"/>
  <c r="M79" i="10"/>
  <c r="P23" i="12"/>
  <c r="P75" i="12"/>
  <c r="P35" i="12"/>
  <c r="Q35" i="12" s="1"/>
  <c r="M77" i="10"/>
  <c r="P63" i="12"/>
  <c r="Q63" i="12" s="1"/>
  <c r="Z19" i="12"/>
  <c r="M50" i="10"/>
  <c r="Z7" i="12"/>
  <c r="M53" i="10"/>
  <c r="P24" i="2"/>
  <c r="H90" i="5"/>
  <c r="S96" i="20"/>
  <c r="S169" i="20" s="1"/>
  <c r="P75" i="20"/>
  <c r="P166" i="20" s="1"/>
  <c r="R97" i="20"/>
  <c r="R170" i="20" s="1"/>
  <c r="R146" i="20"/>
  <c r="R165" i="20" s="1"/>
  <c r="H91" i="5"/>
  <c r="M80" i="10"/>
  <c r="Z25" i="12"/>
  <c r="P53" i="12"/>
  <c r="P81" i="12"/>
  <c r="F141" i="7"/>
  <c r="P4" i="12"/>
  <c r="P26" i="12"/>
  <c r="F163" i="7"/>
  <c r="G163" i="7" s="1"/>
  <c r="H41" i="7"/>
  <c r="H49" i="7"/>
  <c r="H45" i="7"/>
  <c r="H39" i="7"/>
  <c r="H44" i="7"/>
  <c r="H38" i="7"/>
  <c r="H42" i="7"/>
  <c r="H43" i="7"/>
  <c r="H48" i="7"/>
  <c r="H51" i="7"/>
  <c r="H37" i="7"/>
  <c r="AL66" i="9"/>
  <c r="AL38" i="9"/>
  <c r="AL94" i="9"/>
  <c r="H36" i="7"/>
  <c r="T93" i="9"/>
  <c r="T65" i="9"/>
  <c r="T37" i="9"/>
  <c r="D35" i="7"/>
  <c r="H35" i="7" s="1"/>
  <c r="M31" i="10"/>
  <c r="M58" i="10"/>
  <c r="F77" i="5"/>
  <c r="H2" i="5"/>
  <c r="L77" i="2"/>
  <c r="I4" i="5"/>
  <c r="I3" i="5"/>
  <c r="I5" i="5"/>
  <c r="M76" i="2"/>
  <c r="L71" i="2"/>
  <c r="M75" i="2"/>
  <c r="I63" i="1"/>
  <c r="I44" i="5" s="1"/>
  <c r="I46" i="5"/>
  <c r="I45" i="5"/>
  <c r="I38" i="1"/>
  <c r="I25" i="5" s="1"/>
  <c r="I24" i="5"/>
  <c r="I47" i="5"/>
  <c r="I82" i="5" s="1"/>
  <c r="I39" i="1"/>
  <c r="I26" i="5" s="1"/>
  <c r="I36" i="1"/>
  <c r="I23" i="5" s="1"/>
  <c r="AE86" i="10" l="1"/>
  <c r="R89" i="12"/>
  <c r="D64" i="7"/>
  <c r="F64" i="7"/>
  <c r="I70" i="5"/>
  <c r="H74" i="5"/>
  <c r="H68" i="5"/>
  <c r="H71" i="5" s="1"/>
  <c r="H64" i="7"/>
  <c r="I69" i="5"/>
  <c r="R4" i="12"/>
  <c r="AA4" i="12" s="1"/>
  <c r="B50" i="2"/>
  <c r="K123" i="12"/>
  <c r="K153" i="12" s="1"/>
  <c r="J153" i="12"/>
  <c r="I75" i="5"/>
  <c r="H83" i="5"/>
  <c r="I81" i="5"/>
  <c r="I76" i="5"/>
  <c r="Q4" i="12"/>
  <c r="P88" i="12"/>
  <c r="P110" i="12"/>
  <c r="Z110" i="12" s="1"/>
  <c r="P82" i="12"/>
  <c r="P107" i="12"/>
  <c r="Z107" i="12" s="1"/>
  <c r="P108" i="12"/>
  <c r="Z108" i="12" s="1"/>
  <c r="M123" i="12"/>
  <c r="I90" i="5"/>
  <c r="I80" i="5"/>
  <c r="P69" i="2"/>
  <c r="P81" i="2"/>
  <c r="Q45" i="2"/>
  <c r="P70" i="2"/>
  <c r="P52" i="12"/>
  <c r="Z24" i="12"/>
  <c r="P80" i="12"/>
  <c r="Z23" i="12"/>
  <c r="P51" i="12"/>
  <c r="P79" i="12"/>
  <c r="M54" i="10"/>
  <c r="M81" i="10"/>
  <c r="I91" i="5"/>
  <c r="Q24" i="2"/>
  <c r="S106" i="20"/>
  <c r="S170" i="20" s="1"/>
  <c r="Q84" i="20"/>
  <c r="Q166" i="20" s="1"/>
  <c r="S155" i="20"/>
  <c r="S165" i="20" s="1"/>
  <c r="T105" i="20"/>
  <c r="T169" i="20" s="1"/>
  <c r="P54" i="12"/>
  <c r="P60" i="12"/>
  <c r="Q60" i="12" s="1"/>
  <c r="P32" i="12"/>
  <c r="Q32" i="12" s="1"/>
  <c r="P31" i="10"/>
  <c r="Z26" i="12"/>
  <c r="P58" i="10"/>
  <c r="AD58" i="10" s="1"/>
  <c r="AE58" i="10" s="1"/>
  <c r="Z4" i="12"/>
  <c r="G77" i="5"/>
  <c r="I2" i="5"/>
  <c r="J4" i="5"/>
  <c r="J3" i="5"/>
  <c r="J6" i="5"/>
  <c r="J5" i="5"/>
  <c r="M77" i="2"/>
  <c r="N76" i="2"/>
  <c r="N75" i="2"/>
  <c r="M71" i="2"/>
  <c r="J47" i="5"/>
  <c r="J39" i="1"/>
  <c r="J26" i="5" s="1"/>
  <c r="J36" i="1"/>
  <c r="J23" i="5" s="1"/>
  <c r="J46" i="5"/>
  <c r="J38" i="1"/>
  <c r="J25" i="5" s="1"/>
  <c r="J45" i="5"/>
  <c r="J24" i="5"/>
  <c r="J48" i="5"/>
  <c r="J40" i="1"/>
  <c r="J27" i="5" s="1"/>
  <c r="J63" i="1"/>
  <c r="J44" i="5" s="1"/>
  <c r="AA87" i="10" l="1"/>
  <c r="AC87" i="10" s="1"/>
  <c r="R90" i="12" s="1"/>
  <c r="S89" i="12"/>
  <c r="J69" i="5"/>
  <c r="J70" i="5"/>
  <c r="I74" i="5"/>
  <c r="I68" i="5"/>
  <c r="I71" i="5" s="1"/>
  <c r="S4" i="12"/>
  <c r="L123" i="12"/>
  <c r="L153" i="12" s="1"/>
  <c r="AA88" i="12"/>
  <c r="B51" i="2"/>
  <c r="J76" i="5"/>
  <c r="J82" i="5"/>
  <c r="Q88" i="12"/>
  <c r="Z88" i="12"/>
  <c r="J80" i="5"/>
  <c r="J75" i="5"/>
  <c r="J81" i="5"/>
  <c r="R45" i="2"/>
  <c r="Q70" i="2"/>
  <c r="Q81" i="2"/>
  <c r="Q69" i="2"/>
  <c r="J90" i="5"/>
  <c r="J91" i="5"/>
  <c r="R24" i="2"/>
  <c r="J92" i="5"/>
  <c r="U114" i="20"/>
  <c r="U169" i="20" s="1"/>
  <c r="R93" i="20"/>
  <c r="R166" i="20" s="1"/>
  <c r="T115" i="20"/>
  <c r="T170" i="20" s="1"/>
  <c r="AD31" i="10"/>
  <c r="AE31" i="10" s="1"/>
  <c r="AA59" i="10"/>
  <c r="S60" i="12"/>
  <c r="H77" i="5"/>
  <c r="I83" i="5"/>
  <c r="Y37" i="12"/>
  <c r="Y65" i="12"/>
  <c r="Y66" i="12"/>
  <c r="Y38" i="12"/>
  <c r="J2" i="5"/>
  <c r="K7" i="5"/>
  <c r="K4" i="5"/>
  <c r="K5" i="5"/>
  <c r="K6" i="5"/>
  <c r="O76" i="2"/>
  <c r="N77" i="2"/>
  <c r="N71" i="2"/>
  <c r="O75" i="2"/>
  <c r="K48" i="5"/>
  <c r="K40" i="1"/>
  <c r="K27" i="5" s="1"/>
  <c r="K38" i="1"/>
  <c r="K25" i="5" s="1"/>
  <c r="K45" i="5"/>
  <c r="K24" i="5"/>
  <c r="K3" i="5"/>
  <c r="K49" i="5"/>
  <c r="K36" i="1"/>
  <c r="K23" i="5" s="1"/>
  <c r="K47" i="5"/>
  <c r="K41" i="1"/>
  <c r="K28" i="5" s="1"/>
  <c r="K46" i="5"/>
  <c r="K76" i="5" s="1"/>
  <c r="K39" i="1"/>
  <c r="K26" i="5" s="1"/>
  <c r="K63" i="1"/>
  <c r="K44" i="5" s="1"/>
  <c r="N123" i="12" l="1"/>
  <c r="M153" i="12" s="1"/>
  <c r="AA5" i="10"/>
  <c r="R5" i="12" s="1"/>
  <c r="AA5" i="12" s="1"/>
  <c r="B52" i="2"/>
  <c r="K69" i="5"/>
  <c r="J74" i="5"/>
  <c r="J68" i="5"/>
  <c r="J71" i="5" s="1"/>
  <c r="AC59" i="10"/>
  <c r="AE59" i="10" s="1"/>
  <c r="S32" i="12"/>
  <c r="K70" i="5"/>
  <c r="K81" i="5"/>
  <c r="K82" i="5"/>
  <c r="K80" i="5"/>
  <c r="K75" i="5"/>
  <c r="R81" i="2"/>
  <c r="R69" i="2"/>
  <c r="S45" i="2"/>
  <c r="R70" i="2"/>
  <c r="K92" i="5"/>
  <c r="S24" i="2"/>
  <c r="K90" i="5"/>
  <c r="U124" i="20"/>
  <c r="U170" i="20" s="1"/>
  <c r="S102" i="20"/>
  <c r="S166" i="20" s="1"/>
  <c r="U116" i="20"/>
  <c r="K91" i="5"/>
  <c r="AA32" i="10"/>
  <c r="R62" i="12"/>
  <c r="AA62" i="12" s="1"/>
  <c r="Z60" i="12"/>
  <c r="Z32" i="12"/>
  <c r="I77" i="5"/>
  <c r="J83" i="5"/>
  <c r="K2" i="5"/>
  <c r="L7" i="5"/>
  <c r="L4" i="5"/>
  <c r="L3" i="5"/>
  <c r="L5" i="5"/>
  <c r="L8" i="5"/>
  <c r="L6" i="5"/>
  <c r="P76" i="2"/>
  <c r="O77" i="2"/>
  <c r="O71" i="2"/>
  <c r="P75" i="2"/>
  <c r="L63" i="1"/>
  <c r="L44" i="5" s="1"/>
  <c r="L46" i="5"/>
  <c r="L45" i="5"/>
  <c r="L38" i="1"/>
  <c r="L25" i="5" s="1"/>
  <c r="L24" i="5"/>
  <c r="L48" i="5"/>
  <c r="L40" i="1"/>
  <c r="L27" i="5" s="1"/>
  <c r="L49" i="5"/>
  <c r="L36" i="1"/>
  <c r="L23" i="5" s="1"/>
  <c r="L50" i="5"/>
  <c r="L47" i="5"/>
  <c r="L41" i="1"/>
  <c r="L28" i="5" s="1"/>
  <c r="L42" i="1"/>
  <c r="L29" i="5" s="1"/>
  <c r="L39" i="1"/>
  <c r="L26" i="5" s="1"/>
  <c r="B53" i="2" l="1"/>
  <c r="K74" i="5"/>
  <c r="K68" i="5"/>
  <c r="K71" i="5" s="1"/>
  <c r="L70" i="5"/>
  <c r="AC5" i="10"/>
  <c r="L69" i="5"/>
  <c r="L81" i="5"/>
  <c r="L82" i="5"/>
  <c r="L76" i="5"/>
  <c r="L80" i="5"/>
  <c r="L75" i="5"/>
  <c r="S81" i="2"/>
  <c r="S69" i="2"/>
  <c r="T45" i="2"/>
  <c r="S70" i="2"/>
  <c r="L90" i="5"/>
  <c r="L93" i="5"/>
  <c r="T24" i="2"/>
  <c r="U180" i="20"/>
  <c r="T111" i="20"/>
  <c r="T166" i="20" s="1"/>
  <c r="L91" i="5"/>
  <c r="L92" i="5"/>
  <c r="AC32" i="10"/>
  <c r="AE32" i="10" s="1"/>
  <c r="R33" i="12"/>
  <c r="AA33" i="12" s="1"/>
  <c r="AA60" i="10"/>
  <c r="S61" i="12"/>
  <c r="K83" i="5"/>
  <c r="J77" i="5"/>
  <c r="L2" i="5"/>
  <c r="M9" i="5"/>
  <c r="M4" i="5"/>
  <c r="M3" i="5"/>
  <c r="M5" i="5"/>
  <c r="M8" i="5"/>
  <c r="M6" i="5"/>
  <c r="M7" i="5"/>
  <c r="Q76" i="2"/>
  <c r="P77" i="2"/>
  <c r="Q75" i="2"/>
  <c r="P71" i="2"/>
  <c r="M63" i="1"/>
  <c r="M44" i="5" s="1"/>
  <c r="M47" i="5"/>
  <c r="M39" i="1"/>
  <c r="M26" i="5" s="1"/>
  <c r="M36" i="1"/>
  <c r="M23" i="5" s="1"/>
  <c r="M45" i="5"/>
  <c r="M24" i="5"/>
  <c r="M49" i="5"/>
  <c r="M50" i="5"/>
  <c r="M48" i="5"/>
  <c r="M41" i="1"/>
  <c r="M28" i="5" s="1"/>
  <c r="M51" i="5"/>
  <c r="M42" i="1"/>
  <c r="M29" i="5" s="1"/>
  <c r="M40" i="1"/>
  <c r="M27" i="5" s="1"/>
  <c r="M38" i="1"/>
  <c r="M25" i="5" s="1"/>
  <c r="M46" i="5"/>
  <c r="M43" i="1"/>
  <c r="M30" i="5" s="1"/>
  <c r="L74" i="5" l="1"/>
  <c r="L68" i="5"/>
  <c r="L71" i="5" s="1"/>
  <c r="M69" i="5"/>
  <c r="AE5" i="10"/>
  <c r="AA89" i="12"/>
  <c r="L124" i="12"/>
  <c r="L154" i="12" s="1"/>
  <c r="M70" i="5"/>
  <c r="AC60" i="10"/>
  <c r="B54" i="2"/>
  <c r="M76" i="5"/>
  <c r="M75" i="5"/>
  <c r="M80" i="5"/>
  <c r="M81" i="5"/>
  <c r="M82" i="5"/>
  <c r="T81" i="2"/>
  <c r="T69" i="2"/>
  <c r="U45" i="2"/>
  <c r="T70" i="2"/>
  <c r="M90" i="5"/>
  <c r="U24" i="2"/>
  <c r="U120" i="20"/>
  <c r="U166" i="20" s="1"/>
  <c r="Q8" i="10" s="1" a="1"/>
  <c r="M92" i="5"/>
  <c r="M93" i="5"/>
  <c r="M91" i="5"/>
  <c r="S33" i="12"/>
  <c r="AA33" i="10"/>
  <c r="R63" i="12"/>
  <c r="AA63" i="12" s="1"/>
  <c r="L83" i="5"/>
  <c r="K77" i="5"/>
  <c r="M2" i="5"/>
  <c r="N4" i="5"/>
  <c r="N3" i="5"/>
  <c r="N5" i="5"/>
  <c r="N8" i="5"/>
  <c r="N6" i="5"/>
  <c r="N10" i="5"/>
  <c r="N7" i="5"/>
  <c r="N9" i="5"/>
  <c r="R76" i="2"/>
  <c r="Q77" i="2"/>
  <c r="Q71" i="2"/>
  <c r="R75" i="2"/>
  <c r="N63" i="1"/>
  <c r="N44" i="5" s="1"/>
  <c r="N50" i="5"/>
  <c r="N42" i="1"/>
  <c r="N29" i="5" s="1"/>
  <c r="N52" i="5"/>
  <c r="N44" i="1"/>
  <c r="N31" i="5" s="1"/>
  <c r="N49" i="5"/>
  <c r="N41" i="1"/>
  <c r="N28" i="5" s="1"/>
  <c r="N24" i="5"/>
  <c r="N48" i="5"/>
  <c r="N36" i="1"/>
  <c r="N23" i="5" s="1"/>
  <c r="N51" i="5"/>
  <c r="N47" i="5"/>
  <c r="N40" i="1"/>
  <c r="N27" i="5" s="1"/>
  <c r="N45" i="5"/>
  <c r="N46" i="5"/>
  <c r="N30" i="5"/>
  <c r="N39" i="1"/>
  <c r="N26" i="5" s="1"/>
  <c r="N38" i="1"/>
  <c r="N25" i="5" s="1"/>
  <c r="N82" i="5" l="1"/>
  <c r="Q8" i="10"/>
  <c r="H128" i="12"/>
  <c r="H158" i="12" s="1"/>
  <c r="H129" i="12"/>
  <c r="H159" i="12" s="1"/>
  <c r="H130" i="12"/>
  <c r="H160" i="12" s="1"/>
  <c r="H141" i="12"/>
  <c r="H171" i="12" s="1"/>
  <c r="H137" i="12"/>
  <c r="H167" i="12" s="1"/>
  <c r="H136" i="12"/>
  <c r="H166" i="12" s="1"/>
  <c r="H138" i="12"/>
  <c r="H168" i="12" s="1"/>
  <c r="H144" i="12"/>
  <c r="H174" i="12" s="1"/>
  <c r="H133" i="12"/>
  <c r="H163" i="12" s="1"/>
  <c r="H139" i="12"/>
  <c r="H169" i="12" s="1"/>
  <c r="H145" i="12"/>
  <c r="H175" i="12" s="1"/>
  <c r="H142" i="12"/>
  <c r="H172" i="12" s="1"/>
  <c r="H131" i="12"/>
  <c r="H161" i="12" s="1"/>
  <c r="H143" i="12"/>
  <c r="H173" i="12" s="1"/>
  <c r="H134" i="12"/>
  <c r="H164" i="12" s="1"/>
  <c r="H140" i="12"/>
  <c r="H170" i="12" s="1"/>
  <c r="H135" i="12"/>
  <c r="H165" i="12" s="1"/>
  <c r="H132" i="12"/>
  <c r="H162" i="12" s="1"/>
  <c r="H127" i="12"/>
  <c r="H157" i="12" s="1"/>
  <c r="N69" i="5"/>
  <c r="B55" i="2"/>
  <c r="AA6" i="10"/>
  <c r="S5" i="12"/>
  <c r="N124" i="12"/>
  <c r="M154" i="12" s="1"/>
  <c r="M74" i="5"/>
  <c r="M77" i="5" s="1"/>
  <c r="M68" i="5"/>
  <c r="M71" i="5" s="1"/>
  <c r="N70" i="5"/>
  <c r="N75" i="5"/>
  <c r="N81" i="5"/>
  <c r="N76" i="5"/>
  <c r="N80" i="5"/>
  <c r="U81" i="2"/>
  <c r="U69" i="2"/>
  <c r="V45" i="2"/>
  <c r="U70" i="2"/>
  <c r="N94" i="5"/>
  <c r="V24" i="2"/>
  <c r="N90" i="5"/>
  <c r="U125" i="20"/>
  <c r="U171" i="20" s="1"/>
  <c r="N93" i="5"/>
  <c r="N91" i="5"/>
  <c r="N92" i="5"/>
  <c r="AC33" i="10"/>
  <c r="AE33" i="10" s="1"/>
  <c r="R34" i="12"/>
  <c r="AA34" i="12" s="1"/>
  <c r="Z61" i="12"/>
  <c r="Z33" i="12"/>
  <c r="M83" i="5"/>
  <c r="L77" i="5"/>
  <c r="N2" i="5"/>
  <c r="O5" i="5"/>
  <c r="O8" i="5"/>
  <c r="O6" i="5"/>
  <c r="O3" i="5"/>
  <c r="O11" i="5"/>
  <c r="O10" i="5"/>
  <c r="O4" i="5"/>
  <c r="O7" i="5"/>
  <c r="O9" i="5"/>
  <c r="R77" i="2"/>
  <c r="S76" i="2"/>
  <c r="R71" i="2"/>
  <c r="S75" i="2"/>
  <c r="O48" i="5"/>
  <c r="O40" i="1"/>
  <c r="O27" i="5" s="1"/>
  <c r="O49" i="5"/>
  <c r="O41" i="1"/>
  <c r="O28" i="5" s="1"/>
  <c r="O51" i="5"/>
  <c r="O43" i="1"/>
  <c r="O30" i="5" s="1"/>
  <c r="O53" i="5"/>
  <c r="O45" i="1"/>
  <c r="O32" i="5" s="1"/>
  <c r="O36" i="1"/>
  <c r="O23" i="5" s="1"/>
  <c r="O50" i="5"/>
  <c r="O47" i="5"/>
  <c r="O46" i="5"/>
  <c r="O42" i="1"/>
  <c r="O29" i="5" s="1"/>
  <c r="O39" i="1"/>
  <c r="O26" i="5" s="1"/>
  <c r="O44" i="1"/>
  <c r="O31" i="5" s="1"/>
  <c r="O38" i="1"/>
  <c r="O25" i="5" s="1"/>
  <c r="O24" i="5"/>
  <c r="O52" i="5"/>
  <c r="O45" i="5"/>
  <c r="O63" i="1"/>
  <c r="O44" i="5" s="1"/>
  <c r="O75" i="5" l="1"/>
  <c r="N74" i="5"/>
  <c r="N68" i="5"/>
  <c r="N71" i="5" s="1"/>
  <c r="O69" i="5"/>
  <c r="AC6" i="10"/>
  <c r="R6" i="12"/>
  <c r="AA6" i="12" s="1"/>
  <c r="B56" i="2"/>
  <c r="O70" i="5"/>
  <c r="O76" i="5"/>
  <c r="O80" i="5"/>
  <c r="O81" i="5"/>
  <c r="O82" i="5"/>
  <c r="W45" i="2"/>
  <c r="V70" i="2"/>
  <c r="V81" i="2"/>
  <c r="V69" i="2"/>
  <c r="O93" i="5"/>
  <c r="O90" i="5"/>
  <c r="W24" i="2"/>
  <c r="U181" i="20"/>
  <c r="O92" i="5"/>
  <c r="O91" i="5"/>
  <c r="O94" i="5"/>
  <c r="S34" i="12"/>
  <c r="AA34" i="10"/>
  <c r="N83" i="5"/>
  <c r="O2" i="5"/>
  <c r="P8" i="5"/>
  <c r="P6" i="5"/>
  <c r="P12" i="5"/>
  <c r="P11" i="5"/>
  <c r="P10" i="5"/>
  <c r="P7" i="5"/>
  <c r="P9" i="5"/>
  <c r="P5" i="5"/>
  <c r="P4" i="5"/>
  <c r="P3" i="5"/>
  <c r="T76" i="2"/>
  <c r="S77" i="2"/>
  <c r="T75" i="2"/>
  <c r="S71" i="2"/>
  <c r="P63" i="1"/>
  <c r="P44" i="5" s="1"/>
  <c r="P54" i="5"/>
  <c r="P53" i="5"/>
  <c r="P46" i="1"/>
  <c r="P33" i="5" s="1"/>
  <c r="P45" i="1"/>
  <c r="P32" i="5" s="1"/>
  <c r="P51" i="5"/>
  <c r="P43" i="1"/>
  <c r="P30" i="5" s="1"/>
  <c r="P46" i="5"/>
  <c r="P45" i="5"/>
  <c r="P38" i="1"/>
  <c r="P25" i="5" s="1"/>
  <c r="P24" i="5"/>
  <c r="P36" i="1"/>
  <c r="P23" i="5" s="1"/>
  <c r="P50" i="5"/>
  <c r="P49" i="5"/>
  <c r="P48" i="5"/>
  <c r="P47" i="5"/>
  <c r="P41" i="1"/>
  <c r="P28" i="5" s="1"/>
  <c r="P39" i="1"/>
  <c r="P26" i="5" s="1"/>
  <c r="P42" i="1"/>
  <c r="P29" i="5" s="1"/>
  <c r="P40" i="1"/>
  <c r="P27" i="5" s="1"/>
  <c r="P52" i="5"/>
  <c r="P44" i="1"/>
  <c r="P31" i="5" s="1"/>
  <c r="P69" i="5" l="1"/>
  <c r="B57" i="2"/>
  <c r="O74" i="5"/>
  <c r="O68" i="5"/>
  <c r="O71" i="5" s="1"/>
  <c r="P70" i="5"/>
  <c r="L125" i="12"/>
  <c r="L155" i="12" s="1"/>
  <c r="AA90" i="12"/>
  <c r="P75" i="5"/>
  <c r="P81" i="5"/>
  <c r="P76" i="5"/>
  <c r="P82" i="5"/>
  <c r="P80" i="5"/>
  <c r="X45" i="2"/>
  <c r="W70" i="2"/>
  <c r="W69" i="2"/>
  <c r="W81" i="2"/>
  <c r="P95" i="5"/>
  <c r="P90" i="5"/>
  <c r="X24" i="2"/>
  <c r="P93" i="5"/>
  <c r="P92" i="5"/>
  <c r="P91" i="5"/>
  <c r="P94" i="5"/>
  <c r="R35" i="12"/>
  <c r="AA35" i="12" s="1"/>
  <c r="AC34" i="10"/>
  <c r="AE34" i="10" s="1"/>
  <c r="O83" i="5"/>
  <c r="N77" i="5"/>
  <c r="P2" i="5"/>
  <c r="Q6" i="5"/>
  <c r="Q12" i="5"/>
  <c r="Q11" i="5"/>
  <c r="Q13" i="5"/>
  <c r="Q10" i="5"/>
  <c r="Q7" i="5"/>
  <c r="Q9" i="5"/>
  <c r="Q4" i="5"/>
  <c r="Q3" i="5"/>
  <c r="Q5" i="5"/>
  <c r="Q8" i="5"/>
  <c r="T77" i="2"/>
  <c r="U76" i="2"/>
  <c r="U75" i="2"/>
  <c r="T71" i="2"/>
  <c r="Q63" i="1"/>
  <c r="Q44" i="5" s="1"/>
  <c r="Q55" i="5"/>
  <c r="Q52" i="5"/>
  <c r="Q47" i="1"/>
  <c r="Q34" i="5" s="1"/>
  <c r="Q44" i="1"/>
  <c r="Q31" i="5" s="1"/>
  <c r="Q46" i="5"/>
  <c r="Q45" i="5"/>
  <c r="Q38" i="1"/>
  <c r="Q25" i="5" s="1"/>
  <c r="Q24" i="5"/>
  <c r="Q75" i="5" s="1"/>
  <c r="Q47" i="5"/>
  <c r="Q39" i="1"/>
  <c r="Q26" i="5" s="1"/>
  <c r="Q36" i="1"/>
  <c r="Q23" i="5" s="1"/>
  <c r="Q45" i="1"/>
  <c r="Q32" i="5" s="1"/>
  <c r="Q49" i="5"/>
  <c r="Q50" i="5"/>
  <c r="Q48" i="5"/>
  <c r="Q54" i="5"/>
  <c r="Q42" i="1"/>
  <c r="Q29" i="5" s="1"/>
  <c r="Q41" i="1"/>
  <c r="Q28" i="5" s="1"/>
  <c r="Q40" i="1"/>
  <c r="Q27" i="5" s="1"/>
  <c r="Q51" i="5"/>
  <c r="Q46" i="1"/>
  <c r="Q33" i="5" s="1"/>
  <c r="Q43" i="1"/>
  <c r="Q30" i="5" s="1"/>
  <c r="Q53" i="5"/>
  <c r="Q70" i="5" l="1"/>
  <c r="P74" i="5"/>
  <c r="P77" i="5" s="1"/>
  <c r="P68" i="5"/>
  <c r="P71" i="5" s="1"/>
  <c r="Q69" i="5"/>
  <c r="B58" i="2"/>
  <c r="Q82" i="5"/>
  <c r="Q80" i="5"/>
  <c r="Q81" i="5"/>
  <c r="Q76" i="5"/>
  <c r="X69" i="2"/>
  <c r="X81" i="2"/>
  <c r="Y45" i="2"/>
  <c r="X70" i="2"/>
  <c r="Q94" i="5"/>
  <c r="Y24" i="2"/>
  <c r="Q95" i="5"/>
  <c r="Q90" i="5"/>
  <c r="Q93" i="5"/>
  <c r="Q92" i="5"/>
  <c r="Q91" i="5"/>
  <c r="S35" i="12"/>
  <c r="AA35" i="10"/>
  <c r="Z34" i="12"/>
  <c r="Z62" i="12"/>
  <c r="P83" i="5"/>
  <c r="O77" i="5"/>
  <c r="Q2" i="5"/>
  <c r="R12" i="5"/>
  <c r="R11" i="5"/>
  <c r="R13" i="5"/>
  <c r="R10" i="5"/>
  <c r="R7" i="5"/>
  <c r="R21" i="1"/>
  <c r="R14" i="5" s="1"/>
  <c r="R9" i="5"/>
  <c r="R4" i="5"/>
  <c r="R5" i="5"/>
  <c r="R8" i="5"/>
  <c r="R6" i="5"/>
  <c r="U77" i="2"/>
  <c r="V76" i="2"/>
  <c r="V75" i="2"/>
  <c r="U71" i="2"/>
  <c r="R63" i="1"/>
  <c r="R44" i="5" s="1"/>
  <c r="R49" i="5"/>
  <c r="R41" i="1"/>
  <c r="R28" i="5" s="1"/>
  <c r="R56" i="5"/>
  <c r="R47" i="5"/>
  <c r="R39" i="1"/>
  <c r="R26" i="5" s="1"/>
  <c r="R36" i="1"/>
  <c r="R23" i="5" s="1"/>
  <c r="R50" i="5"/>
  <c r="R42" i="1"/>
  <c r="R29" i="5" s="1"/>
  <c r="R48" i="5"/>
  <c r="R40" i="1"/>
  <c r="R27" i="5" s="1"/>
  <c r="R54" i="5"/>
  <c r="R51" i="5"/>
  <c r="R48" i="1"/>
  <c r="R35" i="5" s="1"/>
  <c r="R46" i="1"/>
  <c r="R33" i="5" s="1"/>
  <c r="R46" i="5"/>
  <c r="R43" i="1"/>
  <c r="R30" i="5" s="1"/>
  <c r="R52" i="5"/>
  <c r="R38" i="1"/>
  <c r="R25" i="5" s="1"/>
  <c r="R55" i="5"/>
  <c r="R45" i="5"/>
  <c r="R44" i="1"/>
  <c r="R31" i="5" s="1"/>
  <c r="R53" i="5"/>
  <c r="R47" i="1"/>
  <c r="R34" i="5" s="1"/>
  <c r="R24" i="5"/>
  <c r="R45" i="1"/>
  <c r="R32" i="5" s="1"/>
  <c r="R3" i="5"/>
  <c r="B59" i="2" l="1"/>
  <c r="R69" i="5"/>
  <c r="R70" i="5"/>
  <c r="Q74" i="5"/>
  <c r="Q68" i="5"/>
  <c r="Q71" i="5" s="1"/>
  <c r="R75" i="5"/>
  <c r="R76" i="5"/>
  <c r="R82" i="5"/>
  <c r="R80" i="5"/>
  <c r="R81" i="5"/>
  <c r="Y69" i="2"/>
  <c r="Y81" i="2"/>
  <c r="Z45" i="2"/>
  <c r="Y70" i="2"/>
  <c r="Z24" i="2"/>
  <c r="R90" i="5"/>
  <c r="R94" i="5"/>
  <c r="R91" i="5"/>
  <c r="R96" i="5"/>
  <c r="R92" i="5"/>
  <c r="R93" i="5"/>
  <c r="R95" i="5"/>
  <c r="AC35" i="10"/>
  <c r="R36" i="12"/>
  <c r="AA36" i="12" s="1"/>
  <c r="Q83" i="5"/>
  <c r="R2" i="5"/>
  <c r="S13" i="5"/>
  <c r="S10" i="5"/>
  <c r="S7" i="5"/>
  <c r="S21" i="1"/>
  <c r="S14" i="5" s="1"/>
  <c r="S9" i="5"/>
  <c r="S11" i="5"/>
  <c r="S4" i="5"/>
  <c r="S3" i="5"/>
  <c r="S12" i="5"/>
  <c r="S5" i="5"/>
  <c r="S22" i="1"/>
  <c r="S15" i="5" s="1"/>
  <c r="S8" i="5"/>
  <c r="S6" i="5"/>
  <c r="V77" i="2"/>
  <c r="W76" i="2"/>
  <c r="W75" i="2"/>
  <c r="V71" i="2"/>
  <c r="S55" i="5"/>
  <c r="S56" i="5"/>
  <c r="S51" i="5"/>
  <c r="S48" i="1"/>
  <c r="S35" i="5" s="1"/>
  <c r="S43" i="1"/>
  <c r="S30" i="5" s="1"/>
  <c r="S57" i="5"/>
  <c r="S50" i="5"/>
  <c r="S49" i="1"/>
  <c r="S36" i="5" s="1"/>
  <c r="S42" i="1"/>
  <c r="S29" i="5" s="1"/>
  <c r="S48" i="5"/>
  <c r="S40" i="1"/>
  <c r="S27" i="5" s="1"/>
  <c r="S54" i="5"/>
  <c r="S49" i="5"/>
  <c r="S36" i="1"/>
  <c r="S23" i="5" s="1"/>
  <c r="S47" i="5"/>
  <c r="S46" i="1"/>
  <c r="S33" i="5" s="1"/>
  <c r="S41" i="1"/>
  <c r="S28" i="5" s="1"/>
  <c r="S46" i="5"/>
  <c r="S39" i="1"/>
  <c r="S26" i="5" s="1"/>
  <c r="S52" i="5"/>
  <c r="S38" i="1"/>
  <c r="S25" i="5" s="1"/>
  <c r="S45" i="5"/>
  <c r="S44" i="1"/>
  <c r="S31" i="5" s="1"/>
  <c r="S24" i="5"/>
  <c r="S53" i="5"/>
  <c r="S47" i="1"/>
  <c r="S34" i="5" s="1"/>
  <c r="S45" i="1"/>
  <c r="S32" i="5" s="1"/>
  <c r="S63" i="1"/>
  <c r="S44" i="5" s="1"/>
  <c r="R74" i="5" l="1"/>
  <c r="R68" i="5"/>
  <c r="R71" i="5" s="1"/>
  <c r="S69" i="5"/>
  <c r="S70" i="5"/>
  <c r="B60" i="2"/>
  <c r="S76" i="5"/>
  <c r="S75" i="5"/>
  <c r="S80" i="5"/>
  <c r="S82" i="5"/>
  <c r="S81" i="5"/>
  <c r="X45" i="5"/>
  <c r="Z70" i="2"/>
  <c r="Z76" i="2"/>
  <c r="Z81" i="2"/>
  <c r="Z69" i="2"/>
  <c r="S93" i="5"/>
  <c r="X24" i="5"/>
  <c r="Z75" i="2"/>
  <c r="S92" i="5"/>
  <c r="S90" i="5"/>
  <c r="S96" i="5"/>
  <c r="S94" i="5"/>
  <c r="S95" i="5"/>
  <c r="S91" i="5"/>
  <c r="R83" i="5"/>
  <c r="Q77" i="5"/>
  <c r="S2" i="5"/>
  <c r="T23" i="1"/>
  <c r="T16" i="5" s="1"/>
  <c r="T7" i="5"/>
  <c r="T10" i="5"/>
  <c r="T21" i="1"/>
  <c r="T14" i="5" s="1"/>
  <c r="T9" i="5"/>
  <c r="T4" i="5"/>
  <c r="T3" i="5"/>
  <c r="T5" i="5"/>
  <c r="T22" i="1"/>
  <c r="T15" i="5" s="1"/>
  <c r="T8" i="5"/>
  <c r="T6" i="5"/>
  <c r="T13" i="5"/>
  <c r="T12" i="5"/>
  <c r="T11" i="5"/>
  <c r="W77" i="2"/>
  <c r="X76" i="2"/>
  <c r="X75" i="2"/>
  <c r="W71" i="2"/>
  <c r="T63" i="1"/>
  <c r="T44" i="5" s="1"/>
  <c r="T58" i="5"/>
  <c r="T46" i="5"/>
  <c r="T45" i="5"/>
  <c r="T38" i="1"/>
  <c r="T25" i="5" s="1"/>
  <c r="T24" i="5"/>
  <c r="T48" i="5"/>
  <c r="T40" i="1"/>
  <c r="T27" i="5" s="1"/>
  <c r="T54" i="5"/>
  <c r="T53" i="5"/>
  <c r="T46" i="1"/>
  <c r="T33" i="5" s="1"/>
  <c r="T45" i="1"/>
  <c r="T32" i="5" s="1"/>
  <c r="T57" i="5"/>
  <c r="T50" i="5"/>
  <c r="T47" i="5"/>
  <c r="T41" i="1"/>
  <c r="T28" i="5" s="1"/>
  <c r="T48" i="1"/>
  <c r="T35" i="5" s="1"/>
  <c r="T42" i="1"/>
  <c r="T29" i="5" s="1"/>
  <c r="T51" i="5"/>
  <c r="T39" i="1"/>
  <c r="T26" i="5" s="1"/>
  <c r="T56" i="5"/>
  <c r="T52" i="5"/>
  <c r="T43" i="1"/>
  <c r="T30" i="5" s="1"/>
  <c r="T50" i="1"/>
  <c r="T37" i="5" s="1"/>
  <c r="T44" i="1"/>
  <c r="T31" i="5" s="1"/>
  <c r="T55" i="5"/>
  <c r="T47" i="1"/>
  <c r="T34" i="5" s="1"/>
  <c r="T49" i="1"/>
  <c r="T36" i="5" s="1"/>
  <c r="T49" i="5"/>
  <c r="T36" i="1"/>
  <c r="T23" i="5" s="1"/>
  <c r="B61" i="2" l="1"/>
  <c r="T69" i="5"/>
  <c r="S74" i="5"/>
  <c r="S68" i="5"/>
  <c r="S71" i="5" s="1"/>
  <c r="X75" i="5"/>
  <c r="X77" i="5" s="1"/>
  <c r="X69" i="5"/>
  <c r="X70" i="5"/>
  <c r="T70" i="5"/>
  <c r="T75" i="5"/>
  <c r="T76" i="5"/>
  <c r="T82" i="5"/>
  <c r="T80" i="5"/>
  <c r="T81" i="5"/>
  <c r="Z77" i="2"/>
  <c r="T93" i="5"/>
  <c r="Z71" i="2"/>
  <c r="X90" i="5"/>
  <c r="T92" i="5"/>
  <c r="T90" i="5"/>
  <c r="T94" i="5"/>
  <c r="T97" i="5"/>
  <c r="T91" i="5"/>
  <c r="T95" i="5"/>
  <c r="T96" i="5"/>
  <c r="Z63" i="12"/>
  <c r="Z35" i="12"/>
  <c r="S83" i="5"/>
  <c r="R77" i="5"/>
  <c r="T2" i="5"/>
  <c r="U21" i="1"/>
  <c r="U14" i="5" s="1"/>
  <c r="U9" i="5"/>
  <c r="U4" i="5"/>
  <c r="U3" i="5"/>
  <c r="U5" i="5"/>
  <c r="U22" i="1"/>
  <c r="U15" i="5" s="1"/>
  <c r="U8" i="5"/>
  <c r="U24" i="1"/>
  <c r="U17" i="5" s="1"/>
  <c r="U6" i="5"/>
  <c r="U12" i="5"/>
  <c r="U11" i="5"/>
  <c r="U13" i="5"/>
  <c r="U10" i="5"/>
  <c r="U23" i="1"/>
  <c r="U16" i="5" s="1"/>
  <c r="U7" i="5"/>
  <c r="X77" i="2"/>
  <c r="Y76" i="2"/>
  <c r="X71" i="2"/>
  <c r="Y75" i="2"/>
  <c r="U56" i="5"/>
  <c r="U47" i="5"/>
  <c r="U39" i="1"/>
  <c r="U26" i="5" s="1"/>
  <c r="U36" i="1"/>
  <c r="U23" i="5" s="1"/>
  <c r="U57" i="5"/>
  <c r="U54" i="5"/>
  <c r="U53" i="5"/>
  <c r="U46" i="1"/>
  <c r="U33" i="5" s="1"/>
  <c r="U45" i="1"/>
  <c r="U32" i="5" s="1"/>
  <c r="U55" i="5"/>
  <c r="U52" i="5"/>
  <c r="U47" i="1"/>
  <c r="U34" i="5" s="1"/>
  <c r="U44" i="1"/>
  <c r="U31" i="5" s="1"/>
  <c r="U51" i="5"/>
  <c r="U48" i="1"/>
  <c r="U35" i="5" s="1"/>
  <c r="U42" i="1"/>
  <c r="U29" i="5" s="1"/>
  <c r="U40" i="1"/>
  <c r="U27" i="5" s="1"/>
  <c r="U46" i="5"/>
  <c r="U76" i="5" s="1"/>
  <c r="U51" i="1"/>
  <c r="U38" i="5" s="1"/>
  <c r="U43" i="1"/>
  <c r="U30" i="5" s="1"/>
  <c r="U59" i="5"/>
  <c r="U50" i="1"/>
  <c r="U37" i="5" s="1"/>
  <c r="U38" i="1"/>
  <c r="U25" i="5" s="1"/>
  <c r="U45" i="5"/>
  <c r="U24" i="5"/>
  <c r="U48" i="5"/>
  <c r="U49" i="1"/>
  <c r="U36" i="5" s="1"/>
  <c r="U50" i="5"/>
  <c r="U58" i="5"/>
  <c r="U49" i="5"/>
  <c r="U41" i="1"/>
  <c r="U28" i="5" s="1"/>
  <c r="U63" i="1"/>
  <c r="U44" i="5" s="1"/>
  <c r="T74" i="5" l="1"/>
  <c r="T77" i="5" s="1"/>
  <c r="T68" i="5"/>
  <c r="T71" i="5" s="1"/>
  <c r="U69" i="5"/>
  <c r="X71" i="5"/>
  <c r="U70" i="5"/>
  <c r="B62" i="2"/>
  <c r="U75" i="5"/>
  <c r="U80" i="5"/>
  <c r="U81" i="5"/>
  <c r="U82" i="5"/>
  <c r="U90" i="5"/>
  <c r="U91" i="5"/>
  <c r="U95" i="5"/>
  <c r="U97" i="5"/>
  <c r="AD82" i="9"/>
  <c r="U92" i="5"/>
  <c r="U96" i="5"/>
  <c r="U93" i="5"/>
  <c r="U94" i="5"/>
  <c r="T83" i="5"/>
  <c r="S77" i="5"/>
  <c r="U2" i="5"/>
  <c r="V4" i="5"/>
  <c r="V3" i="5"/>
  <c r="V25" i="1"/>
  <c r="V18" i="5" s="1"/>
  <c r="V5" i="5"/>
  <c r="V22" i="1"/>
  <c r="V15" i="5" s="1"/>
  <c r="V8" i="5"/>
  <c r="V24" i="1"/>
  <c r="V17" i="5" s="1"/>
  <c r="V6" i="5"/>
  <c r="V12" i="5"/>
  <c r="V11" i="5"/>
  <c r="V21" i="1"/>
  <c r="V14" i="5" s="1"/>
  <c r="V13" i="5"/>
  <c r="V10" i="5"/>
  <c r="V23" i="1"/>
  <c r="V16" i="5" s="1"/>
  <c r="V7" i="5"/>
  <c r="V9" i="5"/>
  <c r="Y77" i="2"/>
  <c r="Y71" i="2"/>
  <c r="V57" i="5"/>
  <c r="V50" i="5"/>
  <c r="V49" i="1"/>
  <c r="V36" i="5" s="1"/>
  <c r="V42" i="1"/>
  <c r="V29" i="5" s="1"/>
  <c r="V55" i="5"/>
  <c r="V52" i="5"/>
  <c r="V47" i="1"/>
  <c r="V34" i="5" s="1"/>
  <c r="V44" i="1"/>
  <c r="V31" i="5" s="1"/>
  <c r="V58" i="5"/>
  <c r="V49" i="5"/>
  <c r="V50" i="1"/>
  <c r="V37" i="5" s="1"/>
  <c r="V41" i="1"/>
  <c r="V28" i="5" s="1"/>
  <c r="V46" i="5"/>
  <c r="V51" i="1"/>
  <c r="V38" i="5" s="1"/>
  <c r="V46" i="1"/>
  <c r="V33" i="5" s="1"/>
  <c r="V43" i="1"/>
  <c r="V30" i="5" s="1"/>
  <c r="V39" i="1"/>
  <c r="V26" i="5" s="1"/>
  <c r="V59" i="5"/>
  <c r="V38" i="1"/>
  <c r="V25" i="5" s="1"/>
  <c r="V56" i="5"/>
  <c r="V45" i="5"/>
  <c r="V24" i="5"/>
  <c r="V53" i="5"/>
  <c r="V45" i="1"/>
  <c r="V32" i="5" s="1"/>
  <c r="V51" i="5"/>
  <c r="V40" i="1"/>
  <c r="V27" i="5" s="1"/>
  <c r="V54" i="5"/>
  <c r="V47" i="5"/>
  <c r="V48" i="1"/>
  <c r="V35" i="5" s="1"/>
  <c r="V48" i="5"/>
  <c r="V36" i="1"/>
  <c r="V23" i="5" s="1"/>
  <c r="V60" i="5"/>
  <c r="V52" i="1"/>
  <c r="V39" i="5" s="1"/>
  <c r="W63" i="1"/>
  <c r="W44" i="5" s="1"/>
  <c r="V63" i="1"/>
  <c r="V44" i="5" s="1"/>
  <c r="V81" i="5" l="1"/>
  <c r="B63" i="2"/>
  <c r="V69" i="5"/>
  <c r="V70" i="5"/>
  <c r="U74" i="5"/>
  <c r="U77" i="5" s="1"/>
  <c r="U68" i="5"/>
  <c r="U71" i="5" s="1"/>
  <c r="V76" i="5"/>
  <c r="V82" i="5"/>
  <c r="V80" i="5"/>
  <c r="V75" i="5"/>
  <c r="P84" i="9"/>
  <c r="P54" i="9"/>
  <c r="P49" i="9"/>
  <c r="P108" i="9"/>
  <c r="P78" i="9"/>
  <c r="P101" i="9"/>
  <c r="P68" i="9"/>
  <c r="P75" i="9"/>
  <c r="P41" i="9"/>
  <c r="P111" i="9"/>
  <c r="P66" i="9"/>
  <c r="P70" i="9"/>
  <c r="P80" i="9"/>
  <c r="P72" i="9"/>
  <c r="P94" i="9"/>
  <c r="P55" i="9"/>
  <c r="P56" i="9"/>
  <c r="P106" i="9"/>
  <c r="P77" i="9"/>
  <c r="P107" i="9"/>
  <c r="P81" i="9"/>
  <c r="R27" i="9"/>
  <c r="U27" i="9" s="1"/>
  <c r="P45" i="9"/>
  <c r="P52" i="9"/>
  <c r="P47" i="9"/>
  <c r="P103" i="9"/>
  <c r="P38" i="9"/>
  <c r="P98" i="9"/>
  <c r="P44" i="9"/>
  <c r="O107" i="9"/>
  <c r="P74" i="9"/>
  <c r="P82" i="9"/>
  <c r="P100" i="9"/>
  <c r="P112" i="9"/>
  <c r="P43" i="9"/>
  <c r="P96" i="9"/>
  <c r="P104" i="9"/>
  <c r="P99" i="9"/>
  <c r="P46" i="9"/>
  <c r="P40" i="9"/>
  <c r="P51" i="9"/>
  <c r="P53" i="9"/>
  <c r="P109" i="9"/>
  <c r="P73" i="9"/>
  <c r="P110" i="9"/>
  <c r="R22" i="9"/>
  <c r="U22" i="9" s="1"/>
  <c r="O37" i="9"/>
  <c r="P79" i="9"/>
  <c r="P39" i="9"/>
  <c r="P76" i="9"/>
  <c r="P102" i="9"/>
  <c r="P42" i="9"/>
  <c r="P50" i="9"/>
  <c r="P105" i="9"/>
  <c r="P95" i="9"/>
  <c r="P67" i="9"/>
  <c r="P69" i="9"/>
  <c r="P83" i="9"/>
  <c r="P97" i="9"/>
  <c r="P48" i="9"/>
  <c r="P71" i="9"/>
  <c r="R24" i="9"/>
  <c r="U24" i="9" s="1"/>
  <c r="AD40" i="9"/>
  <c r="AD105" i="9"/>
  <c r="AD46" i="9"/>
  <c r="AD72" i="9"/>
  <c r="AD55" i="9"/>
  <c r="AD52" i="9"/>
  <c r="AC103" i="9"/>
  <c r="AD83" i="9"/>
  <c r="AD79" i="9"/>
  <c r="AD77" i="9"/>
  <c r="AD74" i="9"/>
  <c r="AD71" i="9"/>
  <c r="AD69" i="9"/>
  <c r="AD56" i="9"/>
  <c r="AD111" i="9"/>
  <c r="AD53" i="9"/>
  <c r="AD107" i="9"/>
  <c r="AD48" i="9"/>
  <c r="AD101" i="9"/>
  <c r="AD43" i="9"/>
  <c r="AD97" i="9"/>
  <c r="AD110" i="9"/>
  <c r="AD54" i="9"/>
  <c r="AD51" i="9"/>
  <c r="AD76" i="9"/>
  <c r="AD102" i="9"/>
  <c r="AD99" i="9"/>
  <c r="AD41" i="9"/>
  <c r="AD94" i="9"/>
  <c r="AD109" i="9"/>
  <c r="AD78" i="9"/>
  <c r="AD104" i="9"/>
  <c r="AD73" i="9"/>
  <c r="AD98" i="9"/>
  <c r="AD68" i="9"/>
  <c r="AD81" i="9"/>
  <c r="AD50" i="9"/>
  <c r="AD75" i="9"/>
  <c r="AD45" i="9"/>
  <c r="AD70" i="9"/>
  <c r="AD67" i="9"/>
  <c r="AD80" i="9"/>
  <c r="AD106" i="9"/>
  <c r="AD47" i="9"/>
  <c r="AD44" i="9"/>
  <c r="AD42" i="9"/>
  <c r="AD108" i="9"/>
  <c r="AD49" i="9"/>
  <c r="AD103" i="9"/>
  <c r="AD100" i="9"/>
  <c r="AD96" i="9"/>
  <c r="AD95" i="9"/>
  <c r="V96" i="5"/>
  <c r="V90" i="5"/>
  <c r="V98" i="5"/>
  <c r="V91" i="5"/>
  <c r="V97" i="5"/>
  <c r="V92" i="5"/>
  <c r="V95" i="5"/>
  <c r="V93" i="5"/>
  <c r="V94" i="5"/>
  <c r="P65" i="9"/>
  <c r="P93" i="9"/>
  <c r="P37" i="9"/>
  <c r="U83" i="5"/>
  <c r="V2" i="5"/>
  <c r="W26" i="1"/>
  <c r="W19" i="5" s="1"/>
  <c r="W25" i="1"/>
  <c r="W18" i="5" s="1"/>
  <c r="W5" i="5"/>
  <c r="W22" i="1"/>
  <c r="W15" i="5" s="1"/>
  <c r="W8" i="5"/>
  <c r="W24" i="1"/>
  <c r="W17" i="5" s="1"/>
  <c r="W6" i="5"/>
  <c r="W12" i="5"/>
  <c r="W11" i="5"/>
  <c r="W4" i="5"/>
  <c r="W13" i="5"/>
  <c r="W10" i="5"/>
  <c r="W23" i="1"/>
  <c r="W16" i="5" s="1"/>
  <c r="W7" i="5"/>
  <c r="W21" i="1"/>
  <c r="W14" i="5" s="1"/>
  <c r="W9" i="5"/>
  <c r="W3" i="5"/>
  <c r="W48" i="5"/>
  <c r="W51" i="1"/>
  <c r="W38" i="5" s="1"/>
  <c r="W40" i="1"/>
  <c r="W27" i="5" s="1"/>
  <c r="W58" i="5"/>
  <c r="W49" i="5"/>
  <c r="W50" i="1"/>
  <c r="W37" i="5" s="1"/>
  <c r="W41" i="1"/>
  <c r="W28" i="5" s="1"/>
  <c r="W56" i="5"/>
  <c r="W51" i="5"/>
  <c r="W48" i="1"/>
  <c r="W35" i="5" s="1"/>
  <c r="W43" i="1"/>
  <c r="W30" i="5" s="1"/>
  <c r="W38" i="1"/>
  <c r="W25" i="5" s="1"/>
  <c r="W52" i="5"/>
  <c r="W45" i="5"/>
  <c r="W44" i="1"/>
  <c r="W31" i="5" s="1"/>
  <c r="W24" i="5"/>
  <c r="W55" i="5"/>
  <c r="W53" i="5"/>
  <c r="W47" i="1"/>
  <c r="W34" i="5" s="1"/>
  <c r="W49" i="1"/>
  <c r="W36" i="5" s="1"/>
  <c r="W45" i="1"/>
  <c r="W32" i="5" s="1"/>
  <c r="W61" i="5"/>
  <c r="W57" i="5"/>
  <c r="W46" i="5"/>
  <c r="W46" i="1"/>
  <c r="W33" i="5" s="1"/>
  <c r="W53" i="1"/>
  <c r="W40" i="5" s="1"/>
  <c r="W36" i="1"/>
  <c r="W23" i="5" s="1"/>
  <c r="W60" i="5"/>
  <c r="W42" i="1"/>
  <c r="W29" i="5" s="1"/>
  <c r="W39" i="1"/>
  <c r="W26" i="5" s="1"/>
  <c r="W54" i="5"/>
  <c r="W50" i="5"/>
  <c r="W47" i="5"/>
  <c r="W52" i="1"/>
  <c r="W39" i="5" s="1"/>
  <c r="W59" i="5"/>
  <c r="R107" i="9" l="1"/>
  <c r="W69" i="5"/>
  <c r="I78" i="7"/>
  <c r="W75" i="5"/>
  <c r="V74" i="5"/>
  <c r="V77" i="5" s="1"/>
  <c r="V68" i="5"/>
  <c r="V71" i="5" s="1"/>
  <c r="B64" i="2"/>
  <c r="X82" i="2"/>
  <c r="X83" i="2" s="1"/>
  <c r="V90" i="2"/>
  <c r="V82" i="2"/>
  <c r="V83" i="2" s="1"/>
  <c r="X90" i="2"/>
  <c r="Z82" i="2"/>
  <c r="Z83" i="2" s="1"/>
  <c r="Z90" i="2"/>
  <c r="T82" i="2"/>
  <c r="T83" i="2" s="1"/>
  <c r="W70" i="5"/>
  <c r="E10" i="7"/>
  <c r="E36" i="7" s="1"/>
  <c r="W82" i="5"/>
  <c r="Y6" i="10" s="1" a="1"/>
  <c r="W76" i="5"/>
  <c r="O65" i="9"/>
  <c r="O48" i="9"/>
  <c r="R48" i="9" s="1"/>
  <c r="U48" i="9" s="1"/>
  <c r="R11" i="9"/>
  <c r="U11" i="9" s="1"/>
  <c r="R13" i="9"/>
  <c r="U13" i="9" s="1"/>
  <c r="R16" i="9"/>
  <c r="U16" i="9" s="1"/>
  <c r="O103" i="9"/>
  <c r="O68" i="9"/>
  <c r="O93" i="9"/>
  <c r="H91" i="7"/>
  <c r="O42" i="9"/>
  <c r="O94" i="9"/>
  <c r="R9" i="9"/>
  <c r="U9" i="9" s="1"/>
  <c r="R12" i="9"/>
  <c r="U12" i="9" s="1"/>
  <c r="O51" i="9"/>
  <c r="R23" i="9"/>
  <c r="U23" i="9" s="1"/>
  <c r="O75" i="9"/>
  <c r="R75" i="9" s="1"/>
  <c r="U75" i="9" s="1"/>
  <c r="O45" i="9"/>
  <c r="O78" i="9"/>
  <c r="H92" i="7"/>
  <c r="O72" i="9"/>
  <c r="O74" i="9"/>
  <c r="R74" i="9" s="1"/>
  <c r="U74" i="9" s="1"/>
  <c r="H101" i="7"/>
  <c r="L101" i="7" s="1"/>
  <c r="O106" i="9"/>
  <c r="H103" i="7"/>
  <c r="O70" i="9"/>
  <c r="O69" i="9"/>
  <c r="R69" i="9" s="1"/>
  <c r="U69" i="9" s="1"/>
  <c r="R8" i="9"/>
  <c r="H102" i="7"/>
  <c r="O111" i="9"/>
  <c r="O109" i="9"/>
  <c r="R109" i="9" s="1"/>
  <c r="U109" i="9" s="1"/>
  <c r="H95" i="7"/>
  <c r="H122" i="7" s="1"/>
  <c r="I122" i="7" s="1"/>
  <c r="J122" i="7" s="1"/>
  <c r="O43" i="9"/>
  <c r="H97" i="7"/>
  <c r="H124" i="7" s="1"/>
  <c r="I124" i="7" s="1"/>
  <c r="J124" i="7" s="1"/>
  <c r="O73" i="9"/>
  <c r="O49" i="9"/>
  <c r="H106" i="7"/>
  <c r="O82" i="9"/>
  <c r="R82" i="9" s="1"/>
  <c r="U82" i="9" s="1"/>
  <c r="O66" i="9"/>
  <c r="O76" i="9"/>
  <c r="W81" i="5"/>
  <c r="X6" i="10" s="1" a="1"/>
  <c r="W80" i="5"/>
  <c r="W6" i="10" s="1" a="1"/>
  <c r="H94" i="7"/>
  <c r="L94" i="7" s="1"/>
  <c r="O112" i="9"/>
  <c r="H108" i="7"/>
  <c r="L108" i="7" s="1"/>
  <c r="H107" i="7"/>
  <c r="H105" i="7"/>
  <c r="O79" i="9"/>
  <c r="O98" i="9"/>
  <c r="R98" i="9" s="1"/>
  <c r="U98" i="9" s="1"/>
  <c r="H104" i="7"/>
  <c r="R15" i="9"/>
  <c r="U15" i="9" s="1"/>
  <c r="R72" i="9"/>
  <c r="U72" i="9" s="1"/>
  <c r="R66" i="9"/>
  <c r="U66" i="9" s="1"/>
  <c r="O83" i="9"/>
  <c r="L95" i="7"/>
  <c r="H96" i="7"/>
  <c r="O55" i="9"/>
  <c r="R26" i="9"/>
  <c r="U26" i="9" s="1"/>
  <c r="O40" i="9"/>
  <c r="O108" i="9"/>
  <c r="O46" i="9"/>
  <c r="H99" i="7"/>
  <c r="H126" i="7" s="1"/>
  <c r="I126" i="7" s="1"/>
  <c r="J126" i="7" s="1"/>
  <c r="O71" i="9"/>
  <c r="O80" i="9"/>
  <c r="R21" i="9"/>
  <c r="U21" i="9" s="1"/>
  <c r="O101" i="9"/>
  <c r="O41" i="9"/>
  <c r="R17" i="9"/>
  <c r="U17" i="9" s="1"/>
  <c r="O52" i="9"/>
  <c r="O56" i="9"/>
  <c r="O95" i="9"/>
  <c r="R10" i="9"/>
  <c r="U10" i="9" s="1"/>
  <c r="O81" i="9"/>
  <c r="O105" i="9"/>
  <c r="O47" i="9"/>
  <c r="H98" i="7"/>
  <c r="O84" i="9"/>
  <c r="O39" i="9"/>
  <c r="O99" i="9"/>
  <c r="O38" i="9"/>
  <c r="R14" i="9"/>
  <c r="U14" i="9" s="1"/>
  <c r="H109" i="7"/>
  <c r="O96" i="9"/>
  <c r="O97" i="9"/>
  <c r="R25" i="9"/>
  <c r="U25" i="9" s="1"/>
  <c r="O100" i="9"/>
  <c r="H93" i="7"/>
  <c r="O77" i="9"/>
  <c r="O110" i="9"/>
  <c r="O67" i="9"/>
  <c r="R20" i="9"/>
  <c r="U20" i="9" s="1"/>
  <c r="H100" i="7"/>
  <c r="O54" i="9"/>
  <c r="O50" i="9"/>
  <c r="O102" i="9"/>
  <c r="R18" i="9"/>
  <c r="U18" i="9" s="1"/>
  <c r="O104" i="9"/>
  <c r="O53" i="9"/>
  <c r="R53" i="9" s="1"/>
  <c r="U53" i="9" s="1"/>
  <c r="O44" i="9"/>
  <c r="R19" i="9"/>
  <c r="U19" i="9" s="1"/>
  <c r="H135" i="7"/>
  <c r="I135" i="7" s="1"/>
  <c r="J135" i="7" s="1"/>
  <c r="H128" i="7"/>
  <c r="I128" i="7" s="1"/>
  <c r="J128" i="7" s="1"/>
  <c r="AD38" i="9"/>
  <c r="AC106" i="9"/>
  <c r="AD66" i="9"/>
  <c r="AC48" i="9"/>
  <c r="AC98" i="9"/>
  <c r="AC78" i="9"/>
  <c r="AC74" i="9"/>
  <c r="AC81" i="9"/>
  <c r="AC43" i="9"/>
  <c r="AC72" i="9"/>
  <c r="AC54" i="9"/>
  <c r="AC97" i="9"/>
  <c r="AC95" i="9"/>
  <c r="AC52" i="9"/>
  <c r="AC109" i="9"/>
  <c r="AC108" i="9"/>
  <c r="AC53" i="9"/>
  <c r="AC56" i="9"/>
  <c r="AC73" i="9"/>
  <c r="AC40" i="9"/>
  <c r="AC68" i="9"/>
  <c r="AC111" i="9"/>
  <c r="AC77" i="9"/>
  <c r="AC55" i="9"/>
  <c r="AC83" i="9"/>
  <c r="AC82" i="9"/>
  <c r="AC44" i="9"/>
  <c r="AC50" i="9"/>
  <c r="AC75" i="9"/>
  <c r="AC110" i="9"/>
  <c r="AC67" i="9"/>
  <c r="AC99" i="9"/>
  <c r="AC76" i="9"/>
  <c r="AC70" i="9"/>
  <c r="AC100" i="9"/>
  <c r="AC39" i="9"/>
  <c r="AC45" i="9"/>
  <c r="AC80" i="9"/>
  <c r="AC47" i="9"/>
  <c r="AC96" i="9"/>
  <c r="AC51" i="9"/>
  <c r="AC46" i="9"/>
  <c r="AC42" i="9"/>
  <c r="AC104" i="9"/>
  <c r="AC41" i="9"/>
  <c r="AC79" i="9"/>
  <c r="AC49" i="9"/>
  <c r="AC69" i="9"/>
  <c r="AC105" i="9"/>
  <c r="AC101" i="9"/>
  <c r="AC107" i="9"/>
  <c r="AC102" i="9"/>
  <c r="AC71" i="9"/>
  <c r="AC94" i="9"/>
  <c r="W90" i="5"/>
  <c r="W94" i="5"/>
  <c r="W91" i="5"/>
  <c r="W98" i="5"/>
  <c r="W95" i="5"/>
  <c r="W96" i="5"/>
  <c r="W92" i="5"/>
  <c r="W97" i="5"/>
  <c r="W93" i="5"/>
  <c r="L91" i="7"/>
  <c r="H118" i="7"/>
  <c r="I118" i="7" s="1"/>
  <c r="R93" i="9"/>
  <c r="U8" i="9"/>
  <c r="R37" i="9"/>
  <c r="U107" i="9"/>
  <c r="R65" i="9"/>
  <c r="Z64" i="12"/>
  <c r="Z36" i="12"/>
  <c r="V83" i="5"/>
  <c r="W2" i="5"/>
  <c r="G101" i="5" l="1" a="1"/>
  <c r="G101" i="5" s="1"/>
  <c r="W6" i="10"/>
  <c r="I126" i="12"/>
  <c r="I127" i="12"/>
  <c r="I157" i="12" s="1"/>
  <c r="I135" i="12"/>
  <c r="I143" i="12"/>
  <c r="W90" i="10"/>
  <c r="W98" i="10"/>
  <c r="W106" i="10"/>
  <c r="W61" i="10"/>
  <c r="W69" i="10"/>
  <c r="W77" i="10"/>
  <c r="W40" i="10"/>
  <c r="W48" i="10"/>
  <c r="W62" i="10"/>
  <c r="W70" i="10"/>
  <c r="W78" i="10"/>
  <c r="W41" i="10"/>
  <c r="W49" i="10"/>
  <c r="W64" i="10"/>
  <c r="W43" i="10"/>
  <c r="W97" i="10"/>
  <c r="W68" i="10"/>
  <c r="I128" i="12"/>
  <c r="I136" i="12"/>
  <c r="I144" i="12"/>
  <c r="W91" i="10"/>
  <c r="W99" i="10"/>
  <c r="W107" i="10"/>
  <c r="I129" i="12"/>
  <c r="I137" i="12"/>
  <c r="I145" i="12"/>
  <c r="W92" i="10"/>
  <c r="W100" i="10"/>
  <c r="W108" i="10"/>
  <c r="W63" i="10"/>
  <c r="W71" i="10"/>
  <c r="W79" i="10"/>
  <c r="W34" i="10"/>
  <c r="W42" i="10"/>
  <c r="W50" i="10"/>
  <c r="I130" i="12"/>
  <c r="I138" i="12"/>
  <c r="W93" i="10"/>
  <c r="W101" i="10"/>
  <c r="W72" i="10"/>
  <c r="W80" i="10"/>
  <c r="W35" i="10"/>
  <c r="W51" i="10"/>
  <c r="W105" i="10"/>
  <c r="W76" i="10"/>
  <c r="I131" i="12"/>
  <c r="I139" i="12"/>
  <c r="W94" i="10"/>
  <c r="W102" i="10"/>
  <c r="W65" i="10"/>
  <c r="W73" i="10"/>
  <c r="W81" i="10"/>
  <c r="W36" i="10"/>
  <c r="W44" i="10"/>
  <c r="W52" i="10"/>
  <c r="I141" i="12"/>
  <c r="W96" i="10"/>
  <c r="W104" i="10"/>
  <c r="W67" i="10"/>
  <c r="W38" i="10"/>
  <c r="W46" i="10"/>
  <c r="W54" i="10"/>
  <c r="I134" i="12"/>
  <c r="W89" i="10"/>
  <c r="W47" i="10"/>
  <c r="I132" i="12"/>
  <c r="I140" i="12"/>
  <c r="W95" i="10"/>
  <c r="W103" i="10"/>
  <c r="W66" i="10"/>
  <c r="W74" i="10"/>
  <c r="W37" i="10"/>
  <c r="W45" i="10"/>
  <c r="W53" i="10"/>
  <c r="I133" i="12"/>
  <c r="W88" i="10"/>
  <c r="W75" i="10"/>
  <c r="I142" i="12"/>
  <c r="W39" i="10"/>
  <c r="Z7" i="10"/>
  <c r="AD7" i="10" s="1"/>
  <c r="Z9" i="10"/>
  <c r="Z23" i="10"/>
  <c r="Z14" i="10"/>
  <c r="Z21" i="10"/>
  <c r="Z13" i="10"/>
  <c r="Z25" i="10"/>
  <c r="Z20" i="10"/>
  <c r="Z12" i="10"/>
  <c r="Z22" i="10"/>
  <c r="Z8" i="10"/>
  <c r="Z16" i="10"/>
  <c r="Z18" i="10"/>
  <c r="Z19" i="10"/>
  <c r="Z10" i="10"/>
  <c r="Z17" i="10"/>
  <c r="Z24" i="10"/>
  <c r="Z11" i="10"/>
  <c r="Z15" i="10"/>
  <c r="X6" i="10"/>
  <c r="X33" i="10" s="1"/>
  <c r="X88" i="10"/>
  <c r="X96" i="10"/>
  <c r="X104" i="10"/>
  <c r="X67" i="10"/>
  <c r="X75" i="10"/>
  <c r="X38" i="10"/>
  <c r="X46" i="10"/>
  <c r="X54" i="10"/>
  <c r="X68" i="10"/>
  <c r="X76" i="10"/>
  <c r="X39" i="10"/>
  <c r="X47" i="10"/>
  <c r="X49" i="10"/>
  <c r="X95" i="10"/>
  <c r="X53" i="10"/>
  <c r="X89" i="10"/>
  <c r="X97" i="10"/>
  <c r="X105" i="10"/>
  <c r="X90" i="10"/>
  <c r="X98" i="10"/>
  <c r="X106" i="10"/>
  <c r="X61" i="10"/>
  <c r="X69" i="10"/>
  <c r="X77" i="10"/>
  <c r="X40" i="10"/>
  <c r="X48" i="10"/>
  <c r="X91" i="10"/>
  <c r="X99" i="10"/>
  <c r="X107" i="10"/>
  <c r="X62" i="10"/>
  <c r="X70" i="10"/>
  <c r="X78" i="10"/>
  <c r="X41" i="10"/>
  <c r="X66" i="10"/>
  <c r="X45" i="10"/>
  <c r="X92" i="10"/>
  <c r="X100" i="10"/>
  <c r="X108" i="10"/>
  <c r="X63" i="10"/>
  <c r="X71" i="10"/>
  <c r="X79" i="10"/>
  <c r="X34" i="10"/>
  <c r="X42" i="10"/>
  <c r="X50" i="10"/>
  <c r="X94" i="10"/>
  <c r="X102" i="10"/>
  <c r="X65" i="10"/>
  <c r="X81" i="10"/>
  <c r="X36" i="10"/>
  <c r="X52" i="10"/>
  <c r="X74" i="10"/>
  <c r="X37" i="10"/>
  <c r="X93" i="10"/>
  <c r="X101" i="10"/>
  <c r="X64" i="10"/>
  <c r="X72" i="10"/>
  <c r="X80" i="10"/>
  <c r="X35" i="10"/>
  <c r="X43" i="10"/>
  <c r="X51" i="10"/>
  <c r="X73" i="10"/>
  <c r="X44" i="10"/>
  <c r="X103" i="10"/>
  <c r="Y6" i="10"/>
  <c r="Y60" i="10" s="1"/>
  <c r="Y93" i="10"/>
  <c r="Y101" i="10"/>
  <c r="Y64" i="10"/>
  <c r="Y72" i="10"/>
  <c r="Y80" i="10"/>
  <c r="Y36" i="10"/>
  <c r="Y44" i="10"/>
  <c r="Y52" i="10"/>
  <c r="Y37" i="10"/>
  <c r="Y45" i="10"/>
  <c r="Y53" i="10"/>
  <c r="Y39" i="10"/>
  <c r="Y79" i="10"/>
  <c r="Y51" i="10"/>
  <c r="Y108" i="10"/>
  <c r="Y94" i="10"/>
  <c r="Y102" i="10"/>
  <c r="Y65" i="10"/>
  <c r="Y73" i="10"/>
  <c r="Y95" i="10"/>
  <c r="Y103" i="10"/>
  <c r="Y66" i="10"/>
  <c r="Y74" i="10"/>
  <c r="Y38" i="10"/>
  <c r="Y46" i="10"/>
  <c r="Y54" i="10"/>
  <c r="Y88" i="10"/>
  <c r="Y96" i="10"/>
  <c r="Y104" i="10"/>
  <c r="Y81" i="10"/>
  <c r="Y67" i="10"/>
  <c r="Y75" i="10"/>
  <c r="Y47" i="10"/>
  <c r="Y89" i="10"/>
  <c r="Y97" i="10"/>
  <c r="Y105" i="10"/>
  <c r="Y68" i="10"/>
  <c r="Y76" i="10"/>
  <c r="Y40" i="10"/>
  <c r="Y48" i="10"/>
  <c r="Y91" i="10"/>
  <c r="Y99" i="10"/>
  <c r="Y107" i="10"/>
  <c r="Y62" i="10"/>
  <c r="Y78" i="10"/>
  <c r="Y34" i="10"/>
  <c r="Y50" i="10"/>
  <c r="Y100" i="10"/>
  <c r="Y63" i="10"/>
  <c r="Y35" i="10"/>
  <c r="Y90" i="10"/>
  <c r="Y98" i="10"/>
  <c r="Y106" i="10"/>
  <c r="Y61" i="10"/>
  <c r="Y69" i="10"/>
  <c r="Y77" i="10"/>
  <c r="Y41" i="10"/>
  <c r="Y49" i="10"/>
  <c r="Y70" i="10"/>
  <c r="Y42" i="10"/>
  <c r="Y92" i="10"/>
  <c r="Y71" i="10"/>
  <c r="Y43" i="10"/>
  <c r="F10" i="7"/>
  <c r="F172" i="7" s="1"/>
  <c r="R73" i="9"/>
  <c r="U73" i="9" s="1"/>
  <c r="R51" i="9"/>
  <c r="U51" i="9" s="1"/>
  <c r="R106" i="9"/>
  <c r="U106" i="9" s="1"/>
  <c r="W87" i="10"/>
  <c r="W33" i="10"/>
  <c r="W60" i="10"/>
  <c r="G71" i="7"/>
  <c r="I74" i="7"/>
  <c r="E64" i="7"/>
  <c r="E11" i="7"/>
  <c r="E13" i="7"/>
  <c r="I79" i="7"/>
  <c r="I64" i="7"/>
  <c r="H121" i="7"/>
  <c r="I121" i="7" s="1"/>
  <c r="J121" i="7" s="1"/>
  <c r="AK112" i="9"/>
  <c r="AM112" i="9" s="1"/>
  <c r="AN112" i="9" s="1"/>
  <c r="G65" i="7"/>
  <c r="E14" i="7"/>
  <c r="F14" i="7" s="1"/>
  <c r="E78" i="7"/>
  <c r="E22" i="7"/>
  <c r="J91" i="2"/>
  <c r="L95" i="2"/>
  <c r="H90" i="2"/>
  <c r="I90" i="2"/>
  <c r="J97" i="2"/>
  <c r="H93" i="2"/>
  <c r="U96" i="2"/>
  <c r="P95" i="2"/>
  <c r="H91" i="2"/>
  <c r="K93" i="2"/>
  <c r="J90" i="2"/>
  <c r="U98" i="2"/>
  <c r="K90" i="2"/>
  <c r="N98" i="2"/>
  <c r="P99" i="2"/>
  <c r="V98" i="2"/>
  <c r="E82" i="2"/>
  <c r="E83" i="2" s="1"/>
  <c r="K82" i="2"/>
  <c r="K83" i="2" s="1"/>
  <c r="H96" i="2"/>
  <c r="F82" i="2"/>
  <c r="F83" i="2" s="1"/>
  <c r="Y96" i="2"/>
  <c r="C76" i="2"/>
  <c r="S98" i="2"/>
  <c r="D76" i="2"/>
  <c r="D77" i="2" s="1"/>
  <c r="V97" i="2"/>
  <c r="O98" i="2"/>
  <c r="T91" i="2"/>
  <c r="L93" i="2"/>
  <c r="J82" i="2"/>
  <c r="J83" i="2" s="1"/>
  <c r="H82" i="2"/>
  <c r="H83" i="2" s="1"/>
  <c r="C82" i="2"/>
  <c r="I94" i="2"/>
  <c r="Z92" i="2"/>
  <c r="G82" i="2"/>
  <c r="G83" i="2" s="1"/>
  <c r="X97" i="2"/>
  <c r="L94" i="2"/>
  <c r="U97" i="2"/>
  <c r="I82" i="2"/>
  <c r="I83" i="2" s="1"/>
  <c r="J93" i="2"/>
  <c r="S96" i="2"/>
  <c r="O91" i="2"/>
  <c r="Q91" i="2"/>
  <c r="H94" i="2"/>
  <c r="Z95" i="2"/>
  <c r="J96" i="2"/>
  <c r="R92" i="2"/>
  <c r="Y97" i="2"/>
  <c r="P96" i="2"/>
  <c r="S95" i="2"/>
  <c r="D82" i="2"/>
  <c r="D83" i="2" s="1"/>
  <c r="U95" i="2"/>
  <c r="L91" i="2"/>
  <c r="W97" i="2"/>
  <c r="L90" i="2"/>
  <c r="M99" i="2"/>
  <c r="W96" i="2"/>
  <c r="M93" i="2"/>
  <c r="T92" i="2"/>
  <c r="Z94" i="2"/>
  <c r="X92" i="2"/>
  <c r="N91" i="2"/>
  <c r="T96" i="2"/>
  <c r="K99" i="2"/>
  <c r="X91" i="2"/>
  <c r="M82" i="2"/>
  <c r="M83" i="2" s="1"/>
  <c r="L82" i="2"/>
  <c r="L83" i="2" s="1"/>
  <c r="U94" i="2"/>
  <c r="S92" i="2"/>
  <c r="M95" i="2"/>
  <c r="Z97" i="2"/>
  <c r="X95" i="2"/>
  <c r="Q99" i="2"/>
  <c r="X99" i="2"/>
  <c r="S97" i="2"/>
  <c r="X98" i="2"/>
  <c r="Y98" i="2"/>
  <c r="V91" i="2"/>
  <c r="J98" i="2"/>
  <c r="Y92" i="2"/>
  <c r="J99" i="2"/>
  <c r="K96" i="2"/>
  <c r="P92" i="2"/>
  <c r="U99" i="2"/>
  <c r="H98" i="2"/>
  <c r="Q94" i="2"/>
  <c r="I97" i="2"/>
  <c r="N92" i="2"/>
  <c r="R96" i="2"/>
  <c r="W93" i="2"/>
  <c r="V94" i="2"/>
  <c r="S91" i="2"/>
  <c r="M97" i="2"/>
  <c r="I99" i="2"/>
  <c r="S99" i="2"/>
  <c r="O94" i="2"/>
  <c r="Q96" i="2"/>
  <c r="W98" i="2"/>
  <c r="K95" i="2"/>
  <c r="M98" i="2"/>
  <c r="O97" i="2"/>
  <c r="X94" i="2"/>
  <c r="N93" i="2"/>
  <c r="Y99" i="2"/>
  <c r="L99" i="2"/>
  <c r="T99" i="2"/>
  <c r="Z99" i="2"/>
  <c r="N96" i="2"/>
  <c r="Y95" i="2"/>
  <c r="S94" i="2"/>
  <c r="P91" i="2"/>
  <c r="I93" i="2"/>
  <c r="L97" i="2"/>
  <c r="T95" i="2"/>
  <c r="N97" i="2"/>
  <c r="O92" i="2"/>
  <c r="W91" i="2"/>
  <c r="J92" i="2"/>
  <c r="M90" i="2"/>
  <c r="K92" i="2"/>
  <c r="O99" i="2"/>
  <c r="V96" i="2"/>
  <c r="Q92" i="2"/>
  <c r="J95" i="2"/>
  <c r="R94" i="2"/>
  <c r="P93" i="2"/>
  <c r="W99" i="2"/>
  <c r="V99" i="2"/>
  <c r="K94" i="2"/>
  <c r="L92" i="2"/>
  <c r="O93" i="2"/>
  <c r="R99" i="2"/>
  <c r="H97" i="2"/>
  <c r="Z98" i="2"/>
  <c r="H95" i="2"/>
  <c r="Q93" i="2"/>
  <c r="Q97" i="2"/>
  <c r="R91" i="2"/>
  <c r="M92" i="2"/>
  <c r="Y93" i="2"/>
  <c r="U91" i="2"/>
  <c r="Q95" i="2"/>
  <c r="I95" i="2"/>
  <c r="Z96" i="2"/>
  <c r="W94" i="2"/>
  <c r="P97" i="2"/>
  <c r="J94" i="2"/>
  <c r="I98" i="2"/>
  <c r="X93" i="2"/>
  <c r="X96" i="2"/>
  <c r="N94" i="2"/>
  <c r="R97" i="2"/>
  <c r="R93" i="2"/>
  <c r="O95" i="2"/>
  <c r="Y94" i="2"/>
  <c r="W95" i="2"/>
  <c r="U92" i="2"/>
  <c r="M91" i="2"/>
  <c r="V92" i="2"/>
  <c r="W92" i="2"/>
  <c r="Z93" i="2"/>
  <c r="P94" i="2"/>
  <c r="N95" i="2"/>
  <c r="H99" i="2"/>
  <c r="K91" i="2"/>
  <c r="V93" i="2"/>
  <c r="R98" i="2"/>
  <c r="U93" i="2"/>
  <c r="I92" i="2"/>
  <c r="N99" i="2"/>
  <c r="O96" i="2"/>
  <c r="I96" i="2"/>
  <c r="T98" i="2"/>
  <c r="R95" i="2"/>
  <c r="M96" i="2"/>
  <c r="L98" i="2"/>
  <c r="Y91" i="2"/>
  <c r="L96" i="2"/>
  <c r="T97" i="2"/>
  <c r="M94" i="2"/>
  <c r="S93" i="2"/>
  <c r="K98" i="2"/>
  <c r="H92" i="2"/>
  <c r="T94" i="2"/>
  <c r="P98" i="2"/>
  <c r="Q98" i="2"/>
  <c r="K97" i="2"/>
  <c r="I91" i="2"/>
  <c r="T93" i="2"/>
  <c r="Z91" i="2"/>
  <c r="V95" i="2"/>
  <c r="N90" i="2"/>
  <c r="N82" i="2"/>
  <c r="N83" i="2" s="1"/>
  <c r="O90" i="2"/>
  <c r="O82" i="2"/>
  <c r="O83" i="2" s="1"/>
  <c r="P82" i="2"/>
  <c r="P83" i="2" s="1"/>
  <c r="P90" i="2"/>
  <c r="Q82" i="2"/>
  <c r="Q83" i="2" s="1"/>
  <c r="Q90" i="2"/>
  <c r="R90" i="2"/>
  <c r="R82" i="2"/>
  <c r="R83" i="2" s="1"/>
  <c r="Y82" i="2"/>
  <c r="Y83" i="2" s="1"/>
  <c r="T90" i="2"/>
  <c r="W90" i="2"/>
  <c r="U90" i="2"/>
  <c r="Y90" i="2"/>
  <c r="W82" i="2"/>
  <c r="W83" i="2" s="1"/>
  <c r="S90" i="2"/>
  <c r="U82" i="2"/>
  <c r="U83" i="2" s="1"/>
  <c r="S82" i="2"/>
  <c r="S83" i="2" s="1"/>
  <c r="E18" i="7"/>
  <c r="F18" i="7" s="1"/>
  <c r="R103" i="9"/>
  <c r="U103" i="9" s="1"/>
  <c r="E75" i="7"/>
  <c r="E12" i="7"/>
  <c r="AE142" i="7"/>
  <c r="G64" i="7"/>
  <c r="E77" i="7"/>
  <c r="G77" i="7"/>
  <c r="E24" i="7"/>
  <c r="F24" i="7" s="1"/>
  <c r="I80" i="7"/>
  <c r="E17" i="7"/>
  <c r="E43" i="7" s="1"/>
  <c r="E19" i="7"/>
  <c r="E27" i="7"/>
  <c r="R78" i="9"/>
  <c r="U78" i="9" s="1"/>
  <c r="L97" i="7"/>
  <c r="E20" i="7"/>
  <c r="E46" i="7" s="1"/>
  <c r="D172" i="7"/>
  <c r="AC142" i="7"/>
  <c r="G72" i="7"/>
  <c r="I77" i="7"/>
  <c r="W74" i="5"/>
  <c r="W77" i="5" s="1"/>
  <c r="W68" i="5"/>
  <c r="W71" i="5" s="1"/>
  <c r="E9" i="7"/>
  <c r="AA142" i="7"/>
  <c r="G81" i="7"/>
  <c r="G74" i="7"/>
  <c r="E26" i="7"/>
  <c r="E21" i="7"/>
  <c r="E16" i="7"/>
  <c r="E42" i="7" s="1"/>
  <c r="E23" i="7"/>
  <c r="D185" i="7" s="1"/>
  <c r="E15" i="7"/>
  <c r="E41" i="7" s="1"/>
  <c r="E25" i="7"/>
  <c r="E51" i="7" s="1"/>
  <c r="R49" i="9"/>
  <c r="U49" i="9" s="1"/>
  <c r="H130" i="7"/>
  <c r="I130" i="7" s="1"/>
  <c r="J130" i="7" s="1"/>
  <c r="L103" i="7"/>
  <c r="R68" i="9"/>
  <c r="U68" i="9" s="1"/>
  <c r="R50" i="9"/>
  <c r="U50" i="9" s="1"/>
  <c r="R111" i="9"/>
  <c r="U111" i="9" s="1"/>
  <c r="I82" i="7"/>
  <c r="L102" i="7"/>
  <c r="H129" i="7"/>
  <c r="I129" i="7" s="1"/>
  <c r="J129" i="7" s="1"/>
  <c r="R45" i="9"/>
  <c r="U45" i="9" s="1"/>
  <c r="R94" i="9"/>
  <c r="U94" i="9" s="1"/>
  <c r="R76" i="9"/>
  <c r="U76" i="9" s="1"/>
  <c r="R42" i="9"/>
  <c r="U42" i="9" s="1"/>
  <c r="R43" i="9"/>
  <c r="U43" i="9" s="1"/>
  <c r="E40" i="7"/>
  <c r="D176" i="7"/>
  <c r="E48" i="7"/>
  <c r="D184" i="7"/>
  <c r="F22" i="7"/>
  <c r="H133" i="7"/>
  <c r="I133" i="7" s="1"/>
  <c r="J133" i="7" s="1"/>
  <c r="L106" i="7"/>
  <c r="R70" i="9"/>
  <c r="U70" i="9" s="1"/>
  <c r="L92" i="7"/>
  <c r="H119" i="7"/>
  <c r="I119" i="7" s="1"/>
  <c r="J119" i="7" s="1"/>
  <c r="R79" i="9"/>
  <c r="U79" i="9" s="1"/>
  <c r="L107" i="7"/>
  <c r="H134" i="7"/>
  <c r="I134" i="7" s="1"/>
  <c r="J134" i="7" s="1"/>
  <c r="L99" i="7"/>
  <c r="L104" i="7"/>
  <c r="H131" i="7"/>
  <c r="I131" i="7" s="1"/>
  <c r="J131" i="7" s="1"/>
  <c r="L105" i="7"/>
  <c r="H132" i="7"/>
  <c r="I132" i="7" s="1"/>
  <c r="J132" i="7" s="1"/>
  <c r="E49" i="7"/>
  <c r="E47" i="7"/>
  <c r="D183" i="7"/>
  <c r="F21" i="7"/>
  <c r="R40" i="9"/>
  <c r="U40" i="9" s="1"/>
  <c r="G82" i="7"/>
  <c r="R83" i="9"/>
  <c r="U83" i="9" s="1"/>
  <c r="R108" i="9"/>
  <c r="U108" i="9" s="1"/>
  <c r="R55" i="9"/>
  <c r="U55" i="9" s="1"/>
  <c r="R46" i="9"/>
  <c r="U46" i="9" s="1"/>
  <c r="E37" i="7"/>
  <c r="F11" i="7"/>
  <c r="D173" i="7"/>
  <c r="L96" i="7"/>
  <c r="H123" i="7"/>
  <c r="I123" i="7" s="1"/>
  <c r="J123" i="7" s="1"/>
  <c r="E44" i="7"/>
  <c r="R102" i="9"/>
  <c r="U102" i="9" s="1"/>
  <c r="L93" i="7"/>
  <c r="H120" i="7"/>
  <c r="I120" i="7" s="1"/>
  <c r="J120" i="7" s="1"/>
  <c r="R38" i="9"/>
  <c r="U38" i="9" s="1"/>
  <c r="E38" i="7"/>
  <c r="D174" i="7"/>
  <c r="F12" i="7"/>
  <c r="E45" i="7"/>
  <c r="F19" i="7"/>
  <c r="D181" i="7"/>
  <c r="R100" i="9"/>
  <c r="U100" i="9" s="1"/>
  <c r="R99" i="9"/>
  <c r="U99" i="9" s="1"/>
  <c r="R80" i="9"/>
  <c r="U80" i="9" s="1"/>
  <c r="R44" i="9"/>
  <c r="U44" i="9" s="1"/>
  <c r="R54" i="9"/>
  <c r="U54" i="9" s="1"/>
  <c r="E53" i="7"/>
  <c r="F27" i="7"/>
  <c r="D189" i="7"/>
  <c r="R81" i="9"/>
  <c r="U81" i="9" s="1"/>
  <c r="E39" i="7"/>
  <c r="D175" i="7"/>
  <c r="F13" i="7"/>
  <c r="L100" i="7"/>
  <c r="H127" i="7"/>
  <c r="I127" i="7" s="1"/>
  <c r="J127" i="7" s="1"/>
  <c r="R97" i="9"/>
  <c r="U97" i="9" s="1"/>
  <c r="R39" i="9"/>
  <c r="U39" i="9" s="1"/>
  <c r="R41" i="9"/>
  <c r="U41" i="9" s="1"/>
  <c r="R96" i="9"/>
  <c r="U96" i="9" s="1"/>
  <c r="AK84" i="9"/>
  <c r="AM84" i="9" s="1"/>
  <c r="AN84" i="9" s="1"/>
  <c r="R95" i="9"/>
  <c r="U95" i="9" s="1"/>
  <c r="R101" i="9"/>
  <c r="U101" i="9" s="1"/>
  <c r="R71" i="9"/>
  <c r="U71" i="9" s="1"/>
  <c r="R104" i="9"/>
  <c r="U104" i="9" s="1"/>
  <c r="R67" i="9"/>
  <c r="U67" i="9" s="1"/>
  <c r="F26" i="7"/>
  <c r="E52" i="7"/>
  <c r="D188" i="7"/>
  <c r="H125" i="7"/>
  <c r="I125" i="7" s="1"/>
  <c r="J125" i="7" s="1"/>
  <c r="L98" i="7"/>
  <c r="R110" i="9"/>
  <c r="U110" i="9" s="1"/>
  <c r="I81" i="7"/>
  <c r="L109" i="7"/>
  <c r="H136" i="7"/>
  <c r="I136" i="7" s="1"/>
  <c r="J136" i="7" s="1"/>
  <c r="R47" i="9"/>
  <c r="U47" i="9" s="1"/>
  <c r="R56" i="9"/>
  <c r="U56" i="9" s="1"/>
  <c r="R77" i="9"/>
  <c r="U77" i="9" s="1"/>
  <c r="R105" i="9"/>
  <c r="U105" i="9" s="1"/>
  <c r="R52" i="9"/>
  <c r="U52" i="9" s="1"/>
  <c r="AC66" i="9"/>
  <c r="AC38" i="9"/>
  <c r="U93" i="9"/>
  <c r="J118" i="7"/>
  <c r="U37" i="9"/>
  <c r="U65" i="9"/>
  <c r="W83" i="5"/>
  <c r="X87" i="10" l="1"/>
  <c r="Z87" i="10" s="1"/>
  <c r="AD87" i="10" s="1"/>
  <c r="AE87" i="10" s="1"/>
  <c r="Z6" i="10"/>
  <c r="AD6" i="10" s="1"/>
  <c r="D180" i="7"/>
  <c r="D182" i="7"/>
  <c r="Y33" i="10"/>
  <c r="Y87" i="10"/>
  <c r="X60" i="10"/>
  <c r="Z60" i="10" s="1"/>
  <c r="AD60" i="10" s="1"/>
  <c r="AE60" i="10" s="1"/>
  <c r="M126" i="12"/>
  <c r="G203" i="7"/>
  <c r="I156" i="12"/>
  <c r="K126" i="12"/>
  <c r="K156" i="12" s="1"/>
  <c r="Z88" i="10"/>
  <c r="AD88" i="10" s="1"/>
  <c r="Z61" i="10"/>
  <c r="AD61" i="10" s="1"/>
  <c r="I125" i="12"/>
  <c r="I155" i="12" s="1"/>
  <c r="K65" i="7"/>
  <c r="F15" i="7"/>
  <c r="D177" i="7"/>
  <c r="F23" i="7"/>
  <c r="F185" i="7" s="1"/>
  <c r="F20" i="7"/>
  <c r="F188" i="7"/>
  <c r="K81" i="7"/>
  <c r="F189" i="7"/>
  <c r="K82" i="7"/>
  <c r="F186" i="7"/>
  <c r="K79" i="7"/>
  <c r="F184" i="7"/>
  <c r="K77" i="7"/>
  <c r="J64" i="7"/>
  <c r="F183" i="7"/>
  <c r="K76" i="7"/>
  <c r="F180" i="7"/>
  <c r="K73" i="7"/>
  <c r="F177" i="7"/>
  <c r="K70" i="7"/>
  <c r="F175" i="7"/>
  <c r="K68" i="7"/>
  <c r="F181" i="7"/>
  <c r="K74" i="7"/>
  <c r="D179" i="7"/>
  <c r="F173" i="7"/>
  <c r="K66" i="7"/>
  <c r="F182" i="7"/>
  <c r="K75" i="7"/>
  <c r="F17" i="7"/>
  <c r="F174" i="7"/>
  <c r="K67" i="7"/>
  <c r="F176" i="7"/>
  <c r="K69" i="7"/>
  <c r="E74" i="7"/>
  <c r="J74" i="7" s="1"/>
  <c r="I67" i="7"/>
  <c r="I70" i="7"/>
  <c r="E73" i="7"/>
  <c r="G78" i="7"/>
  <c r="J78" i="7" s="1"/>
  <c r="G67" i="7"/>
  <c r="Z142" i="7"/>
  <c r="U142" i="7"/>
  <c r="Y150" i="7"/>
  <c r="W146" i="7"/>
  <c r="AD147" i="7"/>
  <c r="T149" i="7"/>
  <c r="R149" i="7"/>
  <c r="AD150" i="7"/>
  <c r="AE147" i="7"/>
  <c r="Q146" i="7"/>
  <c r="Z150" i="7"/>
  <c r="N142" i="7"/>
  <c r="E66" i="7"/>
  <c r="I72" i="7"/>
  <c r="E65" i="7"/>
  <c r="E82" i="7"/>
  <c r="J82" i="7" s="1"/>
  <c r="E67" i="7"/>
  <c r="AB142" i="7"/>
  <c r="R146" i="7"/>
  <c r="AB147" i="7"/>
  <c r="W151" i="7"/>
  <c r="O147" i="7"/>
  <c r="S148" i="7"/>
  <c r="R150" i="7"/>
  <c r="Z151" i="7"/>
  <c r="AC150" i="7"/>
  <c r="Z146" i="7"/>
  <c r="AE146" i="7"/>
  <c r="Z147" i="7"/>
  <c r="AC149" i="7"/>
  <c r="O142" i="7"/>
  <c r="E79" i="7"/>
  <c r="E68" i="7"/>
  <c r="E81" i="7"/>
  <c r="I71" i="7"/>
  <c r="G73" i="7"/>
  <c r="G75" i="7"/>
  <c r="E35" i="7"/>
  <c r="I35" i="7" s="1"/>
  <c r="J35" i="7" s="1"/>
  <c r="F9" i="7"/>
  <c r="D171" i="7"/>
  <c r="E50" i="7"/>
  <c r="D186" i="7"/>
  <c r="Y142" i="7"/>
  <c r="P149" i="7"/>
  <c r="Y149" i="7"/>
  <c r="T148" i="7"/>
  <c r="S147" i="7"/>
  <c r="AD146" i="7"/>
  <c r="O146" i="7"/>
  <c r="S149" i="7"/>
  <c r="AE151" i="7"/>
  <c r="P147" i="7"/>
  <c r="AA146" i="7"/>
  <c r="X149" i="7"/>
  <c r="T150" i="7"/>
  <c r="Q147" i="7"/>
  <c r="J8" i="10" a="1"/>
  <c r="T142" i="7"/>
  <c r="V150" i="7"/>
  <c r="Q148" i="7"/>
  <c r="S151" i="7"/>
  <c r="U146" i="7"/>
  <c r="T147" i="7"/>
  <c r="U149" i="7"/>
  <c r="AA148" i="7"/>
  <c r="Y147" i="7"/>
  <c r="Y151" i="7"/>
  <c r="AB150" i="7"/>
  <c r="P148" i="7"/>
  <c r="AC151" i="7"/>
  <c r="X147" i="7"/>
  <c r="AA149" i="7"/>
  <c r="I66" i="7"/>
  <c r="U150" i="7"/>
  <c r="AB146" i="7"/>
  <c r="V149" i="7"/>
  <c r="P146" i="7"/>
  <c r="T151" i="7"/>
  <c r="Q149" i="7"/>
  <c r="Q151" i="7"/>
  <c r="V148" i="7"/>
  <c r="W148" i="7"/>
  <c r="O151" i="7"/>
  <c r="V151" i="7"/>
  <c r="AB148" i="7"/>
  <c r="U148" i="7"/>
  <c r="X148" i="7"/>
  <c r="AA150" i="7"/>
  <c r="U147" i="7"/>
  <c r="M125" i="12"/>
  <c r="AE6" i="10"/>
  <c r="E70" i="7"/>
  <c r="F16" i="7"/>
  <c r="G76" i="7"/>
  <c r="I75" i="7"/>
  <c r="D178" i="7"/>
  <c r="D187" i="7"/>
  <c r="E69" i="7"/>
  <c r="I65" i="7"/>
  <c r="X142" i="7"/>
  <c r="W142" i="7"/>
  <c r="S142" i="7"/>
  <c r="Y146" i="7"/>
  <c r="Q150" i="7"/>
  <c r="W149" i="7"/>
  <c r="AE148" i="7"/>
  <c r="AA151" i="7"/>
  <c r="AD151" i="7"/>
  <c r="T146" i="7"/>
  <c r="AC147" i="7"/>
  <c r="P151" i="7"/>
  <c r="R151" i="7"/>
  <c r="AD149" i="7"/>
  <c r="O145" i="7"/>
  <c r="AB4" i="9" a="1"/>
  <c r="AB4" i="9" s="1"/>
  <c r="C83" i="2"/>
  <c r="X150" i="7"/>
  <c r="U151" i="7"/>
  <c r="Z148" i="7"/>
  <c r="E71" i="7"/>
  <c r="G80" i="7"/>
  <c r="E80" i="7"/>
  <c r="I73" i="7"/>
  <c r="I68" i="7"/>
  <c r="G79" i="7"/>
  <c r="G69" i="7"/>
  <c r="F25" i="7"/>
  <c r="J77" i="7"/>
  <c r="V142" i="7"/>
  <c r="AA147" i="7"/>
  <c r="R148" i="7"/>
  <c r="W150" i="7"/>
  <c r="S146" i="7"/>
  <c r="AB151" i="7"/>
  <c r="R142" i="7"/>
  <c r="X151" i="7"/>
  <c r="O150" i="7"/>
  <c r="AE149" i="7"/>
  <c r="Y148" i="7"/>
  <c r="Q142" i="7"/>
  <c r="C77" i="2"/>
  <c r="N4" i="9" a="1"/>
  <c r="N4" i="9" s="1"/>
  <c r="S150" i="7"/>
  <c r="I76" i="7"/>
  <c r="J76" i="7" s="1"/>
  <c r="G66" i="7"/>
  <c r="G70" i="7"/>
  <c r="E72" i="7"/>
  <c r="E76" i="7"/>
  <c r="G68" i="7"/>
  <c r="I69" i="7"/>
  <c r="AD142" i="7"/>
  <c r="AE143" i="7"/>
  <c r="P150" i="7"/>
  <c r="W147" i="7"/>
  <c r="AC148" i="7"/>
  <c r="V147" i="7"/>
  <c r="AE150" i="7"/>
  <c r="X146" i="7"/>
  <c r="AC146" i="7"/>
  <c r="V146" i="7"/>
  <c r="R147" i="7"/>
  <c r="AB149" i="7"/>
  <c r="O148" i="7"/>
  <c r="Z149" i="7"/>
  <c r="AD148" i="7"/>
  <c r="P142" i="7"/>
  <c r="O149" i="7"/>
  <c r="K125" i="12"/>
  <c r="I163" i="12"/>
  <c r="I171" i="12"/>
  <c r="I164" i="12"/>
  <c r="I172" i="12"/>
  <c r="I165" i="12"/>
  <c r="I173" i="12"/>
  <c r="I166" i="12"/>
  <c r="I174" i="12"/>
  <c r="I162" i="12"/>
  <c r="I159" i="12"/>
  <c r="I167" i="12"/>
  <c r="I160" i="12"/>
  <c r="I168" i="12"/>
  <c r="I161" i="12"/>
  <c r="I169" i="12"/>
  <c r="I170" i="12"/>
  <c r="J81" i="7"/>
  <c r="L81" i="7" s="1"/>
  <c r="J73" i="7" l="1"/>
  <c r="L73" i="7" s="1"/>
  <c r="J67" i="7"/>
  <c r="AA88" i="10"/>
  <c r="AC88" i="10" s="1"/>
  <c r="S90" i="12"/>
  <c r="J8" i="10"/>
  <c r="P8" i="10" s="1"/>
  <c r="AD8" i="10" s="1"/>
  <c r="P15" i="10"/>
  <c r="AD15" i="10" s="1"/>
  <c r="P14" i="10"/>
  <c r="AD14" i="10" s="1"/>
  <c r="P20" i="10"/>
  <c r="AD20" i="10" s="1"/>
  <c r="P13" i="10"/>
  <c r="AD13" i="10" s="1"/>
  <c r="P26" i="10"/>
  <c r="P16" i="10"/>
  <c r="AD16" i="10" s="1"/>
  <c r="P21" i="10"/>
  <c r="AD21" i="10" s="1"/>
  <c r="P18" i="10"/>
  <c r="AD18" i="10" s="1"/>
  <c r="P23" i="10"/>
  <c r="AD23" i="10" s="1"/>
  <c r="P11" i="10"/>
  <c r="AD11" i="10" s="1"/>
  <c r="P22" i="10"/>
  <c r="AD22" i="10" s="1"/>
  <c r="P25" i="10"/>
  <c r="AD25" i="10" s="1"/>
  <c r="P19" i="10"/>
  <c r="AD19" i="10" s="1"/>
  <c r="P24" i="10"/>
  <c r="AD24" i="10" s="1"/>
  <c r="P12" i="10"/>
  <c r="AD12" i="10" s="1"/>
  <c r="P10" i="10"/>
  <c r="AD10" i="10" s="1"/>
  <c r="P17" i="10"/>
  <c r="AD17" i="10" s="1"/>
  <c r="P9" i="10"/>
  <c r="AD9" i="10" s="1"/>
  <c r="L77" i="7"/>
  <c r="K78" i="7"/>
  <c r="L78" i="7" s="1"/>
  <c r="L82" i="7"/>
  <c r="J71" i="7"/>
  <c r="F187" i="7"/>
  <c r="K80" i="7"/>
  <c r="J69" i="7"/>
  <c r="L69" i="7" s="1"/>
  <c r="L76" i="7"/>
  <c r="J75" i="7"/>
  <c r="L75" i="7" s="1"/>
  <c r="J66" i="7"/>
  <c r="L66" i="7" s="1"/>
  <c r="F171" i="7"/>
  <c r="K64" i="7"/>
  <c r="L64" i="7" s="1"/>
  <c r="F178" i="7"/>
  <c r="K71" i="7"/>
  <c r="L71" i="7" s="1"/>
  <c r="F179" i="7"/>
  <c r="K72" i="7"/>
  <c r="L74" i="7"/>
  <c r="L67" i="7"/>
  <c r="J68" i="7"/>
  <c r="L68" i="7" s="1"/>
  <c r="J70" i="7"/>
  <c r="L70" i="7" s="1"/>
  <c r="H87" i="7"/>
  <c r="R4" i="9"/>
  <c r="AG4" i="9"/>
  <c r="AL4" i="9"/>
  <c r="AM4" i="9" s="1"/>
  <c r="AN4" i="9" s="1"/>
  <c r="F32" i="7"/>
  <c r="H32" i="7" s="1"/>
  <c r="J32" i="7" s="1"/>
  <c r="AB33" i="9"/>
  <c r="AB61" i="9"/>
  <c r="AB89" i="9"/>
  <c r="K155" i="12"/>
  <c r="J80" i="7"/>
  <c r="J79" i="7"/>
  <c r="L79" i="7" s="1"/>
  <c r="J72" i="7"/>
  <c r="AG6" i="10"/>
  <c r="AA7" i="10"/>
  <c r="S6" i="12"/>
  <c r="N125" i="12"/>
  <c r="M155" i="12" s="1"/>
  <c r="AA61" i="10"/>
  <c r="S62" i="12"/>
  <c r="J65" i="7"/>
  <c r="L65" i="7" s="1"/>
  <c r="I175" i="12"/>
  <c r="I158" i="12"/>
  <c r="G132" i="12"/>
  <c r="G140" i="12"/>
  <c r="G133" i="12"/>
  <c r="G141" i="12"/>
  <c r="G134" i="12"/>
  <c r="G142" i="12"/>
  <c r="G135" i="12"/>
  <c r="G143" i="12"/>
  <c r="G139" i="12"/>
  <c r="G128" i="12"/>
  <c r="G136" i="12"/>
  <c r="G144" i="12"/>
  <c r="G129" i="12"/>
  <c r="G137" i="12"/>
  <c r="G145" i="12"/>
  <c r="G131" i="12"/>
  <c r="G130" i="12"/>
  <c r="G138" i="12"/>
  <c r="L91" i="10"/>
  <c r="K94" i="10"/>
  <c r="J97" i="10"/>
  <c r="L99" i="10"/>
  <c r="K102" i="10"/>
  <c r="J105" i="10"/>
  <c r="L107" i="10"/>
  <c r="L92" i="10"/>
  <c r="J98" i="10"/>
  <c r="K103" i="10"/>
  <c r="K90" i="10"/>
  <c r="K89" i="10"/>
  <c r="J92" i="10"/>
  <c r="L94" i="10"/>
  <c r="K97" i="10"/>
  <c r="J100" i="10"/>
  <c r="L102" i="10"/>
  <c r="K105" i="10"/>
  <c r="J108" i="10"/>
  <c r="J106" i="10"/>
  <c r="L108" i="10"/>
  <c r="K106" i="10"/>
  <c r="L106" i="10"/>
  <c r="L89" i="10"/>
  <c r="K92" i="10"/>
  <c r="J95" i="10"/>
  <c r="L97" i="10"/>
  <c r="K100" i="10"/>
  <c r="J103" i="10"/>
  <c r="L105" i="10"/>
  <c r="K108" i="10"/>
  <c r="K98" i="10"/>
  <c r="L90" i="10"/>
  <c r="J91" i="10"/>
  <c r="L93" i="10"/>
  <c r="K96" i="10"/>
  <c r="J99" i="10"/>
  <c r="L101" i="10"/>
  <c r="K104" i="10"/>
  <c r="J107" i="10"/>
  <c r="L95" i="10"/>
  <c r="L103" i="10"/>
  <c r="J96" i="10"/>
  <c r="J104" i="10"/>
  <c r="K91" i="10"/>
  <c r="J94" i="10"/>
  <c r="L96" i="10"/>
  <c r="K99" i="10"/>
  <c r="J102" i="10"/>
  <c r="L104" i="10"/>
  <c r="K107" i="10"/>
  <c r="J90" i="10"/>
  <c r="K95" i="10"/>
  <c r="L100" i="10"/>
  <c r="J93" i="10"/>
  <c r="J101" i="10"/>
  <c r="K93" i="10"/>
  <c r="L98" i="10"/>
  <c r="K101" i="10"/>
  <c r="L76" i="10"/>
  <c r="L68" i="10"/>
  <c r="K75" i="10"/>
  <c r="K67" i="10"/>
  <c r="J74" i="10"/>
  <c r="J66" i="10"/>
  <c r="L35" i="10"/>
  <c r="K38" i="10"/>
  <c r="J41" i="10"/>
  <c r="L43" i="10"/>
  <c r="K46" i="10"/>
  <c r="J49" i="10"/>
  <c r="L51" i="10"/>
  <c r="K54" i="10"/>
  <c r="L75" i="10"/>
  <c r="L67" i="10"/>
  <c r="K74" i="10"/>
  <c r="K66" i="10"/>
  <c r="J73" i="10"/>
  <c r="J65" i="10"/>
  <c r="J36" i="10"/>
  <c r="L38" i="10"/>
  <c r="K41" i="10"/>
  <c r="J44" i="10"/>
  <c r="L46" i="10"/>
  <c r="K49" i="10"/>
  <c r="J52" i="10"/>
  <c r="L54" i="10"/>
  <c r="L74" i="10"/>
  <c r="L66" i="10"/>
  <c r="K73" i="10"/>
  <c r="K65" i="10"/>
  <c r="J80" i="10"/>
  <c r="J72" i="10"/>
  <c r="J64" i="10"/>
  <c r="K36" i="10"/>
  <c r="J39" i="10"/>
  <c r="L41" i="10"/>
  <c r="K44" i="10"/>
  <c r="J47" i="10"/>
  <c r="L49" i="10"/>
  <c r="K52" i="10"/>
  <c r="L81" i="10"/>
  <c r="L73" i="10"/>
  <c r="L65" i="10"/>
  <c r="K80" i="10"/>
  <c r="K72" i="10"/>
  <c r="K64" i="10"/>
  <c r="J79" i="10"/>
  <c r="J71" i="10"/>
  <c r="J63" i="10"/>
  <c r="L36" i="10"/>
  <c r="K39" i="10"/>
  <c r="J42" i="10"/>
  <c r="L44" i="10"/>
  <c r="K47" i="10"/>
  <c r="J50" i="10"/>
  <c r="L52" i="10"/>
  <c r="K81" i="10"/>
  <c r="L80" i="10"/>
  <c r="L72" i="10"/>
  <c r="L64" i="10"/>
  <c r="K79" i="10"/>
  <c r="K71" i="10"/>
  <c r="K63" i="10"/>
  <c r="J78" i="10"/>
  <c r="J70" i="10"/>
  <c r="J37" i="10"/>
  <c r="L39" i="10"/>
  <c r="K42" i="10"/>
  <c r="J45" i="10"/>
  <c r="L47" i="10"/>
  <c r="K50" i="10"/>
  <c r="J53" i="10"/>
  <c r="J81" i="10"/>
  <c r="L79" i="10"/>
  <c r="L71" i="10"/>
  <c r="L63" i="10"/>
  <c r="K78" i="10"/>
  <c r="K70" i="10"/>
  <c r="K62" i="10"/>
  <c r="J77" i="10"/>
  <c r="J69" i="10"/>
  <c r="K37" i="10"/>
  <c r="J40" i="10"/>
  <c r="L42" i="10"/>
  <c r="K45" i="10"/>
  <c r="J48" i="10"/>
  <c r="L50" i="10"/>
  <c r="K53" i="10"/>
  <c r="L78" i="10"/>
  <c r="L70" i="10"/>
  <c r="L62" i="10"/>
  <c r="K77" i="10"/>
  <c r="K69" i="10"/>
  <c r="J76" i="10"/>
  <c r="J68" i="10"/>
  <c r="L37" i="10"/>
  <c r="K40" i="10"/>
  <c r="J43" i="10"/>
  <c r="L45" i="10"/>
  <c r="K48" i="10"/>
  <c r="J51" i="10"/>
  <c r="L53" i="10"/>
  <c r="J75" i="10"/>
  <c r="L48" i="10"/>
  <c r="K43" i="10"/>
  <c r="J67" i="10"/>
  <c r="K51" i="10"/>
  <c r="J46" i="10"/>
  <c r="K76" i="10"/>
  <c r="J54" i="10"/>
  <c r="K68" i="10"/>
  <c r="K35" i="10"/>
  <c r="L77" i="10"/>
  <c r="J38" i="10"/>
  <c r="L69" i="10"/>
  <c r="L40" i="10"/>
  <c r="D25" i="12"/>
  <c r="D21" i="12"/>
  <c r="D10" i="12"/>
  <c r="D14" i="12"/>
  <c r="D18" i="12"/>
  <c r="D22" i="12"/>
  <c r="D26" i="12"/>
  <c r="D9" i="12"/>
  <c r="D11" i="12"/>
  <c r="D15" i="12"/>
  <c r="D19" i="12"/>
  <c r="D23" i="12"/>
  <c r="D17" i="12"/>
  <c r="D12" i="12"/>
  <c r="D16" i="12"/>
  <c r="D20" i="12"/>
  <c r="D24" i="12"/>
  <c r="D13" i="12"/>
  <c r="Z37" i="12"/>
  <c r="Z65" i="12"/>
  <c r="AE88" i="10" l="1"/>
  <c r="R91" i="12"/>
  <c r="L80" i="7"/>
  <c r="L72" i="7"/>
  <c r="AH4" i="9"/>
  <c r="AI4" i="9" s="1"/>
  <c r="U4" i="9"/>
  <c r="AC61" i="10"/>
  <c r="AE61" i="10" s="1"/>
  <c r="R64" i="12"/>
  <c r="AA64" i="12" s="1"/>
  <c r="AL89" i="9"/>
  <c r="AM89" i="9" s="1"/>
  <c r="AN89" i="9" s="1"/>
  <c r="AG89" i="9"/>
  <c r="AH89" i="9" s="1"/>
  <c r="AI89" i="9" s="1"/>
  <c r="AL61" i="9"/>
  <c r="AM61" i="9" s="1"/>
  <c r="AN61" i="9" s="1"/>
  <c r="AG61" i="9"/>
  <c r="AH61" i="9" s="1"/>
  <c r="AI61" i="9" s="1"/>
  <c r="H114" i="7"/>
  <c r="I114" i="7" s="1"/>
  <c r="AC7" i="10"/>
  <c r="D203" i="7"/>
  <c r="R7" i="12"/>
  <c r="AA7" i="12" s="1"/>
  <c r="AL33" i="9"/>
  <c r="AM33" i="9" s="1"/>
  <c r="AN33" i="9" s="1"/>
  <c r="AG33" i="9"/>
  <c r="AH33" i="9" s="1"/>
  <c r="AI33" i="9" s="1"/>
  <c r="Z27" i="10"/>
  <c r="AD27" i="10" s="1"/>
  <c r="Z26" i="10"/>
  <c r="AD26" i="10" s="1"/>
  <c r="D82" i="12"/>
  <c r="K129" i="12"/>
  <c r="G159" i="12"/>
  <c r="G164" i="12"/>
  <c r="K134" i="12"/>
  <c r="G174" i="12"/>
  <c r="K144" i="12"/>
  <c r="G171" i="12"/>
  <c r="K141" i="12"/>
  <c r="K137" i="12"/>
  <c r="G167" i="12"/>
  <c r="J89" i="10"/>
  <c r="G127" i="12"/>
  <c r="G166" i="12"/>
  <c r="K136" i="12"/>
  <c r="G163" i="12"/>
  <c r="K133" i="12"/>
  <c r="G172" i="12"/>
  <c r="K142" i="12"/>
  <c r="G168" i="12"/>
  <c r="K138" i="12"/>
  <c r="G158" i="12"/>
  <c r="K128" i="12"/>
  <c r="G170" i="12"/>
  <c r="K140" i="12"/>
  <c r="G160" i="12"/>
  <c r="K130" i="12"/>
  <c r="G169" i="12"/>
  <c r="K139" i="12"/>
  <c r="G162" i="12"/>
  <c r="K132" i="12"/>
  <c r="G161" i="12"/>
  <c r="K131" i="12"/>
  <c r="G173" i="12"/>
  <c r="K143" i="12"/>
  <c r="K145" i="12"/>
  <c r="G175" i="12"/>
  <c r="G165" i="12"/>
  <c r="K135" i="12"/>
  <c r="D105" i="12"/>
  <c r="P104" i="10"/>
  <c r="D97" i="12"/>
  <c r="P96" i="10"/>
  <c r="D104" i="12"/>
  <c r="P103" i="10"/>
  <c r="D93" i="12"/>
  <c r="P92" i="10"/>
  <c r="D103" i="12"/>
  <c r="P102" i="10"/>
  <c r="D92" i="12"/>
  <c r="P91" i="10"/>
  <c r="D107" i="12"/>
  <c r="P106" i="10"/>
  <c r="D102" i="12"/>
  <c r="P101" i="10"/>
  <c r="D109" i="12"/>
  <c r="P108" i="10"/>
  <c r="D98" i="12"/>
  <c r="P97" i="10"/>
  <c r="D94" i="12"/>
  <c r="P93" i="10"/>
  <c r="D108" i="12"/>
  <c r="P107" i="10"/>
  <c r="D96" i="12"/>
  <c r="P95" i="10"/>
  <c r="D95" i="12"/>
  <c r="P94" i="10"/>
  <c r="D99" i="12"/>
  <c r="P98" i="10"/>
  <c r="D106" i="12"/>
  <c r="P105" i="10"/>
  <c r="D101" i="12"/>
  <c r="P100" i="10"/>
  <c r="D91" i="12"/>
  <c r="P90" i="10"/>
  <c r="D100" i="12"/>
  <c r="P99" i="10"/>
  <c r="P54" i="10"/>
  <c r="P74" i="10"/>
  <c r="D71" i="12"/>
  <c r="P69" i="10"/>
  <c r="P81" i="10"/>
  <c r="D72" i="12"/>
  <c r="P70" i="10"/>
  <c r="D40" i="12"/>
  <c r="P39" i="10"/>
  <c r="D68" i="12"/>
  <c r="P66" i="10"/>
  <c r="D77" i="12"/>
  <c r="P75" i="10"/>
  <c r="D79" i="12"/>
  <c r="P77" i="10"/>
  <c r="D54" i="12"/>
  <c r="P53" i="10"/>
  <c r="D80" i="12"/>
  <c r="P78" i="10"/>
  <c r="D65" i="12"/>
  <c r="P63" i="10"/>
  <c r="D37" i="12"/>
  <c r="P36" i="10"/>
  <c r="D38" i="12"/>
  <c r="P37" i="10"/>
  <c r="D70" i="12"/>
  <c r="P68" i="10"/>
  <c r="D51" i="12"/>
  <c r="D73" i="12"/>
  <c r="P71" i="10"/>
  <c r="D66" i="12"/>
  <c r="P64" i="10"/>
  <c r="D67" i="12"/>
  <c r="P65" i="10"/>
  <c r="D50" i="12"/>
  <c r="P49" i="10"/>
  <c r="D39" i="12"/>
  <c r="P38" i="10"/>
  <c r="D47" i="12"/>
  <c r="P46" i="10"/>
  <c r="D78" i="12"/>
  <c r="P76" i="10"/>
  <c r="D49" i="12"/>
  <c r="P48" i="10"/>
  <c r="P50" i="10"/>
  <c r="D81" i="12"/>
  <c r="P79" i="10"/>
  <c r="D74" i="12"/>
  <c r="P72" i="10"/>
  <c r="D53" i="12"/>
  <c r="P52" i="10"/>
  <c r="D75" i="12"/>
  <c r="P73" i="10"/>
  <c r="D52" i="12"/>
  <c r="P51" i="10"/>
  <c r="D46" i="12"/>
  <c r="P45" i="10"/>
  <c r="P80" i="10"/>
  <c r="D44" i="12"/>
  <c r="P43" i="10"/>
  <c r="J62" i="10"/>
  <c r="J35" i="10"/>
  <c r="D43" i="12"/>
  <c r="D48" i="12"/>
  <c r="P47" i="10"/>
  <c r="D76" i="12"/>
  <c r="D42" i="12"/>
  <c r="P41" i="10"/>
  <c r="D69" i="12"/>
  <c r="P67" i="10"/>
  <c r="D41" i="12"/>
  <c r="P40" i="10"/>
  <c r="P42" i="10"/>
  <c r="D45" i="12"/>
  <c r="P44" i="10"/>
  <c r="V9" i="12"/>
  <c r="D8" i="12"/>
  <c r="V16" i="12"/>
  <c r="V26" i="12"/>
  <c r="V12" i="12"/>
  <c r="V22" i="12"/>
  <c r="V17" i="12"/>
  <c r="V18" i="12"/>
  <c r="V20" i="12"/>
  <c r="V23" i="12"/>
  <c r="V14" i="12"/>
  <c r="V19" i="12"/>
  <c r="V10" i="12"/>
  <c r="V13" i="12"/>
  <c r="V15" i="12"/>
  <c r="V21" i="12"/>
  <c r="V24" i="12"/>
  <c r="V11" i="12"/>
  <c r="V25" i="12"/>
  <c r="AA89" i="10" l="1"/>
  <c r="AC89" i="10" s="1"/>
  <c r="R92" i="12" s="1"/>
  <c r="S91" i="12"/>
  <c r="J114" i="7"/>
  <c r="AA62" i="10"/>
  <c r="S63" i="12"/>
  <c r="P89" i="10"/>
  <c r="E167" i="7"/>
  <c r="D31" i="7"/>
  <c r="H31" i="7" s="1"/>
  <c r="J31" i="7" s="1"/>
  <c r="F5" i="7"/>
  <c r="AE7" i="10"/>
  <c r="H203" i="7" s="1"/>
  <c r="F203" i="7"/>
  <c r="L126" i="12"/>
  <c r="L156" i="12" s="1"/>
  <c r="AA91" i="12"/>
  <c r="D90" i="12"/>
  <c r="V90" i="12" s="1"/>
  <c r="K161" i="12"/>
  <c r="K165" i="12"/>
  <c r="K162" i="12"/>
  <c r="K158" i="12"/>
  <c r="K166" i="12"/>
  <c r="K174" i="12"/>
  <c r="K163" i="12"/>
  <c r="K169" i="12"/>
  <c r="K168" i="12"/>
  <c r="G157" i="12"/>
  <c r="K127" i="12"/>
  <c r="K157" i="12" s="1"/>
  <c r="K164" i="12"/>
  <c r="K171" i="12"/>
  <c r="K175" i="12"/>
  <c r="K173" i="12"/>
  <c r="K160" i="12"/>
  <c r="K172" i="12"/>
  <c r="K170" i="12"/>
  <c r="K167" i="12"/>
  <c r="K159" i="12"/>
  <c r="M127" i="12"/>
  <c r="G204" i="7"/>
  <c r="V110" i="12"/>
  <c r="V106" i="12"/>
  <c r="V108" i="12"/>
  <c r="V102" i="12"/>
  <c r="V93" i="12"/>
  <c r="Q91" i="12"/>
  <c r="V91" i="12"/>
  <c r="V99" i="12"/>
  <c r="V94" i="12"/>
  <c r="V107" i="12"/>
  <c r="V104" i="12"/>
  <c r="V95" i="12"/>
  <c r="V98" i="12"/>
  <c r="Q92" i="12"/>
  <c r="V92" i="12"/>
  <c r="V97" i="12"/>
  <c r="V100" i="12"/>
  <c r="V101" i="12"/>
  <c r="V96" i="12"/>
  <c r="V109" i="12"/>
  <c r="V103" i="12"/>
  <c r="V105" i="12"/>
  <c r="V51" i="12"/>
  <c r="V76" i="12"/>
  <c r="D64" i="12"/>
  <c r="P62" i="10"/>
  <c r="V82" i="12"/>
  <c r="V77" i="12"/>
  <c r="V69" i="12"/>
  <c r="V75" i="12"/>
  <c r="V81" i="12"/>
  <c r="V47" i="12"/>
  <c r="V66" i="12"/>
  <c r="V71" i="12"/>
  <c r="V42" i="12"/>
  <c r="V78" i="12"/>
  <c r="V45" i="12"/>
  <c r="V48" i="12"/>
  <c r="V46" i="12"/>
  <c r="V80" i="12"/>
  <c r="V68" i="12"/>
  <c r="D36" i="12"/>
  <c r="P35" i="10"/>
  <c r="AD35" i="10" s="1"/>
  <c r="AE35" i="10" s="1"/>
  <c r="V43" i="12"/>
  <c r="V53" i="12"/>
  <c r="V39" i="12"/>
  <c r="V50" i="12"/>
  <c r="V70" i="12"/>
  <c r="V38" i="12"/>
  <c r="V37" i="12"/>
  <c r="V44" i="12"/>
  <c r="V52" i="12"/>
  <c r="V49" i="12"/>
  <c r="V54" i="12"/>
  <c r="V40" i="12"/>
  <c r="V41" i="12"/>
  <c r="V73" i="12"/>
  <c r="V65" i="12"/>
  <c r="V74" i="12"/>
  <c r="V67" i="12"/>
  <c r="V79" i="12"/>
  <c r="V72" i="12"/>
  <c r="V8" i="12"/>
  <c r="F167" i="7" l="1"/>
  <c r="K60" i="7"/>
  <c r="L60" i="7" s="1"/>
  <c r="AC62" i="10"/>
  <c r="R65" i="12"/>
  <c r="AA65" i="12" s="1"/>
  <c r="AG7" i="10"/>
  <c r="AA8" i="10"/>
  <c r="S7" i="12"/>
  <c r="N126" i="12"/>
  <c r="M156" i="12" s="1"/>
  <c r="Q90" i="12"/>
  <c r="V64" i="12"/>
  <c r="Q64" i="12"/>
  <c r="S36" i="12"/>
  <c r="AA36" i="10"/>
  <c r="V36" i="12"/>
  <c r="Q36" i="12"/>
  <c r="Z66" i="12"/>
  <c r="Z38" i="12"/>
  <c r="AC8" i="10" l="1"/>
  <c r="D204" i="7"/>
  <c r="R8" i="12"/>
  <c r="AA8" i="12" s="1"/>
  <c r="AC36" i="10"/>
  <c r="R37" i="12"/>
  <c r="AA37" i="12" s="1"/>
  <c r="AE8" i="10" l="1"/>
  <c r="AG8" i="10" s="1"/>
  <c r="F204" i="7"/>
  <c r="L127" i="12"/>
  <c r="L157" i="12" s="1"/>
  <c r="AA92" i="12"/>
  <c r="Z39" i="12"/>
  <c r="Z67" i="12"/>
  <c r="AA9" i="10" l="1"/>
  <c r="N127" i="12"/>
  <c r="M157" i="12" s="1"/>
  <c r="H204" i="7"/>
  <c r="S8" i="12"/>
  <c r="Z40" i="12"/>
  <c r="Z68" i="12"/>
  <c r="AC9" i="10" l="1"/>
  <c r="R9" i="12"/>
  <c r="AA9" i="12" s="1"/>
  <c r="D205" i="7"/>
  <c r="Z69" i="12"/>
  <c r="AE9" i="10" l="1"/>
  <c r="L128" i="12"/>
  <c r="L158" i="12" s="1"/>
  <c r="F205" i="7"/>
  <c r="Z41" i="12"/>
  <c r="AA10" i="10" l="1"/>
  <c r="AG9" i="10"/>
  <c r="Z42" i="12"/>
  <c r="Z70" i="12"/>
  <c r="AC10" i="10" l="1"/>
  <c r="Z43" i="12"/>
  <c r="Z71" i="12"/>
  <c r="AE10" i="10" l="1"/>
  <c r="Z72" i="12"/>
  <c r="AA11" i="10" l="1"/>
  <c r="AG10" i="10"/>
  <c r="Z44" i="12"/>
  <c r="AC11" i="10" l="1"/>
  <c r="Z73" i="12"/>
  <c r="Z45" i="12"/>
  <c r="AE11" i="10" l="1"/>
  <c r="Z74" i="12"/>
  <c r="AA12" i="10" l="1"/>
  <c r="AG11" i="10"/>
  <c r="Z46" i="12"/>
  <c r="AC12" i="10" l="1"/>
  <c r="Z47" i="12"/>
  <c r="Z75" i="12"/>
  <c r="AE12" i="10" l="1"/>
  <c r="Z48" i="12"/>
  <c r="Z76" i="12"/>
  <c r="AG12" i="10" l="1"/>
  <c r="AA13" i="10"/>
  <c r="Z77" i="12"/>
  <c r="Z49" i="12"/>
  <c r="AC13" i="10" l="1"/>
  <c r="Z78" i="12"/>
  <c r="Z50" i="12"/>
  <c r="AE13" i="10" l="1"/>
  <c r="Z51" i="12"/>
  <c r="Z79" i="12"/>
  <c r="AG13" i="10" l="1"/>
  <c r="AA14" i="10"/>
  <c r="Z80" i="12"/>
  <c r="AC14" i="10" l="1"/>
  <c r="Z52" i="12"/>
  <c r="AE14" i="10" l="1"/>
  <c r="AG14" i="10" s="1"/>
  <c r="Z53" i="12"/>
  <c r="Z81" i="12"/>
  <c r="AA15" i="10" l="1"/>
  <c r="Z54" i="12"/>
  <c r="Z82" i="12"/>
  <c r="AC15" i="10" l="1"/>
  <c r="S20" i="21"/>
  <c r="T20" i="21"/>
  <c r="U20" i="21"/>
  <c r="S25" i="21"/>
  <c r="D22" i="21"/>
  <c r="D166" i="21" s="1"/>
  <c r="T25" i="21"/>
  <c r="U25" i="21"/>
  <c r="U24" i="21"/>
  <c r="S21" i="21"/>
  <c r="D24" i="21"/>
  <c r="D168" i="21" s="1"/>
  <c r="U21" i="21"/>
  <c r="T21" i="21"/>
  <c r="T24" i="21"/>
  <c r="AE15" i="10" l="1"/>
  <c r="T30" i="21"/>
  <c r="U39" i="21" s="1"/>
  <c r="T34" i="21"/>
  <c r="U43" i="21" s="1"/>
  <c r="U33" i="21"/>
  <c r="U30" i="21"/>
  <c r="U34" i="21"/>
  <c r="E33" i="21"/>
  <c r="F42" i="21" s="1"/>
  <c r="G51" i="21" s="1"/>
  <c r="H60" i="21" s="1"/>
  <c r="E31" i="21"/>
  <c r="F40" i="21" s="1"/>
  <c r="G49" i="21" s="1"/>
  <c r="H58" i="21" s="1"/>
  <c r="U29" i="21"/>
  <c r="T29" i="21"/>
  <c r="AG15" i="10" l="1"/>
  <c r="AA16" i="10"/>
  <c r="U38" i="21"/>
  <c r="E22" i="21"/>
  <c r="E166" i="21" s="1"/>
  <c r="AC16" i="10" l="1"/>
  <c r="F31" i="21"/>
  <c r="G40" i="21" s="1"/>
  <c r="H49" i="21" s="1"/>
  <c r="I58" i="21" s="1"/>
  <c r="E24" i="21"/>
  <c r="E168" i="21" s="1"/>
  <c r="F22" i="21"/>
  <c r="F166" i="21" s="1"/>
  <c r="AE16" i="10" l="1"/>
  <c r="G31" i="21"/>
  <c r="H40" i="21" s="1"/>
  <c r="I49" i="21" s="1"/>
  <c r="J58" i="21" s="1"/>
  <c r="F24" i="21"/>
  <c r="D25" i="21"/>
  <c r="D169" i="21" s="1"/>
  <c r="E164" i="21"/>
  <c r="E25" i="21"/>
  <c r="G22" i="21"/>
  <c r="G166" i="21" s="1"/>
  <c r="F33" i="21"/>
  <c r="G42" i="21" s="1"/>
  <c r="H51" i="21" s="1"/>
  <c r="I60" i="21" s="1"/>
  <c r="D23" i="21"/>
  <c r="D167" i="21" s="1"/>
  <c r="F25" i="21"/>
  <c r="AA17" i="10" l="1"/>
  <c r="AG16" i="10"/>
  <c r="F168" i="21"/>
  <c r="E32" i="21"/>
  <c r="F41" i="21" s="1"/>
  <c r="G50" i="21" s="1"/>
  <c r="H59" i="21" s="1"/>
  <c r="F29" i="21"/>
  <c r="G38" i="21" s="1"/>
  <c r="H31" i="21"/>
  <c r="I40" i="21" s="1"/>
  <c r="J49" i="21" s="1"/>
  <c r="K58" i="21" s="1"/>
  <c r="F34" i="21"/>
  <c r="G43" i="21" s="1"/>
  <c r="H52" i="21" s="1"/>
  <c r="I61" i="21" s="1"/>
  <c r="E34" i="21"/>
  <c r="F43" i="21" s="1"/>
  <c r="G52" i="21" s="1"/>
  <c r="H61" i="21" s="1"/>
  <c r="G34" i="21"/>
  <c r="H43" i="21" s="1"/>
  <c r="I52" i="21" s="1"/>
  <c r="J61" i="21" s="1"/>
  <c r="G33" i="21"/>
  <c r="H42" i="21" s="1"/>
  <c r="I51" i="21" s="1"/>
  <c r="J60" i="21" s="1"/>
  <c r="E23" i="21"/>
  <c r="E167" i="21" s="1"/>
  <c r="G25" i="21"/>
  <c r="F164" i="21"/>
  <c r="H22" i="21"/>
  <c r="H166" i="21" s="1"/>
  <c r="G24" i="21"/>
  <c r="D21" i="21"/>
  <c r="D165" i="21" s="1"/>
  <c r="C17" i="21"/>
  <c r="E21" i="21"/>
  <c r="G29" i="21"/>
  <c r="AC17" i="10" l="1"/>
  <c r="D170" i="21"/>
  <c r="E169" i="21"/>
  <c r="G169" i="21"/>
  <c r="L143" i="7"/>
  <c r="F169" i="21"/>
  <c r="G168" i="21"/>
  <c r="H33" i="21"/>
  <c r="I42" i="21" s="1"/>
  <c r="J51" i="21" s="1"/>
  <c r="K60" i="21" s="1"/>
  <c r="F32" i="21"/>
  <c r="G41" i="21" s="1"/>
  <c r="H50" i="21" s="1"/>
  <c r="I59" i="21" s="1"/>
  <c r="I31" i="21"/>
  <c r="J40" i="21" s="1"/>
  <c r="K49" i="21" s="1"/>
  <c r="L58" i="21" s="1"/>
  <c r="H34" i="21"/>
  <c r="I43" i="21" s="1"/>
  <c r="J52" i="21" s="1"/>
  <c r="K61" i="21" s="1"/>
  <c r="H20" i="21"/>
  <c r="H25" i="21"/>
  <c r="H169" i="21" s="1"/>
  <c r="G164" i="21"/>
  <c r="I22" i="21"/>
  <c r="F21" i="21"/>
  <c r="E17" i="21"/>
  <c r="H29" i="21"/>
  <c r="H24" i="21"/>
  <c r="F23" i="21"/>
  <c r="F167" i="21" s="1"/>
  <c r="H38" i="21"/>
  <c r="E30" i="21"/>
  <c r="D26" i="21"/>
  <c r="F30" i="21"/>
  <c r="E26" i="21"/>
  <c r="E165" i="21" l="1"/>
  <c r="E170" i="21" s="1"/>
  <c r="F39" i="21"/>
  <c r="AE17" i="10"/>
  <c r="I166" i="21"/>
  <c r="H168" i="21"/>
  <c r="H47" i="21"/>
  <c r="I56" i="21" s="1"/>
  <c r="E175" i="21"/>
  <c r="I34" i="21"/>
  <c r="J43" i="21" s="1"/>
  <c r="K52" i="21" s="1"/>
  <c r="L61" i="21" s="1"/>
  <c r="G32" i="21"/>
  <c r="H41" i="21" s="1"/>
  <c r="I50" i="21" s="1"/>
  <c r="J59" i="21" s="1"/>
  <c r="I33" i="21"/>
  <c r="J42" i="21" s="1"/>
  <c r="K51" i="21" s="1"/>
  <c r="L60" i="21" s="1"/>
  <c r="J31" i="21"/>
  <c r="K40" i="21" s="1"/>
  <c r="L49" i="21" s="1"/>
  <c r="M58" i="21" s="1"/>
  <c r="G39" i="21"/>
  <c r="F35" i="21"/>
  <c r="F176" i="21" s="1"/>
  <c r="J22" i="21"/>
  <c r="I38" i="21"/>
  <c r="G30" i="21"/>
  <c r="F26" i="21"/>
  <c r="I29" i="21"/>
  <c r="G21" i="21"/>
  <c r="F17" i="21"/>
  <c r="I47" i="21"/>
  <c r="I25" i="21"/>
  <c r="I24" i="21"/>
  <c r="G23" i="21"/>
  <c r="I20" i="21"/>
  <c r="F165" i="21"/>
  <c r="F170" i="21" s="1"/>
  <c r="E35" i="21"/>
  <c r="I169" i="21" l="1"/>
  <c r="H164" i="21"/>
  <c r="N144" i="7"/>
  <c r="M143" i="7"/>
  <c r="N143" i="7"/>
  <c r="AA18" i="10"/>
  <c r="AG17" i="10"/>
  <c r="I164" i="21"/>
  <c r="I168" i="21"/>
  <c r="J166" i="21"/>
  <c r="G167" i="21"/>
  <c r="F175" i="21"/>
  <c r="K31" i="21"/>
  <c r="L40" i="21" s="1"/>
  <c r="M49" i="21" s="1"/>
  <c r="N58" i="21" s="1"/>
  <c r="J33" i="21"/>
  <c r="K42" i="21" s="1"/>
  <c r="L51" i="21" s="1"/>
  <c r="M60" i="21" s="1"/>
  <c r="H32" i="21"/>
  <c r="I41" i="21" s="1"/>
  <c r="J50" i="21" s="1"/>
  <c r="K59" i="21" s="1"/>
  <c r="J34" i="21"/>
  <c r="K43" i="21" s="1"/>
  <c r="L52" i="21" s="1"/>
  <c r="M61" i="21" s="1"/>
  <c r="H21" i="21"/>
  <c r="G17" i="21"/>
  <c r="H30" i="21"/>
  <c r="G26" i="21"/>
  <c r="H48" i="21"/>
  <c r="G44" i="21"/>
  <c r="G176" i="21" s="1"/>
  <c r="J25" i="21"/>
  <c r="J169" i="21" s="1"/>
  <c r="J38" i="21"/>
  <c r="J24" i="21"/>
  <c r="G48" i="21"/>
  <c r="G165" i="21" s="1"/>
  <c r="G170" i="21" s="1"/>
  <c r="F44" i="21"/>
  <c r="K22" i="21"/>
  <c r="H39" i="21"/>
  <c r="G35" i="21"/>
  <c r="J29" i="21"/>
  <c r="J56" i="21"/>
  <c r="H23" i="21"/>
  <c r="J20" i="21"/>
  <c r="J47" i="21"/>
  <c r="O144" i="7" l="1"/>
  <c r="P144" i="7"/>
  <c r="AC18" i="10"/>
  <c r="O143" i="7"/>
  <c r="K166" i="21"/>
  <c r="H167" i="21"/>
  <c r="J168" i="21"/>
  <c r="J164" i="21"/>
  <c r="G175" i="21"/>
  <c r="K33" i="21"/>
  <c r="L42" i="21" s="1"/>
  <c r="M51" i="21" s="1"/>
  <c r="N60" i="21" s="1"/>
  <c r="I32" i="21"/>
  <c r="J41" i="21" s="1"/>
  <c r="K50" i="21" s="1"/>
  <c r="L59" i="21" s="1"/>
  <c r="K34" i="21"/>
  <c r="L43" i="21" s="1"/>
  <c r="M52" i="21" s="1"/>
  <c r="N61" i="21" s="1"/>
  <c r="L22" i="21"/>
  <c r="L166" i="21" s="1"/>
  <c r="K38" i="21"/>
  <c r="I21" i="21"/>
  <c r="H17" i="21"/>
  <c r="L31" i="21"/>
  <c r="M40" i="21" s="1"/>
  <c r="N49" i="21" s="1"/>
  <c r="O58" i="21" s="1"/>
  <c r="I30" i="21"/>
  <c r="H26" i="21"/>
  <c r="K25" i="21"/>
  <c r="K169" i="21" s="1"/>
  <c r="K20" i="21"/>
  <c r="I57" i="21"/>
  <c r="I62" i="21" s="1"/>
  <c r="H53" i="21"/>
  <c r="I39" i="21"/>
  <c r="H35" i="21"/>
  <c r="I23" i="21"/>
  <c r="I167" i="21" s="1"/>
  <c r="K24" i="21"/>
  <c r="K29" i="21"/>
  <c r="K56" i="21"/>
  <c r="I48" i="21"/>
  <c r="H44" i="21"/>
  <c r="H57" i="21"/>
  <c r="H62" i="21" s="1"/>
  <c r="G53" i="21"/>
  <c r="G177" i="21" s="1"/>
  <c r="K47" i="21"/>
  <c r="P145" i="7" l="1"/>
  <c r="P143" i="7"/>
  <c r="AE18" i="10"/>
  <c r="K168" i="21"/>
  <c r="I165" i="21"/>
  <c r="I170" i="21" s="1"/>
  <c r="K164" i="21"/>
  <c r="H165" i="21"/>
  <c r="H170" i="21" s="1"/>
  <c r="H175" i="21"/>
  <c r="H177" i="21"/>
  <c r="L33" i="21"/>
  <c r="M42" i="21" s="1"/>
  <c r="N51" i="21" s="1"/>
  <c r="O60" i="21" s="1"/>
  <c r="L29" i="21"/>
  <c r="M38" i="21" s="1"/>
  <c r="L34" i="21"/>
  <c r="M43" i="21" s="1"/>
  <c r="N52" i="21" s="1"/>
  <c r="O61" i="21" s="1"/>
  <c r="J32" i="21"/>
  <c r="K41" i="21" s="1"/>
  <c r="L50" i="21" s="1"/>
  <c r="M59" i="21" s="1"/>
  <c r="M31" i="21"/>
  <c r="N40" i="21" s="1"/>
  <c r="O49" i="21" s="1"/>
  <c r="P58" i="21" s="1"/>
  <c r="L24" i="21"/>
  <c r="J57" i="21"/>
  <c r="J62" i="21" s="1"/>
  <c r="I53" i="21"/>
  <c r="I177" i="21" s="1"/>
  <c r="L20" i="21"/>
  <c r="J23" i="21"/>
  <c r="L56" i="21"/>
  <c r="J39" i="21"/>
  <c r="I35" i="21"/>
  <c r="L25" i="21"/>
  <c r="L169" i="21" s="1"/>
  <c r="J48" i="21"/>
  <c r="I44" i="21"/>
  <c r="L47" i="21"/>
  <c r="L38" i="21"/>
  <c r="J30" i="21"/>
  <c r="I26" i="21"/>
  <c r="M22" i="21"/>
  <c r="M166" i="21" s="1"/>
  <c r="J21" i="21"/>
  <c r="I17" i="21"/>
  <c r="R145" i="7" l="1"/>
  <c r="Q145" i="7"/>
  <c r="Q143" i="7"/>
  <c r="Q144" i="7"/>
  <c r="AG18" i="10"/>
  <c r="AA19" i="10"/>
  <c r="L168" i="21"/>
  <c r="J165" i="21"/>
  <c r="J167" i="21"/>
  <c r="L164" i="21"/>
  <c r="I175" i="21"/>
  <c r="M33" i="21"/>
  <c r="N42" i="21" s="1"/>
  <c r="O51" i="21" s="1"/>
  <c r="P60" i="21" s="1"/>
  <c r="M34" i="21"/>
  <c r="N43" i="21" s="1"/>
  <c r="O52" i="21" s="1"/>
  <c r="P61" i="21" s="1"/>
  <c r="K32" i="21"/>
  <c r="L41" i="21" s="1"/>
  <c r="M50" i="21" s="1"/>
  <c r="N59" i="21" s="1"/>
  <c r="N31" i="21"/>
  <c r="O40" i="21" s="1"/>
  <c r="P49" i="21" s="1"/>
  <c r="Q58" i="21" s="1"/>
  <c r="K23" i="21"/>
  <c r="K167" i="21" s="1"/>
  <c r="K39" i="21"/>
  <c r="J35" i="21"/>
  <c r="K57" i="21"/>
  <c r="K62" i="21" s="1"/>
  <c r="J53" i="21"/>
  <c r="J177" i="21" s="1"/>
  <c r="N47" i="21"/>
  <c r="N22" i="21"/>
  <c r="K48" i="21"/>
  <c r="J44" i="21"/>
  <c r="M25" i="21"/>
  <c r="M169" i="21" s="1"/>
  <c r="M20" i="21"/>
  <c r="K30" i="21"/>
  <c r="J26" i="21"/>
  <c r="M56" i="21"/>
  <c r="M24" i="21"/>
  <c r="M168" i="21" s="1"/>
  <c r="K21" i="21"/>
  <c r="J17" i="21"/>
  <c r="M29" i="21"/>
  <c r="M47" i="21"/>
  <c r="N166" i="21" l="1"/>
  <c r="AC19" i="10"/>
  <c r="S145" i="7"/>
  <c r="R143" i="7"/>
  <c r="R144" i="7"/>
  <c r="J170" i="21"/>
  <c r="K165" i="21"/>
  <c r="K170" i="21" s="1"/>
  <c r="M164" i="21"/>
  <c r="J175" i="21"/>
  <c r="N29" i="21"/>
  <c r="O38" i="21" s="1"/>
  <c r="N34" i="21"/>
  <c r="O43" i="21" s="1"/>
  <c r="P52" i="21" s="1"/>
  <c r="Q61" i="21" s="1"/>
  <c r="O31" i="21"/>
  <c r="P40" i="21" s="1"/>
  <c r="Q49" i="21" s="1"/>
  <c r="R58" i="21" s="1"/>
  <c r="L32" i="21"/>
  <c r="M41" i="21" s="1"/>
  <c r="N50" i="21" s="1"/>
  <c r="O59" i="21" s="1"/>
  <c r="L30" i="21"/>
  <c r="K26" i="21"/>
  <c r="L48" i="21"/>
  <c r="K44" i="21"/>
  <c r="O22" i="21"/>
  <c r="O166" i="21" s="1"/>
  <c r="O56" i="21"/>
  <c r="N56" i="21"/>
  <c r="N33" i="21"/>
  <c r="O42" i="21" s="1"/>
  <c r="P51" i="21" s="1"/>
  <c r="N24" i="21"/>
  <c r="N168" i="21" s="1"/>
  <c r="N38" i="21"/>
  <c r="L23" i="21"/>
  <c r="N20" i="21"/>
  <c r="L57" i="21"/>
  <c r="L62" i="21" s="1"/>
  <c r="K53" i="21"/>
  <c r="K177" i="21" s="1"/>
  <c r="L21" i="21"/>
  <c r="K17" i="21"/>
  <c r="N25" i="21"/>
  <c r="N169" i="21" s="1"/>
  <c r="L39" i="21"/>
  <c r="K35" i="21"/>
  <c r="T145" i="7" l="1"/>
  <c r="S143" i="7"/>
  <c r="S144" i="7"/>
  <c r="AE19" i="10"/>
  <c r="L165" i="21"/>
  <c r="N164" i="21"/>
  <c r="L167" i="21"/>
  <c r="K175" i="21"/>
  <c r="P31" i="21"/>
  <c r="Q40" i="21" s="1"/>
  <c r="R49" i="21" s="1"/>
  <c r="S58" i="21" s="1"/>
  <c r="O33" i="21"/>
  <c r="P42" i="21" s="1"/>
  <c r="Q51" i="21" s="1"/>
  <c r="R60" i="21" s="1"/>
  <c r="O34" i="21"/>
  <c r="P43" i="21" s="1"/>
  <c r="Q52" i="21" s="1"/>
  <c r="R61" i="21" s="1"/>
  <c r="M32" i="21"/>
  <c r="N41" i="21" s="1"/>
  <c r="O50" i="21" s="1"/>
  <c r="P59" i="21" s="1"/>
  <c r="O20" i="21"/>
  <c r="O24" i="21"/>
  <c r="O168" i="21" s="1"/>
  <c r="P47" i="21"/>
  <c r="Q56" i="21" s="1"/>
  <c r="M57" i="21"/>
  <c r="M62" i="21" s="1"/>
  <c r="L53" i="21"/>
  <c r="L177" i="21" s="1"/>
  <c r="M23" i="21"/>
  <c r="M167" i="21" s="1"/>
  <c r="O47" i="21"/>
  <c r="M39" i="21"/>
  <c r="L35" i="21"/>
  <c r="M21" i="21"/>
  <c r="L17" i="21"/>
  <c r="P22" i="21"/>
  <c r="P166" i="21" s="1"/>
  <c r="M48" i="21"/>
  <c r="L44" i="21"/>
  <c r="O29" i="21"/>
  <c r="Q60" i="21"/>
  <c r="O25" i="21"/>
  <c r="O169" i="21" s="1"/>
  <c r="M30" i="21"/>
  <c r="L26" i="21"/>
  <c r="T144" i="7" l="1"/>
  <c r="AA20" i="10"/>
  <c r="AG19" i="10"/>
  <c r="U145" i="7"/>
  <c r="T143" i="7"/>
  <c r="L170" i="21"/>
  <c r="O164" i="21"/>
  <c r="M165" i="21"/>
  <c r="M170" i="21" s="1"/>
  <c r="L175" i="21"/>
  <c r="Q31" i="21"/>
  <c r="R40" i="21" s="1"/>
  <c r="S49" i="21" s="1"/>
  <c r="T58" i="21" s="1"/>
  <c r="N32" i="21"/>
  <c r="O41" i="21" s="1"/>
  <c r="P50" i="21" s="1"/>
  <c r="Q59" i="21" s="1"/>
  <c r="P34" i="21"/>
  <c r="Q43" i="21" s="1"/>
  <c r="R52" i="21" s="1"/>
  <c r="S61" i="21" s="1"/>
  <c r="P33" i="21"/>
  <c r="Q42" i="21" s="1"/>
  <c r="R51" i="21" s="1"/>
  <c r="S60" i="21" s="1"/>
  <c r="P38" i="21"/>
  <c r="N21" i="21"/>
  <c r="M17" i="21"/>
  <c r="N57" i="21"/>
  <c r="N62" i="21" s="1"/>
  <c r="M53" i="21"/>
  <c r="M177" i="21" s="1"/>
  <c r="P24" i="21"/>
  <c r="P168" i="21" s="1"/>
  <c r="N30" i="21"/>
  <c r="M26" i="21"/>
  <c r="J17" i="20"/>
  <c r="N23" i="21"/>
  <c r="N167" i="21" s="1"/>
  <c r="P20" i="21"/>
  <c r="P25" i="21"/>
  <c r="N48" i="21"/>
  <c r="M44" i="21"/>
  <c r="Q22" i="21"/>
  <c r="Q166" i="21" s="1"/>
  <c r="N39" i="21"/>
  <c r="M35" i="21"/>
  <c r="P56" i="21"/>
  <c r="P29" i="21"/>
  <c r="AC20" i="10" l="1"/>
  <c r="U144" i="7"/>
  <c r="V145" i="7"/>
  <c r="U143" i="7"/>
  <c r="P169" i="21"/>
  <c r="P164" i="21"/>
  <c r="N165" i="21"/>
  <c r="N170" i="21" s="1"/>
  <c r="M175" i="21"/>
  <c r="Q33" i="21"/>
  <c r="R42" i="21" s="1"/>
  <c r="S51" i="21" s="1"/>
  <c r="T60" i="21" s="1"/>
  <c r="Q34" i="21"/>
  <c r="R43" i="21" s="1"/>
  <c r="S52" i="21" s="1"/>
  <c r="T61" i="21" s="1"/>
  <c r="R31" i="21"/>
  <c r="S40" i="21" s="1"/>
  <c r="T49" i="21" s="1"/>
  <c r="U58" i="21" s="1"/>
  <c r="O32" i="21"/>
  <c r="P41" i="21" s="1"/>
  <c r="Q50" i="21" s="1"/>
  <c r="R59" i="21" s="1"/>
  <c r="Q25" i="21"/>
  <c r="Q169" i="21" s="1"/>
  <c r="Q20" i="21"/>
  <c r="Q24" i="21"/>
  <c r="O39" i="21"/>
  <c r="N35" i="21"/>
  <c r="O30" i="21"/>
  <c r="N26" i="21"/>
  <c r="R22" i="21"/>
  <c r="R166" i="21" s="1"/>
  <c r="O21" i="21"/>
  <c r="N17" i="21"/>
  <c r="O23" i="21"/>
  <c r="O48" i="21"/>
  <c r="N44" i="21"/>
  <c r="Q38" i="21"/>
  <c r="O57" i="21"/>
  <c r="O62" i="21" s="1"/>
  <c r="N53" i="21"/>
  <c r="N177" i="21" s="1"/>
  <c r="Q29" i="21"/>
  <c r="K26" i="20"/>
  <c r="Q47" i="21"/>
  <c r="K17" i="20"/>
  <c r="W145" i="7" l="1"/>
  <c r="V143" i="7"/>
  <c r="V144" i="7"/>
  <c r="AE20" i="10"/>
  <c r="O167" i="21"/>
  <c r="O165" i="21"/>
  <c r="O170" i="21" s="1"/>
  <c r="Q168" i="21"/>
  <c r="Q164" i="21"/>
  <c r="K175" i="20"/>
  <c r="N175" i="21"/>
  <c r="P32" i="21"/>
  <c r="Q41" i="21" s="1"/>
  <c r="R50" i="21" s="1"/>
  <c r="S59" i="21" s="1"/>
  <c r="R33" i="21"/>
  <c r="S42" i="21" s="1"/>
  <c r="T51" i="21" s="1"/>
  <c r="U60" i="21" s="1"/>
  <c r="S31" i="21"/>
  <c r="T40" i="21" s="1"/>
  <c r="U49" i="21" s="1"/>
  <c r="R34" i="21"/>
  <c r="S43" i="21" s="1"/>
  <c r="T52" i="21" s="1"/>
  <c r="U61" i="21" s="1"/>
  <c r="L17" i="20"/>
  <c r="L35" i="20"/>
  <c r="R24" i="21"/>
  <c r="R20" i="21"/>
  <c r="S22" i="21"/>
  <c r="R38" i="21"/>
  <c r="P57" i="21"/>
  <c r="P62" i="21" s="1"/>
  <c r="O53" i="21"/>
  <c r="O177" i="21" s="1"/>
  <c r="R47" i="21"/>
  <c r="P39" i="21"/>
  <c r="O35" i="21"/>
  <c r="P30" i="21"/>
  <c r="O26" i="21"/>
  <c r="P21" i="21"/>
  <c r="O17" i="21"/>
  <c r="R56" i="21"/>
  <c r="P23" i="21"/>
  <c r="P167" i="21" s="1"/>
  <c r="R25" i="21"/>
  <c r="L26" i="20"/>
  <c r="P48" i="21"/>
  <c r="O44" i="21"/>
  <c r="R29" i="21"/>
  <c r="S166" i="21" l="1"/>
  <c r="R168" i="21"/>
  <c r="W144" i="7"/>
  <c r="AG20" i="10"/>
  <c r="AA21" i="10"/>
  <c r="X145" i="7"/>
  <c r="W143" i="7"/>
  <c r="R164" i="21"/>
  <c r="R169" i="21"/>
  <c r="P165" i="21"/>
  <c r="P170" i="21" s="1"/>
  <c r="O175" i="21"/>
  <c r="L175" i="20"/>
  <c r="Q32" i="21"/>
  <c r="R41" i="21" s="1"/>
  <c r="S50" i="21" s="1"/>
  <c r="T59" i="21" s="1"/>
  <c r="S33" i="21"/>
  <c r="T42" i="21" s="1"/>
  <c r="U51" i="21" s="1"/>
  <c r="M44" i="20"/>
  <c r="S24" i="21"/>
  <c r="Q23" i="21"/>
  <c r="T31" i="21"/>
  <c r="S34" i="21"/>
  <c r="S169" i="21" s="1"/>
  <c r="T22" i="21"/>
  <c r="S38" i="21"/>
  <c r="S29" i="21"/>
  <c r="Q48" i="21"/>
  <c r="P44" i="21"/>
  <c r="M26" i="20"/>
  <c r="S56" i="21"/>
  <c r="Q30" i="21"/>
  <c r="P26" i="21"/>
  <c r="M17" i="20"/>
  <c r="Q39" i="21"/>
  <c r="P35" i="21"/>
  <c r="S47" i="21"/>
  <c r="M35" i="20"/>
  <c r="Q21" i="21"/>
  <c r="P17" i="21"/>
  <c r="Q57" i="21"/>
  <c r="Q62" i="21" s="1"/>
  <c r="P53" i="21"/>
  <c r="P177" i="21" s="1"/>
  <c r="M176" i="20" l="1"/>
  <c r="AC21" i="10"/>
  <c r="X143" i="7"/>
  <c r="Y145" i="7"/>
  <c r="X144" i="7"/>
  <c r="T166" i="21"/>
  <c r="S164" i="21"/>
  <c r="Q165" i="21"/>
  <c r="Q167" i="21"/>
  <c r="S168" i="21"/>
  <c r="P175" i="21"/>
  <c r="M175" i="20"/>
  <c r="R32" i="21"/>
  <c r="S41" i="21" s="1"/>
  <c r="T50" i="21" s="1"/>
  <c r="U59" i="21" s="1"/>
  <c r="N17" i="20"/>
  <c r="R57" i="21"/>
  <c r="R62" i="21" s="1"/>
  <c r="Q53" i="21"/>
  <c r="Q177" i="21" s="1"/>
  <c r="N26" i="20"/>
  <c r="U31" i="21"/>
  <c r="R23" i="21"/>
  <c r="U22" i="21"/>
  <c r="R30" i="21"/>
  <c r="Q26" i="21"/>
  <c r="N44" i="20"/>
  <c r="R48" i="21"/>
  <c r="Q44" i="21"/>
  <c r="T38" i="21"/>
  <c r="T33" i="21"/>
  <c r="T168" i="21" s="1"/>
  <c r="R21" i="21"/>
  <c r="Q17" i="21"/>
  <c r="T43" i="21"/>
  <c r="N53" i="20"/>
  <c r="T56" i="21"/>
  <c r="R39" i="21"/>
  <c r="Q35" i="21"/>
  <c r="N35" i="20"/>
  <c r="T47" i="21"/>
  <c r="U40" i="21"/>
  <c r="Y143" i="7" l="1"/>
  <c r="Y144" i="7"/>
  <c r="Z145" i="7"/>
  <c r="AE21" i="10"/>
  <c r="Q170" i="21"/>
  <c r="R165" i="21"/>
  <c r="R167" i="21"/>
  <c r="U166" i="21"/>
  <c r="Q175" i="21"/>
  <c r="N176" i="20"/>
  <c r="N175" i="20"/>
  <c r="S32" i="21"/>
  <c r="T41" i="21" s="1"/>
  <c r="U50" i="21" s="1"/>
  <c r="U42" i="21"/>
  <c r="U168" i="21" s="1"/>
  <c r="O53" i="20"/>
  <c r="O26" i="20"/>
  <c r="S23" i="21"/>
  <c r="R17" i="21"/>
  <c r="U52" i="21"/>
  <c r="U169" i="21" s="1"/>
  <c r="S39" i="21"/>
  <c r="R35" i="21"/>
  <c r="O44" i="20"/>
  <c r="S48" i="21"/>
  <c r="R44" i="21"/>
  <c r="U47" i="21"/>
  <c r="O62" i="20"/>
  <c r="O35" i="20"/>
  <c r="O17" i="20"/>
  <c r="U56" i="21"/>
  <c r="S30" i="21"/>
  <c r="R26" i="21"/>
  <c r="S57" i="21"/>
  <c r="S62" i="21" s="1"/>
  <c r="R53" i="21"/>
  <c r="R177" i="21" s="1"/>
  <c r="S165" i="21" l="1"/>
  <c r="Z144" i="7"/>
  <c r="AA145" i="7"/>
  <c r="Z143" i="7"/>
  <c r="AG21" i="10"/>
  <c r="AA22" i="10"/>
  <c r="R170" i="21"/>
  <c r="S167" i="21"/>
  <c r="S170" i="21" s="1"/>
  <c r="O177" i="20"/>
  <c r="O175" i="20"/>
  <c r="O176" i="20"/>
  <c r="R175" i="21"/>
  <c r="P17" i="20"/>
  <c r="P26" i="20"/>
  <c r="P44" i="20"/>
  <c r="T48" i="21"/>
  <c r="S44" i="21"/>
  <c r="T32" i="21"/>
  <c r="S26" i="21"/>
  <c r="T57" i="21"/>
  <c r="T62" i="21" s="1"/>
  <c r="S53" i="21"/>
  <c r="S177" i="21" s="1"/>
  <c r="P62" i="20"/>
  <c r="P35" i="20"/>
  <c r="T23" i="21"/>
  <c r="T167" i="21" s="1"/>
  <c r="S17" i="21"/>
  <c r="T39" i="21"/>
  <c r="S35" i="21"/>
  <c r="P71" i="20"/>
  <c r="P53" i="20"/>
  <c r="AA143" i="7" l="1"/>
  <c r="AC22" i="10"/>
  <c r="AA144" i="7"/>
  <c r="AB145" i="7"/>
  <c r="T164" i="21"/>
  <c r="T165" i="21"/>
  <c r="T169" i="21"/>
  <c r="P177" i="20"/>
  <c r="S175" i="21"/>
  <c r="P176" i="20"/>
  <c r="P175" i="20"/>
  <c r="U23" i="21"/>
  <c r="T17" i="21"/>
  <c r="Q44" i="20"/>
  <c r="Q17" i="20"/>
  <c r="Q53" i="20"/>
  <c r="C17" i="20"/>
  <c r="Q35" i="20"/>
  <c r="U48" i="21"/>
  <c r="T44" i="21"/>
  <c r="U41" i="21"/>
  <c r="T35" i="21"/>
  <c r="Q62" i="20"/>
  <c r="U32" i="21"/>
  <c r="T26" i="21"/>
  <c r="Q80" i="20"/>
  <c r="Q71" i="20"/>
  <c r="U57" i="21"/>
  <c r="U62" i="21" s="1"/>
  <c r="T53" i="21"/>
  <c r="T177" i="21" s="1"/>
  <c r="Q26" i="20"/>
  <c r="AB143" i="7" l="1"/>
  <c r="AE22" i="10"/>
  <c r="AC145" i="7"/>
  <c r="U167" i="21"/>
  <c r="AB144" i="7"/>
  <c r="U165" i="21"/>
  <c r="U164" i="21"/>
  <c r="C171" i="20"/>
  <c r="T170" i="21"/>
  <c r="Q176" i="20"/>
  <c r="Q177" i="20"/>
  <c r="Q175" i="20"/>
  <c r="Q178" i="20"/>
  <c r="T175" i="21"/>
  <c r="U35" i="21"/>
  <c r="U44" i="21"/>
  <c r="U26" i="21"/>
  <c r="U53" i="21"/>
  <c r="U177" i="21" s="1"/>
  <c r="D17" i="20"/>
  <c r="R35" i="20"/>
  <c r="R80" i="20"/>
  <c r="U17" i="21"/>
  <c r="R89" i="20"/>
  <c r="R71" i="20"/>
  <c r="C26" i="20"/>
  <c r="C175" i="20" s="1"/>
  <c r="R26" i="20"/>
  <c r="R53" i="20"/>
  <c r="D26" i="20"/>
  <c r="R17" i="20"/>
  <c r="R44" i="20"/>
  <c r="R62" i="20"/>
  <c r="V8" i="9" l="1" a="1"/>
  <c r="V8" i="9" s="1"/>
  <c r="AG22" i="10"/>
  <c r="AA23" i="10"/>
  <c r="AC143" i="7"/>
  <c r="AD145" i="7"/>
  <c r="AC144" i="7"/>
  <c r="U170" i="21"/>
  <c r="R176" i="20"/>
  <c r="R177" i="20"/>
  <c r="D175" i="20"/>
  <c r="R178" i="20"/>
  <c r="R175" i="20"/>
  <c r="U175" i="21"/>
  <c r="AE144" i="7"/>
  <c r="T89" i="20"/>
  <c r="S80" i="20"/>
  <c r="T80" i="20"/>
  <c r="S71" i="20"/>
  <c r="T71" i="20"/>
  <c r="S62" i="20"/>
  <c r="E17" i="20"/>
  <c r="T98" i="20"/>
  <c r="S89" i="20"/>
  <c r="T107" i="20"/>
  <c r="S98" i="20"/>
  <c r="T44" i="20"/>
  <c r="S35" i="20"/>
  <c r="T26" i="20"/>
  <c r="S17" i="20"/>
  <c r="T62" i="20"/>
  <c r="S53" i="20"/>
  <c r="T53" i="20"/>
  <c r="S44" i="20"/>
  <c r="D35" i="20"/>
  <c r="E26" i="20"/>
  <c r="T35" i="20"/>
  <c r="S26" i="20"/>
  <c r="E35" i="20"/>
  <c r="G53" i="7" l="1"/>
  <c r="AC23" i="10"/>
  <c r="E171" i="20"/>
  <c r="AD144" i="7"/>
  <c r="AD143" i="7"/>
  <c r="AE145" i="7"/>
  <c r="T177" i="20"/>
  <c r="S176" i="20"/>
  <c r="T178" i="20"/>
  <c r="S178" i="20"/>
  <c r="T176" i="20"/>
  <c r="S177" i="20"/>
  <c r="S179" i="20"/>
  <c r="T179" i="20"/>
  <c r="D176" i="20"/>
  <c r="S175" i="20"/>
  <c r="E175" i="20"/>
  <c r="F17" i="20"/>
  <c r="F44" i="20"/>
  <c r="F35" i="20"/>
  <c r="T17" i="20"/>
  <c r="E44" i="20"/>
  <c r="F26" i="20"/>
  <c r="F171" i="20" l="1"/>
  <c r="AE23" i="10"/>
  <c r="Z65" i="9"/>
  <c r="T175" i="20"/>
  <c r="F175" i="20"/>
  <c r="E176" i="20"/>
  <c r="F176" i="20"/>
  <c r="G26" i="20"/>
  <c r="G35" i="20"/>
  <c r="G17" i="20"/>
  <c r="F53" i="20"/>
  <c r="G44" i="20"/>
  <c r="G53" i="20"/>
  <c r="AG23" i="10" l="1"/>
  <c r="AA24" i="10"/>
  <c r="W94" i="9"/>
  <c r="AG17" i="9"/>
  <c r="AH17" i="9" s="1"/>
  <c r="AI17" i="9" s="1"/>
  <c r="Y94" i="9"/>
  <c r="Y111" i="9"/>
  <c r="G41" i="7"/>
  <c r="I41" i="7" s="1"/>
  <c r="J41" i="7" s="1"/>
  <c r="Y110" i="9"/>
  <c r="Y38" i="9"/>
  <c r="AG22" i="9"/>
  <c r="AH22" i="9" s="1"/>
  <c r="AI22" i="9" s="1"/>
  <c r="Y97" i="9"/>
  <c r="AG10" i="9"/>
  <c r="AH10" i="9" s="1"/>
  <c r="AI10" i="9" s="1"/>
  <c r="G43" i="7"/>
  <c r="I43" i="7" s="1"/>
  <c r="J43" i="7" s="1"/>
  <c r="W104" i="9"/>
  <c r="Y77" i="9"/>
  <c r="Y66" i="9"/>
  <c r="AG14" i="9"/>
  <c r="AH14" i="9" s="1"/>
  <c r="AI14" i="9" s="1"/>
  <c r="Y98" i="9"/>
  <c r="W68" i="9"/>
  <c r="AK9" i="9"/>
  <c r="Y68" i="9"/>
  <c r="W66" i="9"/>
  <c r="Y95" i="9"/>
  <c r="Y50" i="9"/>
  <c r="Y67" i="9"/>
  <c r="V50" i="9"/>
  <c r="AG9" i="9"/>
  <c r="AH9" i="9" s="1"/>
  <c r="AI9" i="9" s="1"/>
  <c r="AK22" i="9"/>
  <c r="AM22" i="9" s="1"/>
  <c r="AN22" i="9" s="1"/>
  <c r="AK17" i="9"/>
  <c r="AM17" i="9" s="1"/>
  <c r="AN17" i="9" s="1"/>
  <c r="AG13" i="9"/>
  <c r="AH13" i="9" s="1"/>
  <c r="AI13" i="9" s="1"/>
  <c r="Y41" i="9"/>
  <c r="AG11" i="9"/>
  <c r="AH11" i="9" s="1"/>
  <c r="AI11" i="9" s="1"/>
  <c r="Y79" i="9"/>
  <c r="AK19" i="9"/>
  <c r="AM19" i="9" s="1"/>
  <c r="AN19" i="9" s="1"/>
  <c r="Y105" i="9"/>
  <c r="Y70" i="9"/>
  <c r="Y83" i="9"/>
  <c r="AK18" i="9"/>
  <c r="AM18" i="9" s="1"/>
  <c r="AN18" i="9" s="1"/>
  <c r="Z38" i="9"/>
  <c r="V46" i="9"/>
  <c r="Y71" i="9"/>
  <c r="AG23" i="9"/>
  <c r="AH23" i="9" s="1"/>
  <c r="AI23" i="9" s="1"/>
  <c r="Y54" i="9"/>
  <c r="G49" i="7"/>
  <c r="I49" i="7" s="1"/>
  <c r="J49" i="7" s="1"/>
  <c r="Y48" i="9"/>
  <c r="AG12" i="9"/>
  <c r="AH12" i="9" s="1"/>
  <c r="AI12" i="9" s="1"/>
  <c r="Y45" i="9"/>
  <c r="AG16" i="9"/>
  <c r="AH16" i="9" s="1"/>
  <c r="AI16" i="9" s="1"/>
  <c r="W80" i="9"/>
  <c r="W70" i="9"/>
  <c r="AA44" i="9"/>
  <c r="Y46" i="9"/>
  <c r="AG27" i="9"/>
  <c r="AH27" i="9" s="1"/>
  <c r="Y96" i="9"/>
  <c r="AK25" i="9"/>
  <c r="AM25" i="9" s="1"/>
  <c r="AN25" i="9" s="1"/>
  <c r="Y76" i="9"/>
  <c r="Y51" i="9"/>
  <c r="AG15" i="9"/>
  <c r="AH15" i="9" s="1"/>
  <c r="AI15" i="9" s="1"/>
  <c r="Y107" i="9"/>
  <c r="G44" i="7"/>
  <c r="I44" i="7" s="1"/>
  <c r="J44" i="7" s="1"/>
  <c r="W102" i="9"/>
  <c r="W44" i="9"/>
  <c r="AA100" i="9"/>
  <c r="Y53" i="9"/>
  <c r="Z56" i="9"/>
  <c r="G48" i="7"/>
  <c r="I48" i="7" s="1"/>
  <c r="J48" i="7" s="1"/>
  <c r="Y104" i="9"/>
  <c r="AG18" i="9"/>
  <c r="AH18" i="9" s="1"/>
  <c r="AI18" i="9" s="1"/>
  <c r="AK16" i="9"/>
  <c r="AM16" i="9" s="1"/>
  <c r="AN16" i="9" s="1"/>
  <c r="Y44" i="9"/>
  <c r="G38" i="7"/>
  <c r="I38" i="7" s="1"/>
  <c r="J38" i="7" s="1"/>
  <c r="Y56" i="9"/>
  <c r="AG24" i="9"/>
  <c r="AH24" i="9" s="1"/>
  <c r="AI24" i="9" s="1"/>
  <c r="W46" i="9"/>
  <c r="W67" i="9"/>
  <c r="AA70" i="9"/>
  <c r="Y103" i="9"/>
  <c r="Y52" i="9"/>
  <c r="Y39" i="9"/>
  <c r="Y42" i="9"/>
  <c r="AK12" i="9"/>
  <c r="AM12" i="9" s="1"/>
  <c r="AN12" i="9" s="1"/>
  <c r="Y81" i="9"/>
  <c r="G45" i="7"/>
  <c r="I45" i="7" s="1"/>
  <c r="J45" i="7" s="1"/>
  <c r="AK23" i="9"/>
  <c r="AM23" i="9" s="1"/>
  <c r="AN23" i="9" s="1"/>
  <c r="Y72" i="9"/>
  <c r="W103" i="9"/>
  <c r="W72" i="9"/>
  <c r="AA73" i="9"/>
  <c r="AK27" i="9"/>
  <c r="AM27" i="9" s="1"/>
  <c r="AN27" i="9" s="1"/>
  <c r="Y49" i="9"/>
  <c r="AK20" i="9"/>
  <c r="AM20" i="9" s="1"/>
  <c r="AN20" i="9" s="1"/>
  <c r="AK14" i="9"/>
  <c r="AM14" i="9" s="1"/>
  <c r="AN14" i="9" s="1"/>
  <c r="Y73" i="9"/>
  <c r="G47" i="7"/>
  <c r="I47" i="7" s="1"/>
  <c r="J47" i="7" s="1"/>
  <c r="Y106" i="9"/>
  <c r="AG20" i="9"/>
  <c r="AH20" i="9" s="1"/>
  <c r="AI20" i="9" s="1"/>
  <c r="AK15" i="9"/>
  <c r="AM15" i="9" s="1"/>
  <c r="AN15" i="9" s="1"/>
  <c r="I53" i="7"/>
  <c r="J53" i="7" s="1"/>
  <c r="W42" i="9"/>
  <c r="AA75" i="9"/>
  <c r="AK26" i="9"/>
  <c r="AM26" i="9" s="1"/>
  <c r="AN26" i="9" s="1"/>
  <c r="Y78" i="9"/>
  <c r="AG19" i="9"/>
  <c r="AH19" i="9" s="1"/>
  <c r="AI19" i="9" s="1"/>
  <c r="Y74" i="9"/>
  <c r="G51" i="7"/>
  <c r="I51" i="7" s="1"/>
  <c r="J51" i="7" s="1"/>
  <c r="AK10" i="9"/>
  <c r="AM10" i="9" s="1"/>
  <c r="AN10" i="9" s="1"/>
  <c r="W110" i="9"/>
  <c r="W40" i="9"/>
  <c r="Z66" i="9"/>
  <c r="W71" i="9"/>
  <c r="W47" i="9"/>
  <c r="W101" i="9"/>
  <c r="Z42" i="9"/>
  <c r="V101" i="9"/>
  <c r="AA49" i="9"/>
  <c r="Z54" i="9"/>
  <c r="Y101" i="9"/>
  <c r="AK24" i="9"/>
  <c r="AM24" i="9" s="1"/>
  <c r="AN24" i="9" s="1"/>
  <c r="AK11" i="9"/>
  <c r="AM11" i="9" s="1"/>
  <c r="AN11" i="9" s="1"/>
  <c r="W83" i="9"/>
  <c r="W43" i="9"/>
  <c r="W73" i="9"/>
  <c r="W81" i="9"/>
  <c r="W99" i="9"/>
  <c r="W75" i="9"/>
  <c r="Z83" i="9"/>
  <c r="AA110" i="9"/>
  <c r="V95" i="9"/>
  <c r="X100" i="9"/>
  <c r="G52" i="7"/>
  <c r="I52" i="7" s="1"/>
  <c r="J52" i="7" s="1"/>
  <c r="Y55" i="9"/>
  <c r="G39" i="7"/>
  <c r="I39" i="7" s="1"/>
  <c r="J39" i="7" s="1"/>
  <c r="Y109" i="9"/>
  <c r="Y80" i="9"/>
  <c r="G40" i="7"/>
  <c r="I40" i="7" s="1"/>
  <c r="J40" i="7" s="1"/>
  <c r="W77" i="9"/>
  <c r="G50" i="7"/>
  <c r="I50" i="7" s="1"/>
  <c r="J50" i="7" s="1"/>
  <c r="W97" i="9"/>
  <c r="W98" i="9"/>
  <c r="W107" i="9"/>
  <c r="V67" i="9"/>
  <c r="V55" i="9"/>
  <c r="AA41" i="9"/>
  <c r="AA98" i="9"/>
  <c r="X80" i="9"/>
  <c r="Y47" i="9"/>
  <c r="G46" i="7"/>
  <c r="I46" i="7" s="1"/>
  <c r="J46" i="7" s="1"/>
  <c r="Y100" i="9"/>
  <c r="W38" i="9"/>
  <c r="Y69" i="9"/>
  <c r="Y82" i="9"/>
  <c r="G42" i="7"/>
  <c r="I42" i="7" s="1"/>
  <c r="J42" i="7" s="1"/>
  <c r="W56" i="9"/>
  <c r="W54" i="9"/>
  <c r="W105" i="9"/>
  <c r="W106" i="9"/>
  <c r="W53" i="9"/>
  <c r="AA102" i="9"/>
  <c r="AA38" i="9"/>
  <c r="Z80" i="9"/>
  <c r="Z52" i="9"/>
  <c r="X111" i="9"/>
  <c r="Y99" i="9"/>
  <c r="AK21" i="9"/>
  <c r="AM21" i="9" s="1"/>
  <c r="AN21" i="9" s="1"/>
  <c r="Y108" i="9"/>
  <c r="AK13" i="9"/>
  <c r="AM13" i="9" s="1"/>
  <c r="AN13" i="9" s="1"/>
  <c r="AG21" i="9"/>
  <c r="AH21" i="9" s="1"/>
  <c r="AI21" i="9" s="1"/>
  <c r="Y102" i="9"/>
  <c r="V66" i="9"/>
  <c r="V94" i="9"/>
  <c r="W96" i="9"/>
  <c r="W79" i="9"/>
  <c r="W39" i="9"/>
  <c r="W100" i="9"/>
  <c r="Z81" i="9"/>
  <c r="AA74" i="9"/>
  <c r="AA68" i="9"/>
  <c r="Z105" i="9"/>
  <c r="AA108" i="9"/>
  <c r="Y75" i="9"/>
  <c r="AG25" i="9"/>
  <c r="AH25" i="9" s="1"/>
  <c r="AI25" i="9" s="1"/>
  <c r="G37" i="7"/>
  <c r="I37" i="7" s="1"/>
  <c r="J37" i="7" s="1"/>
  <c r="Y43" i="9"/>
  <c r="AG26" i="9"/>
  <c r="AH26" i="9" s="1"/>
  <c r="AI26" i="9" s="1"/>
  <c r="Y40" i="9"/>
  <c r="W82" i="9"/>
  <c r="W95" i="9"/>
  <c r="W49" i="9"/>
  <c r="AA94" i="9"/>
  <c r="AA66" i="9"/>
  <c r="V38" i="9"/>
  <c r="X94" i="9"/>
  <c r="Z101" i="9"/>
  <c r="Z44" i="9"/>
  <c r="Z51" i="9"/>
  <c r="W108" i="9"/>
  <c r="W109" i="9"/>
  <c r="AA39" i="9"/>
  <c r="AA82" i="9"/>
  <c r="V100" i="9"/>
  <c r="AA67" i="9"/>
  <c r="Z55" i="9"/>
  <c r="V109" i="9"/>
  <c r="AA51" i="9"/>
  <c r="V98" i="9"/>
  <c r="Z108" i="9"/>
  <c r="Z49" i="9"/>
  <c r="AA69" i="9"/>
  <c r="V96" i="9"/>
  <c r="AA71" i="9"/>
  <c r="AA42" i="9"/>
  <c r="X70" i="9"/>
  <c r="X44" i="9"/>
  <c r="V47" i="9"/>
  <c r="AA103" i="9"/>
  <c r="Z109" i="9"/>
  <c r="V108" i="9"/>
  <c r="AA48" i="9"/>
  <c r="Z45" i="9"/>
  <c r="V72" i="9"/>
  <c r="AA43" i="9"/>
  <c r="V106" i="9"/>
  <c r="V102" i="9"/>
  <c r="Z40" i="9"/>
  <c r="AA81" i="9"/>
  <c r="V39" i="9"/>
  <c r="V80" i="9"/>
  <c r="X45" i="9"/>
  <c r="X98" i="9"/>
  <c r="Z93" i="9"/>
  <c r="W52" i="9"/>
  <c r="W48" i="9"/>
  <c r="W50" i="9"/>
  <c r="W69" i="9"/>
  <c r="V99" i="9"/>
  <c r="AA53" i="9"/>
  <c r="Z100" i="9"/>
  <c r="V83" i="9"/>
  <c r="AA99" i="9"/>
  <c r="Z73" i="9"/>
  <c r="V77" i="9"/>
  <c r="Z94" i="9"/>
  <c r="V41" i="9"/>
  <c r="V110" i="9"/>
  <c r="Z43" i="9"/>
  <c r="AA95" i="9"/>
  <c r="V68" i="9"/>
  <c r="V76" i="9"/>
  <c r="X99" i="9"/>
  <c r="X71" i="9"/>
  <c r="Z37" i="9"/>
  <c r="W111" i="9"/>
  <c r="W51" i="9"/>
  <c r="W76" i="9"/>
  <c r="W41" i="9"/>
  <c r="W45" i="9"/>
  <c r="V107" i="9"/>
  <c r="AA54" i="9"/>
  <c r="Z39" i="9"/>
  <c r="V69" i="9"/>
  <c r="AA50" i="9"/>
  <c r="V78" i="9"/>
  <c r="V71" i="9"/>
  <c r="Z102" i="9"/>
  <c r="X66" i="9"/>
  <c r="V40" i="9"/>
  <c r="AA40" i="9"/>
  <c r="Z95" i="9"/>
  <c r="V51" i="9"/>
  <c r="V70" i="9"/>
  <c r="X72" i="9"/>
  <c r="X67" i="9"/>
  <c r="Y93" i="9"/>
  <c r="W78" i="9"/>
  <c r="V75" i="9"/>
  <c r="AA76" i="9"/>
  <c r="Z97" i="9"/>
  <c r="V52" i="9"/>
  <c r="Z70" i="9"/>
  <c r="Z72" i="9"/>
  <c r="AA106" i="9"/>
  <c r="Z74" i="9"/>
  <c r="AA47" i="9"/>
  <c r="V44" i="9"/>
  <c r="V73" i="9"/>
  <c r="Z68" i="9"/>
  <c r="AA79" i="9"/>
  <c r="X38" i="9"/>
  <c r="X55" i="9"/>
  <c r="X41" i="9"/>
  <c r="X37" i="9"/>
  <c r="W55" i="9"/>
  <c r="W74" i="9"/>
  <c r="AA97" i="9"/>
  <c r="V43" i="9"/>
  <c r="Z53" i="9"/>
  <c r="V45" i="9"/>
  <c r="AA111" i="9"/>
  <c r="Z110" i="9"/>
  <c r="V74" i="9"/>
  <c r="AA80" i="9"/>
  <c r="Z107" i="9"/>
  <c r="AA77" i="9"/>
  <c r="AA96" i="9"/>
  <c r="V42" i="9"/>
  <c r="Z41" i="9"/>
  <c r="Z106" i="9"/>
  <c r="Z98" i="9"/>
  <c r="X52" i="9"/>
  <c r="X49" i="9"/>
  <c r="V79" i="9"/>
  <c r="Z103" i="9"/>
  <c r="V103" i="9"/>
  <c r="AA46" i="9"/>
  <c r="AA55" i="9"/>
  <c r="Z96" i="9"/>
  <c r="Z77" i="9"/>
  <c r="AA56" i="9"/>
  <c r="Z79" i="9"/>
  <c r="X107" i="9"/>
  <c r="X108" i="9"/>
  <c r="X74" i="9"/>
  <c r="X46" i="9"/>
  <c r="X78" i="9"/>
  <c r="X81" i="9"/>
  <c r="AA37" i="9"/>
  <c r="AA65" i="9"/>
  <c r="Z82" i="9"/>
  <c r="V111" i="9"/>
  <c r="Z76" i="9"/>
  <c r="AA104" i="9"/>
  <c r="Z46" i="9"/>
  <c r="V53" i="9"/>
  <c r="AA105" i="9"/>
  <c r="Z69" i="9"/>
  <c r="X75" i="9"/>
  <c r="X83" i="9"/>
  <c r="X101" i="9"/>
  <c r="X82" i="9"/>
  <c r="X47" i="9"/>
  <c r="X73" i="9"/>
  <c r="X97" i="9"/>
  <c r="X65" i="9"/>
  <c r="X93" i="9"/>
  <c r="V54" i="9"/>
  <c r="AA109" i="9"/>
  <c r="V49" i="9"/>
  <c r="Z104" i="9"/>
  <c r="V81" i="9"/>
  <c r="AA107" i="9"/>
  <c r="Z71" i="9"/>
  <c r="V97" i="9"/>
  <c r="AA101" i="9"/>
  <c r="Z75" i="9"/>
  <c r="X50" i="9"/>
  <c r="X69" i="9"/>
  <c r="X109" i="9"/>
  <c r="X102" i="9"/>
  <c r="X79" i="9"/>
  <c r="X96" i="9"/>
  <c r="X105" i="9"/>
  <c r="AA93" i="9"/>
  <c r="Y37" i="9"/>
  <c r="Z111" i="9"/>
  <c r="V82" i="9"/>
  <c r="AA52" i="9"/>
  <c r="AA83" i="9"/>
  <c r="Z50" i="9"/>
  <c r="V105" i="9"/>
  <c r="AA78" i="9"/>
  <c r="Z67" i="9"/>
  <c r="X106" i="9"/>
  <c r="X42" i="9"/>
  <c r="X51" i="9"/>
  <c r="X110" i="9"/>
  <c r="X54" i="9"/>
  <c r="X104" i="9"/>
  <c r="X48" i="9"/>
  <c r="Y65" i="9"/>
  <c r="W93" i="9"/>
  <c r="Z78" i="9"/>
  <c r="V56" i="9"/>
  <c r="V104" i="9"/>
  <c r="AA45" i="9"/>
  <c r="Z47" i="9"/>
  <c r="V48" i="9"/>
  <c r="AA72" i="9"/>
  <c r="Z99" i="9"/>
  <c r="X43" i="9"/>
  <c r="Z48" i="9"/>
  <c r="X77" i="9"/>
  <c r="X40" i="9"/>
  <c r="X95" i="9"/>
  <c r="X39" i="9"/>
  <c r="X76" i="9"/>
  <c r="W37" i="9"/>
  <c r="AK8" i="9"/>
  <c r="AM8" i="9" s="1"/>
  <c r="AN8" i="9" s="1"/>
  <c r="G171" i="20"/>
  <c r="X53" i="9"/>
  <c r="X56" i="9"/>
  <c r="X103" i="9"/>
  <c r="X68" i="9"/>
  <c r="W65" i="9"/>
  <c r="G175" i="20"/>
  <c r="F177" i="20"/>
  <c r="G176" i="20"/>
  <c r="AM9" i="9"/>
  <c r="AN9" i="9" s="1"/>
  <c r="G62" i="20"/>
  <c r="H62" i="20"/>
  <c r="H53" i="20"/>
  <c r="H17" i="20"/>
  <c r="I17" i="20"/>
  <c r="H35" i="20"/>
  <c r="H44" i="20"/>
  <c r="H26" i="20"/>
  <c r="AK40" i="9" l="1"/>
  <c r="AM40" i="9" s="1"/>
  <c r="AN40" i="9" s="1"/>
  <c r="AG68" i="9"/>
  <c r="AH68" i="9" s="1"/>
  <c r="AI68" i="9" s="1"/>
  <c r="AC24" i="10"/>
  <c r="V93" i="9"/>
  <c r="AG8" i="9"/>
  <c r="AH8" i="9" s="1"/>
  <c r="AI8" i="9" s="1"/>
  <c r="G36" i="7"/>
  <c r="I36" i="7" s="1"/>
  <c r="J36" i="7" s="1"/>
  <c r="V37" i="9"/>
  <c r="AG37" i="9" s="1"/>
  <c r="AH37" i="9" s="1"/>
  <c r="AI37" i="9" s="1"/>
  <c r="AK54" i="9"/>
  <c r="AM54" i="9" s="1"/>
  <c r="AN54" i="9" s="1"/>
  <c r="V65" i="9"/>
  <c r="AG65" i="9" s="1"/>
  <c r="AH65" i="9" s="1"/>
  <c r="AI65" i="9" s="1"/>
  <c r="AG70" i="9"/>
  <c r="AH70" i="9" s="1"/>
  <c r="AI70" i="9" s="1"/>
  <c r="AK79" i="9"/>
  <c r="AM79" i="9" s="1"/>
  <c r="AN79" i="9" s="1"/>
  <c r="AK101" i="9"/>
  <c r="AM101" i="9" s="1"/>
  <c r="AN101" i="9" s="1"/>
  <c r="AK80" i="9"/>
  <c r="AM80" i="9" s="1"/>
  <c r="AN80" i="9" s="1"/>
  <c r="AK73" i="9"/>
  <c r="AM73" i="9" s="1"/>
  <c r="AN73" i="9" s="1"/>
  <c r="AK38" i="9"/>
  <c r="AM38" i="9" s="1"/>
  <c r="AN38" i="9" s="1"/>
  <c r="AK43" i="9"/>
  <c r="AM43" i="9" s="1"/>
  <c r="AN43" i="9" s="1"/>
  <c r="AK105" i="9"/>
  <c r="AM105" i="9" s="1"/>
  <c r="AN105" i="9" s="1"/>
  <c r="AK66" i="9"/>
  <c r="AM66" i="9" s="1"/>
  <c r="AN66" i="9" s="1"/>
  <c r="AK94" i="9"/>
  <c r="AM94" i="9" s="1"/>
  <c r="AN94" i="9" s="1"/>
  <c r="AG102" i="9"/>
  <c r="AH102" i="9" s="1"/>
  <c r="AI102" i="9" s="1"/>
  <c r="AK53" i="9"/>
  <c r="AM53" i="9" s="1"/>
  <c r="AN53" i="9" s="1"/>
  <c r="AK68" i="9"/>
  <c r="AM68" i="9" s="1"/>
  <c r="AN68" i="9" s="1"/>
  <c r="AG76" i="9"/>
  <c r="AH76" i="9" s="1"/>
  <c r="AI76" i="9" s="1"/>
  <c r="AG73" i="9"/>
  <c r="AH73" i="9" s="1"/>
  <c r="AI73" i="9" s="1"/>
  <c r="AG56" i="9"/>
  <c r="AH56" i="9" s="1"/>
  <c r="AG54" i="9"/>
  <c r="AH54" i="9" s="1"/>
  <c r="AI54" i="9" s="1"/>
  <c r="AG43" i="9"/>
  <c r="AH43" i="9" s="1"/>
  <c r="AI43" i="9" s="1"/>
  <c r="AG38" i="9"/>
  <c r="AH38" i="9" s="1"/>
  <c r="AI38" i="9" s="1"/>
  <c r="AK83" i="9"/>
  <c r="AM83" i="9" s="1"/>
  <c r="AN83" i="9" s="1"/>
  <c r="AG46" i="9"/>
  <c r="AH46" i="9" s="1"/>
  <c r="AI46" i="9" s="1"/>
  <c r="AK52" i="9"/>
  <c r="AM52" i="9" s="1"/>
  <c r="AN52" i="9" s="1"/>
  <c r="AK103" i="9"/>
  <c r="AM103" i="9" s="1"/>
  <c r="AN103" i="9" s="1"/>
  <c r="AK95" i="9"/>
  <c r="AM95" i="9" s="1"/>
  <c r="AN95" i="9" s="1"/>
  <c r="AG108" i="9"/>
  <c r="AH108" i="9" s="1"/>
  <c r="AI108" i="9" s="1"/>
  <c r="AK96" i="9"/>
  <c r="AM96" i="9" s="1"/>
  <c r="AN96" i="9" s="1"/>
  <c r="AG99" i="9"/>
  <c r="AH99" i="9" s="1"/>
  <c r="AI99" i="9" s="1"/>
  <c r="AK98" i="9"/>
  <c r="AM98" i="9" s="1"/>
  <c r="AN98" i="9" s="1"/>
  <c r="AG81" i="9"/>
  <c r="AH81" i="9" s="1"/>
  <c r="AI81" i="9" s="1"/>
  <c r="AG44" i="9"/>
  <c r="AH44" i="9" s="1"/>
  <c r="AI44" i="9" s="1"/>
  <c r="AK70" i="9"/>
  <c r="AM70" i="9" s="1"/>
  <c r="AN70" i="9" s="1"/>
  <c r="AG101" i="9"/>
  <c r="AH101" i="9" s="1"/>
  <c r="AI101" i="9" s="1"/>
  <c r="AG51" i="9"/>
  <c r="AH51" i="9" s="1"/>
  <c r="AI51" i="9" s="1"/>
  <c r="AK56" i="9"/>
  <c r="AM56" i="9" s="1"/>
  <c r="AN56" i="9" s="1"/>
  <c r="AK76" i="9"/>
  <c r="AM76" i="9" s="1"/>
  <c r="AN76" i="9" s="1"/>
  <c r="AG72" i="9"/>
  <c r="AH72" i="9" s="1"/>
  <c r="AI72" i="9" s="1"/>
  <c r="AG98" i="9"/>
  <c r="AH98" i="9" s="1"/>
  <c r="AI98" i="9" s="1"/>
  <c r="AG52" i="9"/>
  <c r="AH52" i="9" s="1"/>
  <c r="AI52" i="9" s="1"/>
  <c r="AK81" i="9"/>
  <c r="AM81" i="9" s="1"/>
  <c r="AN81" i="9" s="1"/>
  <c r="AK44" i="9"/>
  <c r="AM44" i="9" s="1"/>
  <c r="AN44" i="9" s="1"/>
  <c r="AK67" i="9"/>
  <c r="AM67" i="9" s="1"/>
  <c r="AN67" i="9" s="1"/>
  <c r="AG95" i="9"/>
  <c r="AH95" i="9" s="1"/>
  <c r="AI95" i="9" s="1"/>
  <c r="AG96" i="9"/>
  <c r="AH96" i="9" s="1"/>
  <c r="AI96" i="9" s="1"/>
  <c r="AK97" i="9"/>
  <c r="AM97" i="9" s="1"/>
  <c r="AN97" i="9" s="1"/>
  <c r="AG74" i="9"/>
  <c r="AH74" i="9" s="1"/>
  <c r="AI74" i="9" s="1"/>
  <c r="AK47" i="9"/>
  <c r="AM47" i="9" s="1"/>
  <c r="AN47" i="9" s="1"/>
  <c r="AG75" i="9"/>
  <c r="AH75" i="9" s="1"/>
  <c r="AI75" i="9" s="1"/>
  <c r="AK111" i="9"/>
  <c r="AM111" i="9" s="1"/>
  <c r="AN111" i="9" s="1"/>
  <c r="AK110" i="9"/>
  <c r="AM110" i="9" s="1"/>
  <c r="AN110" i="9" s="1"/>
  <c r="AK69" i="9"/>
  <c r="AM69" i="9" s="1"/>
  <c r="AN69" i="9" s="1"/>
  <c r="AG40" i="9"/>
  <c r="AH40" i="9" s="1"/>
  <c r="AI40" i="9" s="1"/>
  <c r="AK41" i="9"/>
  <c r="AM41" i="9" s="1"/>
  <c r="AN41" i="9" s="1"/>
  <c r="AK99" i="9"/>
  <c r="AM99" i="9" s="1"/>
  <c r="AN99" i="9" s="1"/>
  <c r="AG80" i="9"/>
  <c r="AH80" i="9" s="1"/>
  <c r="AI80" i="9" s="1"/>
  <c r="AK109" i="9"/>
  <c r="AM109" i="9" s="1"/>
  <c r="AN109" i="9" s="1"/>
  <c r="AK108" i="9"/>
  <c r="AM108" i="9" s="1"/>
  <c r="AN108" i="9" s="1"/>
  <c r="AG79" i="9"/>
  <c r="AH79" i="9" s="1"/>
  <c r="AI79" i="9" s="1"/>
  <c r="AK106" i="9"/>
  <c r="AM106" i="9" s="1"/>
  <c r="AN106" i="9" s="1"/>
  <c r="AK100" i="9"/>
  <c r="AM100" i="9" s="1"/>
  <c r="AN100" i="9" s="1"/>
  <c r="AK42" i="9"/>
  <c r="AM42" i="9" s="1"/>
  <c r="AN42" i="9" s="1"/>
  <c r="AK45" i="9"/>
  <c r="AM45" i="9" s="1"/>
  <c r="AN45" i="9" s="1"/>
  <c r="AK55" i="9"/>
  <c r="AM55" i="9" s="1"/>
  <c r="AN55" i="9" s="1"/>
  <c r="AG107" i="9"/>
  <c r="AH107" i="9" s="1"/>
  <c r="AI107" i="9" s="1"/>
  <c r="AG71" i="9"/>
  <c r="AH71" i="9" s="1"/>
  <c r="AI71" i="9" s="1"/>
  <c r="AG69" i="9"/>
  <c r="AH69" i="9" s="1"/>
  <c r="AI69" i="9" s="1"/>
  <c r="AG109" i="9"/>
  <c r="AH109" i="9" s="1"/>
  <c r="AI109" i="9" s="1"/>
  <c r="AG47" i="9"/>
  <c r="AH47" i="9" s="1"/>
  <c r="AI47" i="9" s="1"/>
  <c r="AK51" i="9"/>
  <c r="AM51" i="9" s="1"/>
  <c r="AN51" i="9" s="1"/>
  <c r="AG100" i="9"/>
  <c r="AH100" i="9" s="1"/>
  <c r="AI100" i="9" s="1"/>
  <c r="AG111" i="9"/>
  <c r="AH111" i="9" s="1"/>
  <c r="AK74" i="9"/>
  <c r="AM74" i="9" s="1"/>
  <c r="AN74" i="9" s="1"/>
  <c r="AG110" i="9"/>
  <c r="AH110" i="9" s="1"/>
  <c r="AI110" i="9" s="1"/>
  <c r="AG41" i="9"/>
  <c r="AH41" i="9" s="1"/>
  <c r="AI41" i="9" s="1"/>
  <c r="AG106" i="9"/>
  <c r="AH106" i="9" s="1"/>
  <c r="AI106" i="9" s="1"/>
  <c r="AG83" i="9"/>
  <c r="AH83" i="9" s="1"/>
  <c r="AK75" i="9"/>
  <c r="AM75" i="9" s="1"/>
  <c r="AN75" i="9" s="1"/>
  <c r="AG50" i="9"/>
  <c r="AH50" i="9" s="1"/>
  <c r="AI50" i="9" s="1"/>
  <c r="AG49" i="9"/>
  <c r="AH49" i="9" s="1"/>
  <c r="AI49" i="9" s="1"/>
  <c r="AG104" i="9"/>
  <c r="AH104" i="9" s="1"/>
  <c r="AI104" i="9" s="1"/>
  <c r="AG77" i="9"/>
  <c r="AH77" i="9" s="1"/>
  <c r="AI77" i="9" s="1"/>
  <c r="AK46" i="9"/>
  <c r="AM46" i="9" s="1"/>
  <c r="AN46" i="9" s="1"/>
  <c r="AK72" i="9"/>
  <c r="AM72" i="9" s="1"/>
  <c r="AN72" i="9" s="1"/>
  <c r="AK71" i="9"/>
  <c r="AM71" i="9" s="1"/>
  <c r="AN71" i="9" s="1"/>
  <c r="AK102" i="9"/>
  <c r="AM102" i="9" s="1"/>
  <c r="AN102" i="9" s="1"/>
  <c r="AG94" i="9"/>
  <c r="AH94" i="9" s="1"/>
  <c r="AI94" i="9" s="1"/>
  <c r="AG42" i="9"/>
  <c r="AH42" i="9" s="1"/>
  <c r="AI42" i="9" s="1"/>
  <c r="AG67" i="9"/>
  <c r="AH67" i="9" s="1"/>
  <c r="AI67" i="9" s="1"/>
  <c r="AG55" i="9"/>
  <c r="AH55" i="9" s="1"/>
  <c r="AG39" i="9"/>
  <c r="AH39" i="9" s="1"/>
  <c r="AI39" i="9" s="1"/>
  <c r="AG48" i="9"/>
  <c r="AH48" i="9" s="1"/>
  <c r="AI48" i="9" s="1"/>
  <c r="AG66" i="9"/>
  <c r="AH66" i="9" s="1"/>
  <c r="AI66" i="9" s="1"/>
  <c r="AG105" i="9"/>
  <c r="AH105" i="9" s="1"/>
  <c r="AI105" i="9" s="1"/>
  <c r="AG103" i="9"/>
  <c r="AH103" i="9" s="1"/>
  <c r="AI103" i="9" s="1"/>
  <c r="AK107" i="9"/>
  <c r="AM107" i="9" s="1"/>
  <c r="AN107" i="9" s="1"/>
  <c r="AG45" i="9"/>
  <c r="AH45" i="9" s="1"/>
  <c r="AI45" i="9" s="1"/>
  <c r="AG97" i="9"/>
  <c r="AH97" i="9" s="1"/>
  <c r="AI97" i="9" s="1"/>
  <c r="AK104" i="9"/>
  <c r="AM104" i="9" s="1"/>
  <c r="AN104" i="9" s="1"/>
  <c r="AG78" i="9"/>
  <c r="AH78" i="9" s="1"/>
  <c r="AI78" i="9" s="1"/>
  <c r="AK78" i="9"/>
  <c r="AM78" i="9" s="1"/>
  <c r="AN78" i="9" s="1"/>
  <c r="AG53" i="9"/>
  <c r="AH53" i="9" s="1"/>
  <c r="AI53" i="9" s="1"/>
  <c r="AK39" i="9"/>
  <c r="AM39" i="9" s="1"/>
  <c r="AN39" i="9" s="1"/>
  <c r="AK49" i="9"/>
  <c r="AM49" i="9" s="1"/>
  <c r="AN49" i="9" s="1"/>
  <c r="AK50" i="9"/>
  <c r="AM50" i="9" s="1"/>
  <c r="AN50" i="9" s="1"/>
  <c r="AK77" i="9"/>
  <c r="AM77" i="9" s="1"/>
  <c r="AN77" i="9" s="1"/>
  <c r="AK48" i="9"/>
  <c r="AM48" i="9" s="1"/>
  <c r="AN48" i="9" s="1"/>
  <c r="AG82" i="9"/>
  <c r="AH82" i="9" s="1"/>
  <c r="AI82" i="9" s="1"/>
  <c r="AK82" i="9"/>
  <c r="AM82" i="9" s="1"/>
  <c r="AN82" i="9" s="1"/>
  <c r="H171" i="20"/>
  <c r="AG93" i="9"/>
  <c r="AH93" i="9" s="1"/>
  <c r="AI93" i="9" s="1"/>
  <c r="AK93" i="9"/>
  <c r="AM93" i="9" s="1"/>
  <c r="AN93" i="9" s="1"/>
  <c r="H176" i="20"/>
  <c r="H177" i="20"/>
  <c r="H175" i="20"/>
  <c r="G177" i="20"/>
  <c r="I53" i="20"/>
  <c r="I26" i="20"/>
  <c r="I175" i="20" s="1"/>
  <c r="I35" i="20"/>
  <c r="I71" i="20"/>
  <c r="I44" i="20"/>
  <c r="I62" i="20"/>
  <c r="J26" i="20"/>
  <c r="H71" i="20"/>
  <c r="AK37" i="9" l="1"/>
  <c r="AM37" i="9" s="1"/>
  <c r="AN37" i="9" s="1"/>
  <c r="AK65" i="9"/>
  <c r="AM65" i="9" s="1"/>
  <c r="AN65" i="9" s="1"/>
  <c r="AE24" i="10"/>
  <c r="I171" i="20"/>
  <c r="I176" i="20"/>
  <c r="J175" i="20"/>
  <c r="H178" i="20"/>
  <c r="I177" i="20"/>
  <c r="J53" i="20"/>
  <c r="I80" i="20"/>
  <c r="J62" i="20"/>
  <c r="J44" i="20"/>
  <c r="K35" i="20"/>
  <c r="J71" i="20"/>
  <c r="J80" i="20"/>
  <c r="J35" i="20"/>
  <c r="J171" i="20" l="1"/>
  <c r="AG24" i="10"/>
  <c r="AA25" i="10"/>
  <c r="J178" i="20"/>
  <c r="J177" i="20"/>
  <c r="J176" i="20"/>
  <c r="I178" i="20"/>
  <c r="K71" i="20"/>
  <c r="K44" i="20"/>
  <c r="K176" i="20" s="1"/>
  <c r="J89" i="20"/>
  <c r="K89" i="20"/>
  <c r="L44" i="20"/>
  <c r="K80" i="20"/>
  <c r="K53" i="20"/>
  <c r="K62" i="20"/>
  <c r="AC25" i="10" l="1"/>
  <c r="K171" i="20"/>
  <c r="L176" i="20"/>
  <c r="K178" i="20"/>
  <c r="K177" i="20"/>
  <c r="J179" i="20"/>
  <c r="L62" i="20"/>
  <c r="L71" i="20"/>
  <c r="M53" i="20"/>
  <c r="L89" i="20"/>
  <c r="L98" i="20"/>
  <c r="L53" i="20"/>
  <c r="K98" i="20"/>
  <c r="L80" i="20"/>
  <c r="AE25" i="10" l="1"/>
  <c r="L179" i="20"/>
  <c r="L178" i="20"/>
  <c r="L177" i="20"/>
  <c r="K179" i="20"/>
  <c r="M80" i="20"/>
  <c r="M98" i="20"/>
  <c r="M62" i="20"/>
  <c r="M177" i="20" s="1"/>
  <c r="M71" i="20"/>
  <c r="M107" i="20"/>
  <c r="L107" i="20"/>
  <c r="L171" i="20" s="1"/>
  <c r="M89" i="20"/>
  <c r="N62" i="20"/>
  <c r="AG25" i="10" l="1"/>
  <c r="AA26" i="10"/>
  <c r="M179" i="20"/>
  <c r="N177" i="20"/>
  <c r="L180" i="20"/>
  <c r="M178" i="20"/>
  <c r="N98" i="20"/>
  <c r="N80" i="20"/>
  <c r="N107" i="20"/>
  <c r="M116" i="20"/>
  <c r="M171" i="20" s="1"/>
  <c r="O71" i="20"/>
  <c r="N71" i="20"/>
  <c r="N116" i="20"/>
  <c r="N89" i="20"/>
  <c r="N171" i="20" l="1"/>
  <c r="AC26" i="10"/>
  <c r="N178" i="20"/>
  <c r="N180" i="20"/>
  <c r="N179" i="20"/>
  <c r="M180" i="20"/>
  <c r="P80" i="20"/>
  <c r="O89" i="20"/>
  <c r="O98" i="20"/>
  <c r="O116" i="20"/>
  <c r="N125" i="20"/>
  <c r="O80" i="20"/>
  <c r="O178" i="20" s="1"/>
  <c r="O125" i="20"/>
  <c r="O107" i="20"/>
  <c r="AE26" i="10" l="1"/>
  <c r="P178" i="20"/>
  <c r="O180" i="20"/>
  <c r="O179" i="20"/>
  <c r="N181" i="20"/>
  <c r="P89" i="20"/>
  <c r="P107" i="20"/>
  <c r="P134" i="20"/>
  <c r="P98" i="20"/>
  <c r="O134" i="20"/>
  <c r="O171" i="20" s="1"/>
  <c r="P116" i="20"/>
  <c r="P125" i="20"/>
  <c r="Q89" i="20"/>
  <c r="P171" i="20" l="1"/>
  <c r="AG26" i="10"/>
  <c r="AA27" i="10"/>
  <c r="AC27" i="10" s="1"/>
  <c r="AE27" i="10" s="1"/>
  <c r="AG27" i="10" s="1"/>
  <c r="P180" i="20"/>
  <c r="P181" i="20"/>
  <c r="P179" i="20"/>
  <c r="O181" i="20"/>
  <c r="R98" i="20"/>
  <c r="Q107" i="20"/>
  <c r="Q98" i="20"/>
  <c r="Q179" i="20" s="1"/>
  <c r="Q134" i="20"/>
  <c r="Q116" i="20"/>
  <c r="Q143" i="20"/>
  <c r="Q125" i="20"/>
  <c r="P143" i="20"/>
  <c r="R171" i="20" l="1"/>
  <c r="Q181" i="20"/>
  <c r="Q180" i="20"/>
  <c r="R179" i="20"/>
  <c r="P182" i="20"/>
  <c r="R161" i="20"/>
  <c r="R183" i="20" s="1"/>
  <c r="Q152" i="20"/>
  <c r="Q171" i="20" s="1"/>
  <c r="R134" i="20"/>
  <c r="R107" i="20"/>
  <c r="S161" i="20"/>
  <c r="S183" i="20" s="1"/>
  <c r="R152" i="20"/>
  <c r="R116" i="20"/>
  <c r="R125" i="20"/>
  <c r="R143" i="20"/>
  <c r="S107" i="20"/>
  <c r="S171" i="20" l="1"/>
  <c r="R181" i="20"/>
  <c r="R180" i="20"/>
  <c r="R182" i="20"/>
  <c r="Q182" i="20"/>
  <c r="S116" i="20"/>
  <c r="S180" i="20" s="1"/>
  <c r="T134" i="20"/>
  <c r="S125" i="20"/>
  <c r="T161" i="20"/>
  <c r="T183" i="20" s="1"/>
  <c r="S152" i="20"/>
  <c r="T143" i="20"/>
  <c r="S134" i="20"/>
  <c r="T152" i="20"/>
  <c r="S143" i="20"/>
  <c r="T116" i="20"/>
  <c r="T171" i="20" l="1"/>
  <c r="S181" i="20"/>
  <c r="S182" i="20"/>
  <c r="T180" i="20"/>
  <c r="T182" i="20"/>
  <c r="T125" i="20"/>
  <c r="T181" i="20" l="1"/>
  <c r="D8" i="20" l="1"/>
  <c r="D171" i="20" s="1"/>
  <c r="D174" i="20" l="1"/>
  <c r="A185" i="20" s="1" a="1"/>
  <c r="F10" i="12" l="1"/>
  <c r="R89" i="10"/>
  <c r="S89" i="10"/>
  <c r="T89" i="10"/>
  <c r="U89" i="10"/>
  <c r="V89" i="10"/>
  <c r="Q90" i="10"/>
  <c r="R90" i="10"/>
  <c r="S90" i="10"/>
  <c r="T90" i="10"/>
  <c r="U90" i="10"/>
  <c r="V90" i="10"/>
  <c r="Q91" i="10"/>
  <c r="R91" i="10"/>
  <c r="S91" i="10"/>
  <c r="T91" i="10"/>
  <c r="U91" i="10"/>
  <c r="V91" i="10"/>
  <c r="Q92" i="10"/>
  <c r="R92" i="10"/>
  <c r="S92" i="10"/>
  <c r="T92" i="10"/>
  <c r="U92" i="10"/>
  <c r="V92" i="10"/>
  <c r="Q93" i="10"/>
  <c r="R93" i="10"/>
  <c r="S93" i="10"/>
  <c r="T93" i="10"/>
  <c r="U93" i="10"/>
  <c r="V93" i="10"/>
  <c r="Q94" i="10"/>
  <c r="R94" i="10"/>
  <c r="S94" i="10"/>
  <c r="T94" i="10"/>
  <c r="U94" i="10"/>
  <c r="V94" i="10"/>
  <c r="Q95" i="10"/>
  <c r="R95" i="10"/>
  <c r="S95" i="10"/>
  <c r="T95" i="10"/>
  <c r="U95" i="10"/>
  <c r="V95" i="10"/>
  <c r="Q96" i="10"/>
  <c r="R96" i="10"/>
  <c r="S96" i="10"/>
  <c r="T96" i="10"/>
  <c r="U96" i="10"/>
  <c r="V96" i="10"/>
  <c r="Q97" i="10"/>
  <c r="R97" i="10"/>
  <c r="S97" i="10"/>
  <c r="T97" i="10"/>
  <c r="U97" i="10"/>
  <c r="V97" i="10"/>
  <c r="Q98" i="10"/>
  <c r="R98" i="10"/>
  <c r="S98" i="10"/>
  <c r="T98" i="10"/>
  <c r="U98" i="10"/>
  <c r="V98" i="10"/>
  <c r="Q99" i="10"/>
  <c r="R99" i="10"/>
  <c r="S99" i="10"/>
  <c r="T99" i="10"/>
  <c r="U99" i="10"/>
  <c r="V99" i="10"/>
  <c r="Q100" i="10"/>
  <c r="R100" i="10"/>
  <c r="S100" i="10"/>
  <c r="T100" i="10"/>
  <c r="U100" i="10"/>
  <c r="V100" i="10"/>
  <c r="Q101" i="10"/>
  <c r="R101" i="10"/>
  <c r="S101" i="10"/>
  <c r="T101" i="10"/>
  <c r="U101" i="10"/>
  <c r="V101" i="10"/>
  <c r="Q102" i="10"/>
  <c r="R102" i="10"/>
  <c r="S102" i="10"/>
  <c r="T102" i="10"/>
  <c r="U102" i="10"/>
  <c r="V102" i="10"/>
  <c r="Q103" i="10"/>
  <c r="R103" i="10"/>
  <c r="S103" i="10"/>
  <c r="T103" i="10"/>
  <c r="U103" i="10"/>
  <c r="V103" i="10"/>
  <c r="Q104" i="10"/>
  <c r="R104" i="10"/>
  <c r="S104" i="10"/>
  <c r="T104" i="10"/>
  <c r="U104" i="10"/>
  <c r="V104" i="10"/>
  <c r="Q105" i="10"/>
  <c r="R105" i="10"/>
  <c r="S105" i="10"/>
  <c r="T105" i="10"/>
  <c r="U105" i="10"/>
  <c r="V105" i="10"/>
  <c r="Q106" i="10"/>
  <c r="R106" i="10"/>
  <c r="S106" i="10"/>
  <c r="T106" i="10"/>
  <c r="U106" i="10"/>
  <c r="V106" i="10"/>
  <c r="Q107" i="10"/>
  <c r="R107" i="10"/>
  <c r="S107" i="10"/>
  <c r="T107" i="10"/>
  <c r="U107" i="10"/>
  <c r="V107" i="10"/>
  <c r="Q108" i="10"/>
  <c r="R108" i="10"/>
  <c r="S108" i="10"/>
  <c r="T108" i="10"/>
  <c r="U108" i="10"/>
  <c r="V108" i="10"/>
  <c r="Q69" i="10"/>
  <c r="Q77" i="10"/>
  <c r="Q53" i="10"/>
  <c r="Q45" i="10"/>
  <c r="Q37" i="10"/>
  <c r="Q48" i="10"/>
  <c r="Q47" i="10"/>
  <c r="Q38" i="10"/>
  <c r="Q70" i="10"/>
  <c r="Q78" i="10"/>
  <c r="Q52" i="10"/>
  <c r="Q44" i="10"/>
  <c r="Q36" i="10"/>
  <c r="Q40" i="10"/>
  <c r="Q68" i="10"/>
  <c r="Q63" i="10"/>
  <c r="Q71" i="10"/>
  <c r="Q79" i="10"/>
  <c r="Q51" i="10"/>
  <c r="Q43" i="10"/>
  <c r="Q74" i="10"/>
  <c r="Q75" i="10"/>
  <c r="Q46" i="10"/>
  <c r="Q64" i="10"/>
  <c r="Q72" i="10"/>
  <c r="Q80" i="10"/>
  <c r="Q50" i="10"/>
  <c r="Q42" i="10"/>
  <c r="Q54" i="10"/>
  <c r="Q65" i="10"/>
  <c r="Q73" i="10"/>
  <c r="Q81" i="10"/>
  <c r="Q49" i="10"/>
  <c r="Q41" i="10"/>
  <c r="Q66" i="10"/>
  <c r="Q67" i="10"/>
  <c r="Q39" i="10"/>
  <c r="Q76" i="10"/>
  <c r="Q89" i="10"/>
  <c r="R62" i="10"/>
  <c r="U35" i="10"/>
  <c r="T35" i="10"/>
  <c r="S35" i="10"/>
  <c r="V35" i="10"/>
  <c r="V62" i="10"/>
  <c r="R35" i="10"/>
  <c r="U62" i="10"/>
  <c r="T62" i="10"/>
  <c r="S62" i="10"/>
  <c r="E9" i="12"/>
  <c r="E10" i="12"/>
  <c r="E8" i="12"/>
  <c r="Q8" i="12" s="1"/>
  <c r="E18" i="12"/>
  <c r="E14" i="12"/>
  <c r="E21" i="12"/>
  <c r="E24" i="12"/>
  <c r="E19" i="12"/>
  <c r="E17" i="12"/>
  <c r="E20" i="12"/>
  <c r="E23" i="12"/>
  <c r="E13" i="12"/>
  <c r="E15" i="12"/>
  <c r="E26" i="12"/>
  <c r="E16" i="12"/>
  <c r="E22" i="12"/>
  <c r="E25" i="12"/>
  <c r="E11" i="12"/>
  <c r="E12" i="12"/>
  <c r="K18" i="12"/>
  <c r="K102" i="12" s="1"/>
  <c r="K21" i="12"/>
  <c r="K105" i="12" s="1"/>
  <c r="H25" i="12"/>
  <c r="H109" i="12" s="1"/>
  <c r="G25" i="12"/>
  <c r="G109" i="12" s="1"/>
  <c r="I21" i="12"/>
  <c r="I105" i="12" s="1"/>
  <c r="F20" i="12"/>
  <c r="F104" i="12" s="1"/>
  <c r="L21" i="12"/>
  <c r="L105" i="12" s="1"/>
  <c r="H20" i="12"/>
  <c r="H104" i="12" s="1"/>
  <c r="G21" i="12"/>
  <c r="G105" i="12" s="1"/>
  <c r="I26" i="12"/>
  <c r="I110" i="12" s="1"/>
  <c r="A185" i="20"/>
  <c r="L18" i="12"/>
  <c r="L102" i="12" s="1"/>
  <c r="N17" i="12"/>
  <c r="N101" i="12" s="1"/>
  <c r="J12" i="12"/>
  <c r="J96" i="12" s="1"/>
  <c r="K22" i="12"/>
  <c r="K106" i="12" s="1"/>
  <c r="N21" i="12"/>
  <c r="N105" i="12" s="1"/>
  <c r="J23" i="12"/>
  <c r="J107" i="12" s="1"/>
  <c r="L25" i="12"/>
  <c r="L109" i="12" s="1"/>
  <c r="L14" i="12"/>
  <c r="L98" i="12" s="1"/>
  <c r="H19" i="12"/>
  <c r="H103" i="12" s="1"/>
  <c r="L16" i="12"/>
  <c r="L100" i="12" s="1"/>
  <c r="L24" i="12"/>
  <c r="L108" i="12" s="1"/>
  <c r="K25" i="12"/>
  <c r="K109" i="12" s="1"/>
  <c r="J17" i="12"/>
  <c r="J101" i="12" s="1"/>
  <c r="L23" i="12"/>
  <c r="L107" i="12" s="1"/>
  <c r="M12" i="12"/>
  <c r="M96" i="12" s="1"/>
  <c r="I18" i="12"/>
  <c r="I102" i="12" s="1"/>
  <c r="L13" i="12"/>
  <c r="L97" i="12" s="1"/>
  <c r="F16" i="12"/>
  <c r="F100" i="12" s="1"/>
  <c r="I24" i="12"/>
  <c r="I108" i="12" s="1"/>
  <c r="K12" i="12"/>
  <c r="K96" i="12" s="1"/>
  <c r="N14" i="12"/>
  <c r="N98" i="12" s="1"/>
  <c r="J24" i="12"/>
  <c r="J108" i="12" s="1"/>
  <c r="M14" i="12"/>
  <c r="M98" i="12" s="1"/>
  <c r="I11" i="12"/>
  <c r="I95" i="12" s="1"/>
  <c r="I22" i="12"/>
  <c r="I106" i="12" s="1"/>
  <c r="J18" i="12"/>
  <c r="J102" i="12" s="1"/>
  <c r="J25" i="12"/>
  <c r="J109" i="12" s="1"/>
  <c r="J20" i="12"/>
  <c r="J104" i="12" s="1"/>
  <c r="L12" i="12"/>
  <c r="L96" i="12" s="1"/>
  <c r="K17" i="12"/>
  <c r="K101" i="12" s="1"/>
  <c r="H18" i="12"/>
  <c r="H102" i="12" s="1"/>
  <c r="J11" i="12"/>
  <c r="J95" i="12" s="1"/>
  <c r="N22" i="12"/>
  <c r="N106" i="12" s="1"/>
  <c r="K24" i="12"/>
  <c r="K108" i="12" s="1"/>
  <c r="H15" i="12"/>
  <c r="H99" i="12" s="1"/>
  <c r="F22" i="12"/>
  <c r="F106" i="12" s="1"/>
  <c r="I23" i="12"/>
  <c r="I107" i="12" s="1"/>
  <c r="N26" i="12"/>
  <c r="N110" i="12" s="1"/>
  <c r="L26" i="12"/>
  <c r="L110" i="12" s="1"/>
  <c r="K14" i="12"/>
  <c r="K98" i="12" s="1"/>
  <c r="K19" i="12"/>
  <c r="K103" i="12" s="1"/>
  <c r="M13" i="12"/>
  <c r="M97" i="12" s="1"/>
  <c r="M20" i="12"/>
  <c r="M104" i="12" s="1"/>
  <c r="M18" i="12"/>
  <c r="M102" i="12" s="1"/>
  <c r="N20" i="12"/>
  <c r="N104" i="12" s="1"/>
  <c r="M25" i="12"/>
  <c r="M109" i="12" s="1"/>
  <c r="H21" i="12"/>
  <c r="H105" i="12" s="1"/>
  <c r="N18" i="12"/>
  <c r="N102" i="12" s="1"/>
  <c r="K23" i="12"/>
  <c r="K107" i="12" s="1"/>
  <c r="G24" i="12"/>
  <c r="G108" i="12" s="1"/>
  <c r="H23" i="12"/>
  <c r="H107" i="12" s="1"/>
  <c r="H11" i="12"/>
  <c r="H95" i="12" s="1"/>
  <c r="G18" i="12"/>
  <c r="G102" i="12" s="1"/>
  <c r="G11" i="12"/>
  <c r="G95" i="12" s="1"/>
  <c r="N23" i="12"/>
  <c r="N107" i="12" s="1"/>
  <c r="L19" i="12"/>
  <c r="L103" i="12" s="1"/>
  <c r="H13" i="12"/>
  <c r="H97" i="12" s="1"/>
  <c r="M16" i="12"/>
  <c r="M100" i="12" s="1"/>
  <c r="I16" i="12"/>
  <c r="I100" i="12" s="1"/>
  <c r="J15" i="12"/>
  <c r="J99" i="12" s="1"/>
  <c r="M11" i="12"/>
  <c r="M95" i="12" s="1"/>
  <c r="F12" i="12"/>
  <c r="F96" i="12" s="1"/>
  <c r="F23" i="12"/>
  <c r="F107" i="12" s="1"/>
  <c r="G26" i="12"/>
  <c r="G110" i="12" s="1"/>
  <c r="I19" i="12"/>
  <c r="I103" i="12" s="1"/>
  <c r="I12" i="12"/>
  <c r="I96" i="12" s="1"/>
  <c r="G15" i="12"/>
  <c r="G99" i="12" s="1"/>
  <c r="F24" i="12"/>
  <c r="F108" i="12" s="1"/>
  <c r="I15" i="12"/>
  <c r="I99" i="12" s="1"/>
  <c r="F26" i="12"/>
  <c r="F110" i="12" s="1"/>
  <c r="N11" i="12"/>
  <c r="N95" i="12" s="1"/>
  <c r="M19" i="12"/>
  <c r="M103" i="12" s="1"/>
  <c r="F25" i="12"/>
  <c r="F109" i="12" s="1"/>
  <c r="G20" i="12"/>
  <c r="G104" i="12" s="1"/>
  <c r="F11" i="12"/>
  <c r="F95" i="12" s="1"/>
  <c r="M24" i="12"/>
  <c r="M108" i="12" s="1"/>
  <c r="M22" i="12"/>
  <c r="M106" i="12" s="1"/>
  <c r="N19" i="12"/>
  <c r="N103" i="12" s="1"/>
  <c r="G14" i="12"/>
  <c r="G98" i="12" s="1"/>
  <c r="G22" i="12"/>
  <c r="G106" i="12" s="1"/>
  <c r="F17" i="12"/>
  <c r="F101" i="12" s="1"/>
  <c r="H26" i="12"/>
  <c r="H110" i="12" s="1"/>
  <c r="H12" i="12"/>
  <c r="H96" i="12" s="1"/>
  <c r="F15" i="12"/>
  <c r="F99" i="12" s="1"/>
  <c r="J14" i="12"/>
  <c r="J98" i="12" s="1"/>
  <c r="F93" i="12"/>
  <c r="N25" i="12"/>
  <c r="N109" i="12" s="1"/>
  <c r="L11" i="12"/>
  <c r="L95" i="12" s="1"/>
  <c r="L22" i="12"/>
  <c r="L106" i="12" s="1"/>
  <c r="L17" i="12"/>
  <c r="L101" i="12" s="1"/>
  <c r="M21" i="12"/>
  <c r="M105" i="12" s="1"/>
  <c r="G13" i="12"/>
  <c r="G97" i="12" s="1"/>
  <c r="N13" i="12"/>
  <c r="N97" i="12" s="1"/>
  <c r="H22" i="12"/>
  <c r="H106" i="12" s="1"/>
  <c r="I17" i="12"/>
  <c r="I101" i="12" s="1"/>
  <c r="J13" i="12"/>
  <c r="J97" i="12" s="1"/>
  <c r="F94" i="12"/>
  <c r="F14" i="12"/>
  <c r="F98" i="12" s="1"/>
  <c r="G23" i="12"/>
  <c r="G107" i="12" s="1"/>
  <c r="F18" i="12"/>
  <c r="F102" i="12" s="1"/>
  <c r="J21" i="12"/>
  <c r="J105" i="12" s="1"/>
  <c r="K20" i="12"/>
  <c r="K104" i="12" s="1"/>
  <c r="H14" i="12"/>
  <c r="H98" i="12" s="1"/>
  <c r="K26" i="12"/>
  <c r="K110" i="12" s="1"/>
  <c r="I13" i="12"/>
  <c r="I97" i="12" s="1"/>
  <c r="I25" i="12"/>
  <c r="I109" i="12" s="1"/>
  <c r="J16" i="12"/>
  <c r="J100" i="12" s="1"/>
  <c r="I20" i="12"/>
  <c r="I104" i="12" s="1"/>
  <c r="N15" i="12"/>
  <c r="N99" i="12" s="1"/>
  <c r="G16" i="12"/>
  <c r="G100" i="12" s="1"/>
  <c r="H17" i="12"/>
  <c r="H101" i="12" s="1"/>
  <c r="H16" i="12"/>
  <c r="H100" i="12" s="1"/>
  <c r="G12" i="12"/>
  <c r="G96" i="12" s="1"/>
  <c r="K16" i="12"/>
  <c r="K100" i="12" s="1"/>
  <c r="K11" i="12"/>
  <c r="K95" i="12" s="1"/>
  <c r="K15" i="12"/>
  <c r="K99" i="12" s="1"/>
  <c r="J26" i="12"/>
  <c r="J110" i="12" s="1"/>
  <c r="L20" i="12"/>
  <c r="L104" i="12" s="1"/>
  <c r="F21" i="12"/>
  <c r="F105" i="12" s="1"/>
  <c r="M23" i="12"/>
  <c r="M107" i="12" s="1"/>
  <c r="M26" i="12"/>
  <c r="M110" i="12" s="1"/>
  <c r="K13" i="12"/>
  <c r="K97" i="12" s="1"/>
  <c r="I14" i="12"/>
  <c r="I98" i="12" s="1"/>
  <c r="N24" i="12"/>
  <c r="N108" i="12" s="1"/>
  <c r="G17" i="12"/>
  <c r="G101" i="12" s="1"/>
  <c r="M15" i="12"/>
  <c r="M99" i="12" s="1"/>
  <c r="N16" i="12"/>
  <c r="N100" i="12" s="1"/>
  <c r="M17" i="12"/>
  <c r="M101" i="12" s="1"/>
  <c r="F19" i="12"/>
  <c r="F103" i="12" s="1"/>
  <c r="N12" i="12"/>
  <c r="N96" i="12" s="1"/>
  <c r="H24" i="12"/>
  <c r="H108" i="12" s="1"/>
  <c r="J19" i="12"/>
  <c r="J103" i="12" s="1"/>
  <c r="J22" i="12"/>
  <c r="J106" i="12" s="1"/>
  <c r="F13" i="12"/>
  <c r="F97" i="12" s="1"/>
  <c r="G19" i="12"/>
  <c r="G103" i="12" s="1"/>
  <c r="L15" i="12"/>
  <c r="L99" i="12" s="1"/>
  <c r="V79" i="10"/>
  <c r="V41" i="10"/>
  <c r="R68" i="10"/>
  <c r="S52" i="10"/>
  <c r="S40" i="10"/>
  <c r="V70" i="10"/>
  <c r="V40" i="10"/>
  <c r="R69" i="10"/>
  <c r="T46" i="10"/>
  <c r="R40" i="10"/>
  <c r="R47" i="10"/>
  <c r="R43" i="10"/>
  <c r="R66" i="10"/>
  <c r="V76" i="10"/>
  <c r="V53" i="10"/>
  <c r="V73" i="10"/>
  <c r="T74" i="10"/>
  <c r="V51" i="10"/>
  <c r="U78" i="10"/>
  <c r="R76" i="10"/>
  <c r="T76" i="10"/>
  <c r="R77" i="10"/>
  <c r="T79" i="10"/>
  <c r="U54" i="10"/>
  <c r="S73" i="10"/>
  <c r="S68" i="10"/>
  <c r="U42" i="10"/>
  <c r="U39" i="10"/>
  <c r="S79" i="10"/>
  <c r="T51" i="10"/>
  <c r="R36" i="10"/>
  <c r="S71" i="10"/>
  <c r="R80" i="10"/>
  <c r="T50" i="10"/>
  <c r="U64" i="10"/>
  <c r="V52" i="10"/>
  <c r="V44" i="10"/>
  <c r="U41" i="10"/>
  <c r="V50" i="10"/>
  <c r="R52" i="10"/>
  <c r="U66" i="10"/>
  <c r="V75" i="10"/>
  <c r="U37" i="10"/>
  <c r="S36" i="10"/>
  <c r="R45" i="10"/>
  <c r="T80" i="10"/>
  <c r="R73" i="10"/>
  <c r="S69" i="10"/>
  <c r="T36" i="10"/>
  <c r="T54" i="10"/>
  <c r="R38" i="10"/>
  <c r="S49" i="10"/>
  <c r="U80" i="10"/>
  <c r="U44" i="10"/>
  <c r="T40" i="10"/>
  <c r="S46" i="10"/>
  <c r="V46" i="10"/>
  <c r="R49" i="10"/>
  <c r="T47" i="10"/>
  <c r="T68" i="10"/>
  <c r="V69" i="10"/>
  <c r="U73" i="10"/>
  <c r="V72" i="10"/>
  <c r="R71" i="10"/>
  <c r="U69" i="10"/>
  <c r="T72" i="10"/>
  <c r="R48" i="10"/>
  <c r="T39" i="10"/>
  <c r="T81" i="10"/>
  <c r="V42" i="10"/>
  <c r="T77" i="10"/>
  <c r="V77" i="10"/>
  <c r="U47" i="10"/>
  <c r="V66" i="10"/>
  <c r="V36" i="10"/>
  <c r="V49" i="10"/>
  <c r="R81" i="10"/>
  <c r="R42" i="10"/>
  <c r="T53" i="10"/>
  <c r="V47" i="10"/>
  <c r="T37" i="10"/>
  <c r="U49" i="10"/>
  <c r="V54" i="10"/>
  <c r="R64" i="10"/>
  <c r="U72" i="10"/>
  <c r="T66" i="10"/>
  <c r="U70" i="10"/>
  <c r="U40" i="10"/>
  <c r="S75" i="10"/>
  <c r="R67" i="10"/>
  <c r="S41" i="10"/>
  <c r="U79" i="10"/>
  <c r="T69" i="10"/>
  <c r="U63" i="10"/>
  <c r="R39" i="10"/>
  <c r="U46" i="10"/>
  <c r="V43" i="10"/>
  <c r="U52" i="10"/>
  <c r="U53" i="10"/>
  <c r="S72" i="10"/>
  <c r="T43" i="10"/>
  <c r="S67" i="10"/>
  <c r="U77" i="10"/>
  <c r="R46" i="10"/>
  <c r="S42" i="10"/>
  <c r="V71" i="10"/>
  <c r="S65" i="10"/>
  <c r="T67" i="10"/>
  <c r="V48" i="10"/>
  <c r="V67" i="10"/>
  <c r="S48" i="10"/>
  <c r="R65" i="10"/>
  <c r="U76" i="10"/>
  <c r="V68" i="10"/>
  <c r="V80" i="10"/>
  <c r="R54" i="10"/>
  <c r="S77" i="10"/>
  <c r="S50" i="10"/>
  <c r="U36" i="10"/>
  <c r="R78" i="10"/>
  <c r="S47" i="10"/>
  <c r="R51" i="10"/>
  <c r="T73" i="10"/>
  <c r="T75" i="10"/>
  <c r="T63" i="10"/>
  <c r="T71" i="10"/>
  <c r="S63" i="10"/>
  <c r="V74" i="10"/>
  <c r="R70" i="10"/>
  <c r="S51" i="10"/>
  <c r="R63" i="10"/>
  <c r="S78" i="10"/>
  <c r="T64" i="10"/>
  <c r="V37" i="10"/>
  <c r="R53" i="10"/>
  <c r="U50" i="10"/>
  <c r="T78" i="10"/>
  <c r="V78" i="10"/>
  <c r="U65" i="10"/>
  <c r="U67" i="10"/>
  <c r="S39" i="10"/>
  <c r="U68" i="10"/>
  <c r="S80" i="10"/>
  <c r="S74" i="10"/>
  <c r="U71" i="10"/>
  <c r="R50" i="10"/>
  <c r="T70" i="10"/>
  <c r="T65" i="10"/>
  <c r="T41" i="10"/>
  <c r="S66" i="10"/>
  <c r="U51" i="10"/>
  <c r="T45" i="10"/>
  <c r="U81" i="10"/>
  <c r="U75" i="10"/>
  <c r="R74" i="10"/>
  <c r="S70" i="10"/>
  <c r="V64" i="10"/>
  <c r="T38" i="10"/>
  <c r="R79" i="10"/>
  <c r="T42" i="10"/>
  <c r="R41" i="10"/>
  <c r="S54" i="10"/>
  <c r="S37" i="10"/>
  <c r="R37" i="10"/>
  <c r="S38" i="10"/>
  <c r="U38" i="10"/>
  <c r="V39" i="10"/>
  <c r="S43" i="10"/>
  <c r="U45" i="10"/>
  <c r="S44" i="10"/>
  <c r="S45" i="10"/>
  <c r="R72" i="10"/>
  <c r="V45" i="10"/>
  <c r="T44" i="10"/>
  <c r="V63" i="10"/>
  <c r="V38" i="10"/>
  <c r="R75" i="10"/>
  <c r="S53" i="10"/>
  <c r="U48" i="10"/>
  <c r="U43" i="10"/>
  <c r="T52" i="10"/>
  <c r="R44" i="10"/>
  <c r="T49" i="10"/>
  <c r="S81" i="10"/>
  <c r="V81" i="10"/>
  <c r="T48" i="10"/>
  <c r="S64" i="10"/>
  <c r="S76" i="10"/>
  <c r="U74" i="10"/>
  <c r="V65" i="10"/>
  <c r="G215" i="7" l="1"/>
  <c r="M138" i="12"/>
  <c r="G220" i="7"/>
  <c r="M143" i="12"/>
  <c r="G211" i="7"/>
  <c r="M134" i="12"/>
  <c r="G208" i="7"/>
  <c r="M131" i="12"/>
  <c r="G213" i="7"/>
  <c r="M136" i="12"/>
  <c r="G216" i="7"/>
  <c r="M139" i="12"/>
  <c r="G214" i="7"/>
  <c r="M137" i="12"/>
  <c r="G206" i="7"/>
  <c r="M129" i="12"/>
  <c r="G222" i="7"/>
  <c r="M145" i="12"/>
  <c r="G221" i="7"/>
  <c r="M144" i="12"/>
  <c r="G210" i="7"/>
  <c r="M133" i="12"/>
  <c r="G218" i="7"/>
  <c r="M141" i="12"/>
  <c r="G217" i="7"/>
  <c r="M140" i="12"/>
  <c r="G212" i="7"/>
  <c r="M135" i="12"/>
  <c r="G209" i="7"/>
  <c r="M132" i="12"/>
  <c r="G219" i="7"/>
  <c r="M142" i="12"/>
  <c r="G207" i="7"/>
  <c r="M130" i="12"/>
  <c r="Z107" i="10"/>
  <c r="AD107" i="10" s="1"/>
  <c r="Z103" i="10"/>
  <c r="AD103" i="10" s="1"/>
  <c r="Z99" i="10"/>
  <c r="AD99" i="10" s="1"/>
  <c r="Z95" i="10"/>
  <c r="AD95" i="10" s="1"/>
  <c r="Z91" i="10"/>
  <c r="AD91" i="10" s="1"/>
  <c r="X94" i="12"/>
  <c r="Q94" i="12"/>
  <c r="Z108" i="10"/>
  <c r="AD108" i="10" s="1"/>
  <c r="Z104" i="10"/>
  <c r="AD104" i="10" s="1"/>
  <c r="Z100" i="10"/>
  <c r="AD100" i="10" s="1"/>
  <c r="Z96" i="10"/>
  <c r="AD96" i="10" s="1"/>
  <c r="Z92" i="10"/>
  <c r="AD92" i="10" s="1"/>
  <c r="X93" i="12"/>
  <c r="Q93" i="12"/>
  <c r="Z105" i="10"/>
  <c r="AD105" i="10" s="1"/>
  <c r="Z101" i="10"/>
  <c r="AD101" i="10" s="1"/>
  <c r="Z97" i="10"/>
  <c r="AD97" i="10" s="1"/>
  <c r="Z93" i="10"/>
  <c r="AD93" i="10" s="1"/>
  <c r="Z106" i="10"/>
  <c r="AD106" i="10" s="1"/>
  <c r="Z102" i="10"/>
  <c r="AD102" i="10" s="1"/>
  <c r="Z98" i="10"/>
  <c r="AD98" i="10" s="1"/>
  <c r="Z94" i="10"/>
  <c r="AD94" i="10" s="1"/>
  <c r="Z90" i="10"/>
  <c r="AD90" i="10" s="1"/>
  <c r="Y103" i="12"/>
  <c r="Y104" i="12"/>
  <c r="Y108" i="12"/>
  <c r="X98" i="12"/>
  <c r="Q98" i="12"/>
  <c r="X103" i="12"/>
  <c r="Q103" i="12"/>
  <c r="Y96" i="12"/>
  <c r="X101" i="12"/>
  <c r="Q101" i="12"/>
  <c r="X109" i="12"/>
  <c r="Q109" i="12"/>
  <c r="Y109" i="12"/>
  <c r="Y106" i="12"/>
  <c r="Y110" i="12"/>
  <c r="X105" i="12"/>
  <c r="Q105" i="12"/>
  <c r="Y98" i="12"/>
  <c r="X107" i="12"/>
  <c r="Q107" i="12"/>
  <c r="X97" i="12"/>
  <c r="Q97" i="12"/>
  <c r="Y100" i="12"/>
  <c r="X110" i="12"/>
  <c r="Q110" i="12"/>
  <c r="X96" i="12"/>
  <c r="Q96" i="12"/>
  <c r="Y95" i="12"/>
  <c r="Y105" i="12"/>
  <c r="X100" i="12"/>
  <c r="Q100" i="12"/>
  <c r="Y101" i="12"/>
  <c r="Y102" i="12"/>
  <c r="X102" i="12"/>
  <c r="Q102" i="12"/>
  <c r="Y97" i="12"/>
  <c r="X99" i="12"/>
  <c r="Q99" i="12"/>
  <c r="X108" i="12"/>
  <c r="Q108" i="12"/>
  <c r="X106" i="12"/>
  <c r="Q106" i="12"/>
  <c r="Y107" i="12"/>
  <c r="X95" i="12"/>
  <c r="Q95" i="12"/>
  <c r="Y99" i="12"/>
  <c r="X104" i="12"/>
  <c r="Q104" i="12"/>
  <c r="Z89" i="10"/>
  <c r="AD89" i="10" s="1"/>
  <c r="AE89" i="10" s="1"/>
  <c r="Q62" i="10"/>
  <c r="Z62" i="10" s="1"/>
  <c r="AD62" i="10" s="1"/>
  <c r="AE62" i="10" s="1"/>
  <c r="Q35" i="10"/>
  <c r="O20" i="12"/>
  <c r="Q20" i="12" s="1"/>
  <c r="O24" i="12"/>
  <c r="Q24" i="12" s="1"/>
  <c r="O19" i="12"/>
  <c r="Q19" i="12" s="1"/>
  <c r="Q10" i="12"/>
  <c r="Q9" i="12"/>
  <c r="O12" i="12"/>
  <c r="Q12" i="12" s="1"/>
  <c r="O25" i="12"/>
  <c r="Q25" i="12" s="1"/>
  <c r="O22" i="12"/>
  <c r="Q22" i="12" s="1"/>
  <c r="O26" i="12"/>
  <c r="Q26" i="12" s="1"/>
  <c r="O14" i="12"/>
  <c r="Q14" i="12" s="1"/>
  <c r="O16" i="12"/>
  <c r="Q16" i="12" s="1"/>
  <c r="O11" i="12"/>
  <c r="Q11" i="12" s="1"/>
  <c r="O21" i="12"/>
  <c r="Q21" i="12" s="1"/>
  <c r="O17" i="12"/>
  <c r="Q17" i="12" s="1"/>
  <c r="O18" i="12"/>
  <c r="Q18" i="12" s="1"/>
  <c r="O13" i="12"/>
  <c r="Q13" i="12" s="1"/>
  <c r="O23" i="12"/>
  <c r="Q23" i="12" s="1"/>
  <c r="O15" i="12"/>
  <c r="Q15" i="12" s="1"/>
  <c r="Z73" i="10"/>
  <c r="AD73" i="10" s="1"/>
  <c r="W22" i="12"/>
  <c r="W19" i="12"/>
  <c r="W16" i="12"/>
  <c r="W24" i="12"/>
  <c r="W26" i="12"/>
  <c r="W21" i="12"/>
  <c r="W15" i="12"/>
  <c r="W14" i="12"/>
  <c r="W13" i="12"/>
  <c r="W18" i="12"/>
  <c r="W12" i="12"/>
  <c r="W23" i="12"/>
  <c r="W8" i="12"/>
  <c r="W11" i="12"/>
  <c r="W20" i="12"/>
  <c r="W10" i="12"/>
  <c r="W25" i="12"/>
  <c r="W17" i="12"/>
  <c r="W9" i="12"/>
  <c r="Z43" i="10"/>
  <c r="AD43" i="10" s="1"/>
  <c r="Z41" i="10"/>
  <c r="AD41" i="10" s="1"/>
  <c r="Z70" i="10"/>
  <c r="AD70" i="10" s="1"/>
  <c r="N43" i="12"/>
  <c r="N71" i="12"/>
  <c r="G74" i="12"/>
  <c r="G46" i="12"/>
  <c r="Y18" i="12"/>
  <c r="H48" i="12"/>
  <c r="H76" i="12"/>
  <c r="Z48" i="10"/>
  <c r="AD48" i="10" s="1"/>
  <c r="Z37" i="10"/>
  <c r="AD37" i="10" s="1"/>
  <c r="Z71" i="10"/>
  <c r="AD71" i="10" s="1"/>
  <c r="J47" i="12"/>
  <c r="J75" i="12"/>
  <c r="N80" i="12"/>
  <c r="N52" i="12"/>
  <c r="K43" i="12"/>
  <c r="K71" i="12"/>
  <c r="I48" i="12"/>
  <c r="I76" i="12"/>
  <c r="F74" i="12"/>
  <c r="F46" i="12"/>
  <c r="X18" i="12"/>
  <c r="G41" i="12"/>
  <c r="G69" i="12"/>
  <c r="Y13" i="12"/>
  <c r="F71" i="12"/>
  <c r="F43" i="12"/>
  <c r="X15" i="12"/>
  <c r="M52" i="12"/>
  <c r="M80" i="12"/>
  <c r="F80" i="12"/>
  <c r="F52" i="12"/>
  <c r="X24" i="12"/>
  <c r="J43" i="12"/>
  <c r="J71" i="12"/>
  <c r="H67" i="12"/>
  <c r="H39" i="12"/>
  <c r="M46" i="12"/>
  <c r="M74" i="12"/>
  <c r="F78" i="12"/>
  <c r="F50" i="12"/>
  <c r="X22" i="12"/>
  <c r="J48" i="12"/>
  <c r="J76" i="12"/>
  <c r="K40" i="12"/>
  <c r="K68" i="12"/>
  <c r="K81" i="12"/>
  <c r="K53" i="12"/>
  <c r="K78" i="12"/>
  <c r="K50" i="12"/>
  <c r="L49" i="12"/>
  <c r="L77" i="12"/>
  <c r="Z51" i="10"/>
  <c r="AD51" i="10" s="1"/>
  <c r="G45" i="12"/>
  <c r="G73" i="12"/>
  <c r="Y17" i="12"/>
  <c r="J42" i="12"/>
  <c r="J70" i="12"/>
  <c r="L40" i="12"/>
  <c r="L68" i="12"/>
  <c r="Z63" i="10"/>
  <c r="AD63" i="10" s="1"/>
  <c r="M128" i="12"/>
  <c r="Z36" i="10"/>
  <c r="AD36" i="10" s="1"/>
  <c r="AE36" i="10" s="1"/>
  <c r="Z69" i="10"/>
  <c r="AD69" i="10" s="1"/>
  <c r="Z47" i="10"/>
  <c r="AD47" i="10" s="1"/>
  <c r="Z54" i="10"/>
  <c r="AD54" i="10" s="1"/>
  <c r="Z50" i="10"/>
  <c r="AD50" i="10" s="1"/>
  <c r="Z64" i="10"/>
  <c r="AD64" i="10" s="1"/>
  <c r="H80" i="12"/>
  <c r="H52" i="12"/>
  <c r="I42" i="12"/>
  <c r="I70" i="12"/>
  <c r="K39" i="12"/>
  <c r="K67" i="12"/>
  <c r="J44" i="12"/>
  <c r="J72" i="12"/>
  <c r="G51" i="12"/>
  <c r="G79" i="12"/>
  <c r="Y23" i="12"/>
  <c r="M49" i="12"/>
  <c r="M77" i="12"/>
  <c r="H40" i="12"/>
  <c r="H68" i="12"/>
  <c r="F39" i="12"/>
  <c r="F67" i="12"/>
  <c r="X11" i="12"/>
  <c r="Y15" i="12"/>
  <c r="G43" i="12"/>
  <c r="G71" i="12"/>
  <c r="I44" i="12"/>
  <c r="I72" i="12"/>
  <c r="H51" i="12"/>
  <c r="H79" i="12"/>
  <c r="M48" i="12"/>
  <c r="M76" i="12"/>
  <c r="H71" i="12"/>
  <c r="H43" i="12"/>
  <c r="J53" i="12"/>
  <c r="J81" i="12"/>
  <c r="I52" i="12"/>
  <c r="I80" i="12"/>
  <c r="L52" i="12"/>
  <c r="L80" i="12"/>
  <c r="J40" i="12"/>
  <c r="J68" i="12"/>
  <c r="X20" i="12"/>
  <c r="F76" i="12"/>
  <c r="F48" i="12"/>
  <c r="J54" i="12"/>
  <c r="J82" i="12"/>
  <c r="M67" i="12"/>
  <c r="M39" i="12"/>
  <c r="J45" i="12"/>
  <c r="J73" i="12"/>
  <c r="Z74" i="10"/>
  <c r="AD74" i="10" s="1"/>
  <c r="Z44" i="10"/>
  <c r="AD44" i="10" s="1"/>
  <c r="Z68" i="10"/>
  <c r="AD68" i="10" s="1"/>
  <c r="Z79" i="10"/>
  <c r="AD79" i="10" s="1"/>
  <c r="Z77" i="10"/>
  <c r="AD77" i="10" s="1"/>
  <c r="N40" i="12"/>
  <c r="N68" i="12"/>
  <c r="K69" i="12"/>
  <c r="K41" i="12"/>
  <c r="K44" i="12"/>
  <c r="K72" i="12"/>
  <c r="I53" i="12"/>
  <c r="I81" i="12"/>
  <c r="F42" i="12"/>
  <c r="F70" i="12"/>
  <c r="X14" i="12"/>
  <c r="L45" i="12"/>
  <c r="L73" i="12"/>
  <c r="H54" i="12"/>
  <c r="H82" i="12"/>
  <c r="G48" i="12"/>
  <c r="G76" i="12"/>
  <c r="Y20" i="12"/>
  <c r="I68" i="12"/>
  <c r="I40" i="12"/>
  <c r="M44" i="12"/>
  <c r="M72" i="12"/>
  <c r="G80" i="12"/>
  <c r="G52" i="12"/>
  <c r="Y24" i="12"/>
  <c r="M41" i="12"/>
  <c r="M69" i="12"/>
  <c r="K80" i="12"/>
  <c r="K52" i="12"/>
  <c r="J46" i="12"/>
  <c r="J74" i="12"/>
  <c r="F72" i="12"/>
  <c r="F44" i="12"/>
  <c r="X16" i="12"/>
  <c r="L72" i="12"/>
  <c r="L44" i="12"/>
  <c r="N45" i="12"/>
  <c r="N73" i="12"/>
  <c r="I77" i="12"/>
  <c r="I49" i="12"/>
  <c r="J49" i="12"/>
  <c r="J77" i="12"/>
  <c r="I51" i="12"/>
  <c r="I79" i="12"/>
  <c r="Z39" i="10"/>
  <c r="AD39" i="10" s="1"/>
  <c r="Z42" i="10"/>
  <c r="AD42" i="10" s="1"/>
  <c r="Z49" i="10"/>
  <c r="AD49" i="10" s="1"/>
  <c r="F47" i="12"/>
  <c r="F75" i="12"/>
  <c r="X19" i="12"/>
  <c r="M54" i="12"/>
  <c r="M82" i="12"/>
  <c r="G40" i="12"/>
  <c r="G68" i="12"/>
  <c r="Y12" i="12"/>
  <c r="I41" i="12"/>
  <c r="I69" i="12"/>
  <c r="F66" i="12"/>
  <c r="F38" i="12"/>
  <c r="X10" i="12"/>
  <c r="L50" i="12"/>
  <c r="L78" i="12"/>
  <c r="F73" i="12"/>
  <c r="F45" i="12"/>
  <c r="X17" i="12"/>
  <c r="F81" i="12"/>
  <c r="F53" i="12"/>
  <c r="X25" i="12"/>
  <c r="I47" i="12"/>
  <c r="I75" i="12"/>
  <c r="H69" i="12"/>
  <c r="H41" i="12"/>
  <c r="K79" i="12"/>
  <c r="K51" i="12"/>
  <c r="K47" i="12"/>
  <c r="K75" i="12"/>
  <c r="N78" i="12"/>
  <c r="N50" i="12"/>
  <c r="I50" i="12"/>
  <c r="I78" i="12"/>
  <c r="L41" i="12"/>
  <c r="L69" i="12"/>
  <c r="H75" i="12"/>
  <c r="H47" i="12"/>
  <c r="L46" i="12"/>
  <c r="L74" i="12"/>
  <c r="G81" i="12"/>
  <c r="G53" i="12"/>
  <c r="Y25" i="12"/>
  <c r="Z53" i="10"/>
  <c r="AD53" i="10" s="1"/>
  <c r="M50" i="12"/>
  <c r="M78" i="12"/>
  <c r="N70" i="12"/>
  <c r="N42" i="12"/>
  <c r="Z66" i="10"/>
  <c r="AD66" i="10" s="1"/>
  <c r="Z46" i="10"/>
  <c r="AD46" i="10" s="1"/>
  <c r="Z81" i="10"/>
  <c r="AD81" i="10" s="1"/>
  <c r="Z76" i="10"/>
  <c r="AD76" i="10" s="1"/>
  <c r="Z52" i="10"/>
  <c r="AD52" i="10" s="1"/>
  <c r="L43" i="12"/>
  <c r="L71" i="12"/>
  <c r="M45" i="12"/>
  <c r="M73" i="12"/>
  <c r="M51" i="12"/>
  <c r="M79" i="12"/>
  <c r="H44" i="12"/>
  <c r="H72" i="12"/>
  <c r="K54" i="12"/>
  <c r="K82" i="12"/>
  <c r="J41" i="12"/>
  <c r="J69" i="12"/>
  <c r="L67" i="12"/>
  <c r="L39" i="12"/>
  <c r="G78" i="12"/>
  <c r="G50" i="12"/>
  <c r="Y22" i="12"/>
  <c r="M47" i="12"/>
  <c r="M75" i="12"/>
  <c r="G54" i="12"/>
  <c r="Y26" i="12"/>
  <c r="G82" i="12"/>
  <c r="L75" i="12"/>
  <c r="L47" i="12"/>
  <c r="N74" i="12"/>
  <c r="N46" i="12"/>
  <c r="K42" i="12"/>
  <c r="K70" i="12"/>
  <c r="J39" i="12"/>
  <c r="J67" i="12"/>
  <c r="I39" i="12"/>
  <c r="I67" i="12"/>
  <c r="I46" i="12"/>
  <c r="I74" i="12"/>
  <c r="L70" i="12"/>
  <c r="L42" i="12"/>
  <c r="H81" i="12"/>
  <c r="H53" i="12"/>
  <c r="J50" i="12"/>
  <c r="J78" i="12"/>
  <c r="I43" i="12"/>
  <c r="I71" i="12"/>
  <c r="N77" i="12"/>
  <c r="N49" i="12"/>
  <c r="Z65" i="10"/>
  <c r="AD65" i="10" s="1"/>
  <c r="Z75" i="10"/>
  <c r="AD75" i="10" s="1"/>
  <c r="Z40" i="10"/>
  <c r="AD40" i="10" s="1"/>
  <c r="Z38" i="10"/>
  <c r="AD38" i="10" s="1"/>
  <c r="Z67" i="10"/>
  <c r="AD67" i="10" s="1"/>
  <c r="G75" i="12"/>
  <c r="G47" i="12"/>
  <c r="Y19" i="12"/>
  <c r="N44" i="12"/>
  <c r="N72" i="12"/>
  <c r="F77" i="12"/>
  <c r="F49" i="12"/>
  <c r="X21" i="12"/>
  <c r="H73" i="12"/>
  <c r="H45" i="12"/>
  <c r="H42" i="12"/>
  <c r="H70" i="12"/>
  <c r="I45" i="12"/>
  <c r="I73" i="12"/>
  <c r="N53" i="12"/>
  <c r="N81" i="12"/>
  <c r="G42" i="12"/>
  <c r="G70" i="12"/>
  <c r="Y14" i="12"/>
  <c r="N39" i="12"/>
  <c r="N67" i="12"/>
  <c r="F79" i="12"/>
  <c r="F51" i="12"/>
  <c r="X23" i="12"/>
  <c r="N51" i="12"/>
  <c r="N79" i="12"/>
  <c r="H77" i="12"/>
  <c r="H49" i="12"/>
  <c r="L54" i="12"/>
  <c r="L82" i="12"/>
  <c r="H46" i="12"/>
  <c r="H74" i="12"/>
  <c r="M70" i="12"/>
  <c r="M42" i="12"/>
  <c r="M68" i="12"/>
  <c r="M40" i="12"/>
  <c r="L81" i="12"/>
  <c r="L53" i="12"/>
  <c r="I82" i="12"/>
  <c r="I54" i="12"/>
  <c r="K77" i="12"/>
  <c r="K49" i="12"/>
  <c r="N41" i="12"/>
  <c r="N69" i="12"/>
  <c r="N48" i="12"/>
  <c r="N76" i="12"/>
  <c r="Z72" i="10"/>
  <c r="AD72" i="10" s="1"/>
  <c r="Z78" i="10"/>
  <c r="AD78" i="10" s="1"/>
  <c r="Z45" i="10"/>
  <c r="AD45" i="10" s="1"/>
  <c r="Z80" i="10"/>
  <c r="AD80" i="10" s="1"/>
  <c r="F69" i="12"/>
  <c r="F41" i="12"/>
  <c r="X13" i="12"/>
  <c r="M43" i="12"/>
  <c r="M71" i="12"/>
  <c r="L48" i="12"/>
  <c r="L76" i="12"/>
  <c r="G44" i="12"/>
  <c r="G72" i="12"/>
  <c r="Y16" i="12"/>
  <c r="K48" i="12"/>
  <c r="K76" i="12"/>
  <c r="H50" i="12"/>
  <c r="H78" i="12"/>
  <c r="F37" i="12"/>
  <c r="F65" i="12"/>
  <c r="X9" i="12"/>
  <c r="N75" i="12"/>
  <c r="N47" i="12"/>
  <c r="F82" i="12"/>
  <c r="F54" i="12"/>
  <c r="X26" i="12"/>
  <c r="F68" i="12"/>
  <c r="F40" i="12"/>
  <c r="X12" i="12"/>
  <c r="G39" i="12"/>
  <c r="G67" i="12"/>
  <c r="Y11" i="12"/>
  <c r="M53" i="12"/>
  <c r="M81" i="12"/>
  <c r="N54" i="12"/>
  <c r="N82" i="12"/>
  <c r="K45" i="12"/>
  <c r="K73" i="12"/>
  <c r="J52" i="12"/>
  <c r="J80" i="12"/>
  <c r="L51" i="12"/>
  <c r="L79" i="12"/>
  <c r="J79" i="12"/>
  <c r="J51" i="12"/>
  <c r="G77" i="12"/>
  <c r="Y21" i="12"/>
  <c r="G49" i="12"/>
  <c r="K74" i="12"/>
  <c r="K46" i="12"/>
  <c r="AA90" i="10" l="1"/>
  <c r="AC90" i="10" s="1"/>
  <c r="R93" i="12" s="1"/>
  <c r="AA93" i="12" s="1"/>
  <c r="S92" i="12"/>
  <c r="S64" i="12"/>
  <c r="AA63" i="10"/>
  <c r="N128" i="12"/>
  <c r="M158" i="12" s="1"/>
  <c r="G205" i="7"/>
  <c r="Y77" i="12"/>
  <c r="Y73" i="12"/>
  <c r="Q47" i="12"/>
  <c r="X47" i="12"/>
  <c r="Y51" i="12"/>
  <c r="X54" i="12"/>
  <c r="Q54" i="12"/>
  <c r="X65" i="12"/>
  <c r="Q65" i="12"/>
  <c r="Q38" i="12"/>
  <c r="X38" i="12"/>
  <c r="Y52" i="12"/>
  <c r="Y45" i="12"/>
  <c r="Q78" i="12"/>
  <c r="X78" i="12"/>
  <c r="Y69" i="12"/>
  <c r="Y40" i="12"/>
  <c r="Q82" i="12"/>
  <c r="X82" i="12"/>
  <c r="X37" i="12"/>
  <c r="Q37" i="12"/>
  <c r="Y72" i="12"/>
  <c r="Y53" i="12"/>
  <c r="Q73" i="12"/>
  <c r="X73" i="12"/>
  <c r="X66" i="12"/>
  <c r="Q66" i="12"/>
  <c r="Y80" i="12"/>
  <c r="Y76" i="12"/>
  <c r="Y41" i="12"/>
  <c r="Y46" i="12"/>
  <c r="Q45" i="12"/>
  <c r="X45" i="12"/>
  <c r="Y44" i="12"/>
  <c r="Y81" i="12"/>
  <c r="Y48" i="12"/>
  <c r="Y74" i="12"/>
  <c r="X79" i="12"/>
  <c r="Q79" i="12"/>
  <c r="Y43" i="12"/>
  <c r="X50" i="12"/>
  <c r="Q50" i="12"/>
  <c r="X40" i="12"/>
  <c r="Q40" i="12"/>
  <c r="Y82" i="12"/>
  <c r="X70" i="12"/>
  <c r="Q70" i="12"/>
  <c r="Q76" i="12"/>
  <c r="X76" i="12"/>
  <c r="X41" i="12"/>
  <c r="Q41" i="12"/>
  <c r="Q68" i="12"/>
  <c r="X68" i="12"/>
  <c r="Q69" i="12"/>
  <c r="X69" i="12"/>
  <c r="Y47" i="12"/>
  <c r="Y50" i="12"/>
  <c r="Q53" i="12"/>
  <c r="X53" i="12"/>
  <c r="Q42" i="12"/>
  <c r="X42" i="12"/>
  <c r="X67" i="12"/>
  <c r="Q67" i="12"/>
  <c r="AA37" i="10"/>
  <c r="S37" i="12"/>
  <c r="Q52" i="12"/>
  <c r="X52" i="12"/>
  <c r="Q43" i="12"/>
  <c r="X43" i="12"/>
  <c r="Q46" i="12"/>
  <c r="X46" i="12"/>
  <c r="Y39" i="12"/>
  <c r="Y70" i="12"/>
  <c r="Q49" i="12"/>
  <c r="X49" i="12"/>
  <c r="Y75" i="12"/>
  <c r="Y78" i="12"/>
  <c r="Q81" i="12"/>
  <c r="X81" i="12"/>
  <c r="X44" i="12"/>
  <c r="Q44" i="12"/>
  <c r="X48" i="12"/>
  <c r="Q48" i="12"/>
  <c r="Y71" i="12"/>
  <c r="X39" i="12"/>
  <c r="Q39" i="12"/>
  <c r="Q80" i="12"/>
  <c r="X80" i="12"/>
  <c r="Q71" i="12"/>
  <c r="X71" i="12"/>
  <c r="Y49" i="12"/>
  <c r="Y67" i="12"/>
  <c r="X51" i="12"/>
  <c r="Q51" i="12"/>
  <c r="Y42" i="12"/>
  <c r="Q77" i="12"/>
  <c r="X77" i="12"/>
  <c r="Y54" i="12"/>
  <c r="Y68" i="12"/>
  <c r="X75" i="12"/>
  <c r="Q75" i="12"/>
  <c r="Q72" i="12"/>
  <c r="X72" i="12"/>
  <c r="Y79" i="12"/>
  <c r="Q74" i="12"/>
  <c r="X74" i="12"/>
  <c r="AE90" i="10" l="1"/>
  <c r="AA91" i="10"/>
  <c r="AC91" i="10" s="1"/>
  <c r="S93" i="12"/>
  <c r="H205" i="7"/>
  <c r="S9" i="12"/>
  <c r="D206" i="7"/>
  <c r="AC63" i="10"/>
  <c r="AE63" i="10" s="1"/>
  <c r="R66" i="12"/>
  <c r="AA66" i="12" s="1"/>
  <c r="R38" i="12"/>
  <c r="AA38" i="12" s="1"/>
  <c r="AC37" i="10"/>
  <c r="AE37" i="10" s="1"/>
  <c r="AE91" i="10" l="1"/>
  <c r="R94" i="12"/>
  <c r="R10" i="12"/>
  <c r="AA10" i="12" s="1"/>
  <c r="AA64" i="10"/>
  <c r="S65" i="12"/>
  <c r="AA38" i="10"/>
  <c r="S38" i="12"/>
  <c r="AA92" i="10" l="1"/>
  <c r="AC92" i="10" s="1"/>
  <c r="S94" i="12"/>
  <c r="AA94" i="12"/>
  <c r="L129" i="12"/>
  <c r="L159" i="12" s="1"/>
  <c r="F206" i="7"/>
  <c r="AC64" i="10"/>
  <c r="AE64" i="10" s="1"/>
  <c r="R67" i="12"/>
  <c r="AA67" i="12" s="1"/>
  <c r="R39" i="12"/>
  <c r="AA39" i="12" s="1"/>
  <c r="AC38" i="10"/>
  <c r="AE38" i="10" s="1"/>
  <c r="AE92" i="10" l="1"/>
  <c r="R95" i="12"/>
  <c r="H206" i="7"/>
  <c r="N129" i="12"/>
  <c r="M159" i="12" s="1"/>
  <c r="S10" i="12"/>
  <c r="D207" i="7"/>
  <c r="R11" i="12"/>
  <c r="AA11" i="12" s="1"/>
  <c r="AA65" i="10"/>
  <c r="S66" i="12"/>
  <c r="AA39" i="10"/>
  <c r="S39" i="12"/>
  <c r="AA93" i="10" l="1"/>
  <c r="AC93" i="10" s="1"/>
  <c r="S95" i="12"/>
  <c r="AA95" i="12"/>
  <c r="L130" i="12"/>
  <c r="L160" i="12" s="1"/>
  <c r="N130" i="12"/>
  <c r="M160" i="12" s="1"/>
  <c r="F207" i="7"/>
  <c r="S11" i="12"/>
  <c r="AC65" i="10"/>
  <c r="AE65" i="10" s="1"/>
  <c r="R68" i="12"/>
  <c r="AA68" i="12" s="1"/>
  <c r="R40" i="12"/>
  <c r="AA40" i="12" s="1"/>
  <c r="AC39" i="10"/>
  <c r="AE39" i="10" s="1"/>
  <c r="AE93" i="10" l="1"/>
  <c r="R96" i="12"/>
  <c r="H207" i="7"/>
  <c r="D208" i="7"/>
  <c r="R12" i="12"/>
  <c r="AA12" i="12" s="1"/>
  <c r="AA66" i="10"/>
  <c r="S67" i="12"/>
  <c r="AA40" i="10"/>
  <c r="S40" i="12"/>
  <c r="AA94" i="10" l="1"/>
  <c r="AC94" i="10" s="1"/>
  <c r="S96" i="12"/>
  <c r="L131" i="12"/>
  <c r="L161" i="12" s="1"/>
  <c r="AA96" i="12"/>
  <c r="R69" i="12"/>
  <c r="AA69" i="12" s="1"/>
  <c r="AC66" i="10"/>
  <c r="AE66" i="10" s="1"/>
  <c r="AC40" i="10"/>
  <c r="AE40" i="10" s="1"/>
  <c r="R41" i="12"/>
  <c r="AA41" i="12" s="1"/>
  <c r="AE94" i="10" l="1"/>
  <c r="R97" i="12"/>
  <c r="F208" i="7"/>
  <c r="N131" i="12"/>
  <c r="M161" i="12" s="1"/>
  <c r="S12" i="12"/>
  <c r="D209" i="7"/>
  <c r="H208" i="7"/>
  <c r="AA67" i="10"/>
  <c r="S68" i="12"/>
  <c r="S41" i="12"/>
  <c r="AA41" i="10"/>
  <c r="AA95" i="10" l="1"/>
  <c r="AC95" i="10" s="1"/>
  <c r="S97" i="12"/>
  <c r="R13" i="12"/>
  <c r="AA13" i="12" s="1"/>
  <c r="AA97" i="12"/>
  <c r="L132" i="12"/>
  <c r="L162" i="12" s="1"/>
  <c r="F209" i="7"/>
  <c r="AC67" i="10"/>
  <c r="AE67" i="10" s="1"/>
  <c r="R70" i="12"/>
  <c r="AA70" i="12" s="1"/>
  <c r="AC41" i="10"/>
  <c r="AE41" i="10" s="1"/>
  <c r="R42" i="12"/>
  <c r="AA42" i="12" s="1"/>
  <c r="AE95" i="10" l="1"/>
  <c r="R98" i="12"/>
  <c r="H209" i="7"/>
  <c r="N132" i="12"/>
  <c r="M162" i="12" s="1"/>
  <c r="S13" i="12"/>
  <c r="D210" i="7"/>
  <c r="R14" i="12"/>
  <c r="AA14" i="12" s="1"/>
  <c r="AA68" i="10"/>
  <c r="S69" i="12"/>
  <c r="AA42" i="10"/>
  <c r="S42" i="12"/>
  <c r="AA96" i="10" l="1"/>
  <c r="AC96" i="10" s="1"/>
  <c r="S98" i="12"/>
  <c r="F210" i="7"/>
  <c r="L133" i="12"/>
  <c r="L163" i="12" s="1"/>
  <c r="AA98" i="12"/>
  <c r="AC68" i="10"/>
  <c r="AE68" i="10" s="1"/>
  <c r="R71" i="12"/>
  <c r="AA71" i="12" s="1"/>
  <c r="R43" i="12"/>
  <c r="AA43" i="12" s="1"/>
  <c r="AC42" i="10"/>
  <c r="AE42" i="10" s="1"/>
  <c r="AE96" i="10" l="1"/>
  <c r="R99" i="12"/>
  <c r="N133" i="12"/>
  <c r="M163" i="12" s="1"/>
  <c r="S14" i="12"/>
  <c r="D211" i="7"/>
  <c r="H210" i="7"/>
  <c r="R15" i="12"/>
  <c r="AA15" i="12" s="1"/>
  <c r="S70" i="12"/>
  <c r="AA69" i="10"/>
  <c r="S43" i="12"/>
  <c r="AA43" i="10"/>
  <c r="AA97" i="10" l="1"/>
  <c r="AC97" i="10" s="1"/>
  <c r="S99" i="12"/>
  <c r="AA99" i="12"/>
  <c r="L134" i="12"/>
  <c r="L164" i="12" s="1"/>
  <c r="F211" i="7"/>
  <c r="R72" i="12"/>
  <c r="AA72" i="12" s="1"/>
  <c r="AC69" i="10"/>
  <c r="AE69" i="10" s="1"/>
  <c r="AC43" i="10"/>
  <c r="AE43" i="10" s="1"/>
  <c r="R44" i="12"/>
  <c r="AA44" i="12" s="1"/>
  <c r="AE97" i="10" l="1"/>
  <c r="R100" i="12"/>
  <c r="S15" i="12"/>
  <c r="N134" i="12"/>
  <c r="M164" i="12" s="1"/>
  <c r="D212" i="7"/>
  <c r="H211" i="7"/>
  <c r="R16" i="12"/>
  <c r="AA16" i="12" s="1"/>
  <c r="AA70" i="10"/>
  <c r="S71" i="12"/>
  <c r="AA44" i="10"/>
  <c r="S44" i="12"/>
  <c r="AA98" i="10" l="1"/>
  <c r="AC98" i="10" s="1"/>
  <c r="S100" i="12"/>
  <c r="AA100" i="12"/>
  <c r="L135" i="12"/>
  <c r="L165" i="12" s="1"/>
  <c r="F212" i="7"/>
  <c r="R73" i="12"/>
  <c r="AA73" i="12" s="1"/>
  <c r="AC70" i="10"/>
  <c r="AE70" i="10" s="1"/>
  <c r="AC44" i="10"/>
  <c r="AE44" i="10" s="1"/>
  <c r="R45" i="12"/>
  <c r="AA45" i="12" s="1"/>
  <c r="AE98" i="10" l="1"/>
  <c r="R101" i="12"/>
  <c r="S16" i="12"/>
  <c r="N135" i="12"/>
  <c r="M165" i="12" s="1"/>
  <c r="D213" i="7"/>
  <c r="H212" i="7"/>
  <c r="AA71" i="10"/>
  <c r="S72" i="12"/>
  <c r="AA45" i="10"/>
  <c r="S45" i="12"/>
  <c r="AA99" i="10" l="1"/>
  <c r="AC99" i="10" s="1"/>
  <c r="S101" i="12"/>
  <c r="L136" i="12"/>
  <c r="L166" i="12" s="1"/>
  <c r="R17" i="12"/>
  <c r="AA17" i="12" s="1"/>
  <c r="AC71" i="10"/>
  <c r="AE71" i="10" s="1"/>
  <c r="R74" i="12"/>
  <c r="AA74" i="12" s="1"/>
  <c r="R46" i="12"/>
  <c r="AA46" i="12" s="1"/>
  <c r="AC45" i="10"/>
  <c r="AE45" i="10" s="1"/>
  <c r="AE99" i="10" l="1"/>
  <c r="R102" i="12"/>
  <c r="AA101" i="12"/>
  <c r="F213" i="7"/>
  <c r="H213" i="7"/>
  <c r="S73" i="12"/>
  <c r="AA72" i="10"/>
  <c r="S46" i="12"/>
  <c r="AA46" i="10"/>
  <c r="AA100" i="10" l="1"/>
  <c r="AC100" i="10" s="1"/>
  <c r="S102" i="12"/>
  <c r="S17" i="12"/>
  <c r="D214" i="7"/>
  <c r="N136" i="12"/>
  <c r="M166" i="12" s="1"/>
  <c r="R18" i="12"/>
  <c r="AA18" i="12" s="1"/>
  <c r="L137" i="12"/>
  <c r="L167" i="12" s="1"/>
  <c r="AC72" i="10"/>
  <c r="AE72" i="10" s="1"/>
  <c r="R75" i="12"/>
  <c r="AA75" i="12" s="1"/>
  <c r="AC46" i="10"/>
  <c r="AE46" i="10" s="1"/>
  <c r="R47" i="12"/>
  <c r="AA47" i="12" s="1"/>
  <c r="AE100" i="10" l="1"/>
  <c r="R103" i="12"/>
  <c r="F214" i="7"/>
  <c r="AA102" i="12"/>
  <c r="S74" i="12"/>
  <c r="AA73" i="10"/>
  <c r="S47" i="12"/>
  <c r="AA47" i="10"/>
  <c r="AA101" i="10" l="1"/>
  <c r="AC101" i="10" s="1"/>
  <c r="S103" i="12"/>
  <c r="H214" i="7"/>
  <c r="N137" i="12"/>
  <c r="M167" i="12" s="1"/>
  <c r="D215" i="7"/>
  <c r="S18" i="12"/>
  <c r="R76" i="12"/>
  <c r="AA76" i="12" s="1"/>
  <c r="AC73" i="10"/>
  <c r="AE73" i="10" s="1"/>
  <c r="AC47" i="10"/>
  <c r="AE47" i="10" s="1"/>
  <c r="R48" i="12"/>
  <c r="AA48" i="12" s="1"/>
  <c r="AE101" i="10" l="1"/>
  <c r="R104" i="12"/>
  <c r="AA103" i="12"/>
  <c r="R19" i="12"/>
  <c r="AA19" i="12" s="1"/>
  <c r="AA74" i="10"/>
  <c r="S75" i="12"/>
  <c r="S48" i="12"/>
  <c r="AA48" i="10"/>
  <c r="AA102" i="10" l="1"/>
  <c r="AC102" i="10" s="1"/>
  <c r="S104" i="12"/>
  <c r="D216" i="7"/>
  <c r="F215" i="7"/>
  <c r="L138" i="12"/>
  <c r="L168" i="12" s="1"/>
  <c r="AC74" i="10"/>
  <c r="AE74" i="10" s="1"/>
  <c r="R77" i="12"/>
  <c r="AA77" i="12" s="1"/>
  <c r="R49" i="12"/>
  <c r="AA49" i="12" s="1"/>
  <c r="AC48" i="10"/>
  <c r="AE48" i="10" s="1"/>
  <c r="AE102" i="10" l="1"/>
  <c r="R105" i="12"/>
  <c r="H215" i="7"/>
  <c r="R20" i="12"/>
  <c r="AA20" i="12" s="1"/>
  <c r="H216" i="7"/>
  <c r="N138" i="12"/>
  <c r="M168" i="12" s="1"/>
  <c r="S19" i="12"/>
  <c r="F216" i="7"/>
  <c r="AA75" i="10"/>
  <c r="S76" i="12"/>
  <c r="AA49" i="10"/>
  <c r="S49" i="12"/>
  <c r="AA103" i="10" l="1"/>
  <c r="AC103" i="10" s="1"/>
  <c r="S105" i="12"/>
  <c r="S20" i="12"/>
  <c r="D217" i="7"/>
  <c r="L139" i="12"/>
  <c r="L169" i="12" s="1"/>
  <c r="AA104" i="12"/>
  <c r="N139" i="12"/>
  <c r="M169" i="12" s="1"/>
  <c r="F217" i="7"/>
  <c r="AC75" i="10"/>
  <c r="AE75" i="10" s="1"/>
  <c r="R78" i="12"/>
  <c r="AA78" i="12" s="1"/>
  <c r="R50" i="12"/>
  <c r="AA50" i="12" s="1"/>
  <c r="AC49" i="10"/>
  <c r="AE49" i="10" s="1"/>
  <c r="AE103" i="10" l="1"/>
  <c r="R106" i="12"/>
  <c r="R21" i="12"/>
  <c r="AA21" i="12" s="1"/>
  <c r="N140" i="12"/>
  <c r="M170" i="12" s="1"/>
  <c r="AA105" i="12"/>
  <c r="L140" i="12"/>
  <c r="L170" i="12" s="1"/>
  <c r="D218" i="7"/>
  <c r="H217" i="7"/>
  <c r="S21" i="12"/>
  <c r="S77" i="12"/>
  <c r="AA76" i="10"/>
  <c r="AA50" i="10"/>
  <c r="S50" i="12"/>
  <c r="AA104" i="10" l="1"/>
  <c r="AC104" i="10" s="1"/>
  <c r="S106" i="12"/>
  <c r="F218" i="7"/>
  <c r="R22" i="12"/>
  <c r="AA22" i="12" s="1"/>
  <c r="AC76" i="10"/>
  <c r="AE76" i="10" s="1"/>
  <c r="R79" i="12"/>
  <c r="AA79" i="12" s="1"/>
  <c r="R51" i="12"/>
  <c r="AA51" i="12" s="1"/>
  <c r="AC50" i="10"/>
  <c r="AE50" i="10" s="1"/>
  <c r="AE104" i="10" l="1"/>
  <c r="R107" i="12"/>
  <c r="AA106" i="12"/>
  <c r="L141" i="12"/>
  <c r="L171" i="12" s="1"/>
  <c r="H218" i="7"/>
  <c r="S78" i="12"/>
  <c r="AA77" i="10"/>
  <c r="AA51" i="10"/>
  <c r="S51" i="12"/>
  <c r="AA105" i="10" l="1"/>
  <c r="AC105" i="10" s="1"/>
  <c r="S107" i="12"/>
  <c r="S22" i="12"/>
  <c r="D219" i="7"/>
  <c r="N141" i="12"/>
  <c r="M171" i="12" s="1"/>
  <c r="R23" i="12"/>
  <c r="AA23" i="12" s="1"/>
  <c r="R80" i="12"/>
  <c r="AA80" i="12" s="1"/>
  <c r="AC77" i="10"/>
  <c r="AE77" i="10" s="1"/>
  <c r="AC51" i="10"/>
  <c r="AE51" i="10" s="1"/>
  <c r="R52" i="12"/>
  <c r="AA52" i="12" s="1"/>
  <c r="R108" i="12" l="1"/>
  <c r="AE105" i="10"/>
  <c r="F219" i="7"/>
  <c r="N142" i="12"/>
  <c r="M172" i="12" s="1"/>
  <c r="AA107" i="12"/>
  <c r="L142" i="12"/>
  <c r="L172" i="12" s="1"/>
  <c r="S23" i="12"/>
  <c r="H219" i="7"/>
  <c r="AA78" i="10"/>
  <c r="S79" i="12"/>
  <c r="AA52" i="10"/>
  <c r="S52" i="12"/>
  <c r="AA106" i="10" l="1"/>
  <c r="AC106" i="10" s="1"/>
  <c r="S108" i="12"/>
  <c r="AA108" i="12"/>
  <c r="L143" i="12"/>
  <c r="L173" i="12" s="1"/>
  <c r="N143" i="12"/>
  <c r="M173" i="12" s="1"/>
  <c r="F220" i="7"/>
  <c r="D220" i="7"/>
  <c r="R24" i="12"/>
  <c r="AA24" i="12" s="1"/>
  <c r="H220" i="7"/>
  <c r="R81" i="12"/>
  <c r="AA81" i="12" s="1"/>
  <c r="AC78" i="10"/>
  <c r="AE78" i="10" s="1"/>
  <c r="R54" i="12"/>
  <c r="AA54" i="12" s="1"/>
  <c r="AC52" i="10"/>
  <c r="AE52" i="10" s="1"/>
  <c r="R53" i="12"/>
  <c r="AA53" i="12" s="1"/>
  <c r="AE106" i="10" l="1"/>
  <c r="R109" i="12"/>
  <c r="S24" i="12"/>
  <c r="D221" i="7"/>
  <c r="R25" i="12"/>
  <c r="AA25" i="12" s="1"/>
  <c r="AA79" i="10"/>
  <c r="S80" i="12"/>
  <c r="AA53" i="10"/>
  <c r="AC53" i="10" s="1"/>
  <c r="AE53" i="10" s="1"/>
  <c r="S53" i="12"/>
  <c r="AA107" i="10" l="1"/>
  <c r="AC107" i="10" s="1"/>
  <c r="S109" i="12"/>
  <c r="F221" i="7"/>
  <c r="L144" i="12"/>
  <c r="L174" i="12" s="1"/>
  <c r="AA109" i="12"/>
  <c r="AC79" i="10"/>
  <c r="AE79" i="10" s="1"/>
  <c r="R82" i="12"/>
  <c r="AA82" i="12" s="1"/>
  <c r="AA54" i="10"/>
  <c r="AC54" i="10" s="1"/>
  <c r="AE54" i="10" s="1"/>
  <c r="AG54" i="10" s="1"/>
  <c r="S54" i="12"/>
  <c r="AE107" i="10" l="1"/>
  <c r="S110" i="12" s="1"/>
  <c r="R110" i="12"/>
  <c r="N144" i="12"/>
  <c r="M174" i="12" s="1"/>
  <c r="D222" i="7"/>
  <c r="S25" i="12"/>
  <c r="H221" i="7"/>
  <c r="AA80" i="10"/>
  <c r="AC80" i="10" s="1"/>
  <c r="AE80" i="10" s="1"/>
  <c r="S81" i="12"/>
  <c r="R26" i="12" l="1"/>
  <c r="AA26" i="12" s="1"/>
  <c r="S82" i="12"/>
  <c r="AA81" i="10"/>
  <c r="AC81" i="10" s="1"/>
  <c r="AE81" i="10" s="1"/>
  <c r="AG81" i="10" s="1"/>
  <c r="F222" i="7" l="1"/>
  <c r="L145" i="12"/>
  <c r="L175" i="12" s="1"/>
  <c r="AA110" i="12"/>
  <c r="N145" i="12"/>
  <c r="M175" i="12" s="1"/>
  <c r="H222" i="7" l="1"/>
  <c r="S26" i="12"/>
  <c r="AA108" i="10" l="1"/>
  <c r="AC108" i="10" s="1"/>
  <c r="AE108" i="10" s="1"/>
  <c r="AG108"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<sst xmlns="http://schemas.openxmlformats.org/spreadsheetml/2006/main" count="3157" uniqueCount="360">
  <si>
    <t>Statewide</t>
  </si>
  <si>
    <t>Delivery Year</t>
  </si>
  <si>
    <t>Reference Year</t>
  </si>
  <si>
    <t>Utility</t>
  </si>
  <si>
    <t>Delivery Year
RPS Goal (%)</t>
  </si>
  <si>
    <t>Total Applicable Reference Year Delivered Volume (MWh)</t>
  </si>
  <si>
    <t>Overall
RPS Target
(RECs)</t>
  </si>
  <si>
    <t>RPS Rate Cap [$/MWh]</t>
  </si>
  <si>
    <t>Self Direct Rate Cap [$/MWh]</t>
  </si>
  <si>
    <t>Self Direct Delivered Volume (MWh)</t>
  </si>
  <si>
    <t>Self Direct Payment</t>
  </si>
  <si>
    <t>Delivery Year
RPS Budget ($)</t>
  </si>
  <si>
    <t>2017-2018</t>
  </si>
  <si>
    <t>2016-2017</t>
  </si>
  <si>
    <t>ALL</t>
  </si>
  <si>
    <t>2018-2019</t>
  </si>
  <si>
    <t>2019-2020</t>
  </si>
  <si>
    <t>2020-2021</t>
  </si>
  <si>
    <t>2021-2022</t>
  </si>
  <si>
    <t>2022-2023</t>
  </si>
  <si>
    <t>2023-2024</t>
  </si>
  <si>
    <t>*lowered by self-direct quantity</t>
  </si>
  <si>
    <t>2024-2025</t>
  </si>
  <si>
    <t>2025-2026</t>
  </si>
  <si>
    <t>2026-2027</t>
  </si>
  <si>
    <t>2027-2028</t>
  </si>
  <si>
    <t>2028-2029</t>
  </si>
  <si>
    <t>2029-2030</t>
  </si>
  <si>
    <t>2030-2031</t>
  </si>
  <si>
    <t>2031-2032</t>
  </si>
  <si>
    <t>2032-2033</t>
  </si>
  <si>
    <t>2033-2034</t>
  </si>
  <si>
    <t>2034-2035</t>
  </si>
  <si>
    <t>2035-2036</t>
  </si>
  <si>
    <t>2036-2037</t>
  </si>
  <si>
    <t>2037-2038</t>
  </si>
  <si>
    <t>2038-2039</t>
  </si>
  <si>
    <t>2039-2040</t>
  </si>
  <si>
    <t>2040-2041</t>
  </si>
  <si>
    <t>2041-2042</t>
  </si>
  <si>
    <t>2042-2043</t>
  </si>
  <si>
    <t>Ameren</t>
  </si>
  <si>
    <t>Total Applicable Reference Year Delivered Volume (MWh) Source: Utilities</t>
  </si>
  <si>
    <t>ComEd</t>
  </si>
  <si>
    <t>MidAmerican</t>
  </si>
  <si>
    <t>PROXY Applicable Reference Year Delivered Volume (MWh) = MWh volume times 26.0253830755776%</t>
  </si>
  <si>
    <t>MidAm Load Forecast</t>
  </si>
  <si>
    <t>Net Available ACPs ($) as of Aug 2023</t>
  </si>
  <si>
    <t>All Utilities</t>
  </si>
  <si>
    <t>ARES ACP balance</t>
  </si>
  <si>
    <t>Hourly ACPs</t>
  </si>
  <si>
    <t>committed HACP</t>
  </si>
  <si>
    <t>Uncommitted HACPs</t>
  </si>
  <si>
    <t>Total available</t>
  </si>
  <si>
    <t>Available Funds at start of DY (Collections + ACP)</t>
  </si>
  <si>
    <t>Forward Price Curve (8/1/23)</t>
  </si>
  <si>
    <t>Sensitivity Adjustment</t>
  </si>
  <si>
    <t>Utility Scale Wind</t>
  </si>
  <si>
    <t>forward price</t>
  </si>
  <si>
    <t>2022 Procurement</t>
  </si>
  <si>
    <t>2023 procurement</t>
  </si>
  <si>
    <t>2024 procurement</t>
  </si>
  <si>
    <t>Procurement Results</t>
  </si>
  <si>
    <t>2025 procurement</t>
  </si>
  <si>
    <t>2026 procurement</t>
  </si>
  <si>
    <t>2022 strike price</t>
  </si>
  <si>
    <t>2023 strike price</t>
  </si>
  <si>
    <t>2027 procurement</t>
  </si>
  <si>
    <t>2028 procurement</t>
  </si>
  <si>
    <t>2029 procurement</t>
  </si>
  <si>
    <t>Annual strike price increase</t>
  </si>
  <si>
    <t>2030 procurement</t>
  </si>
  <si>
    <t>2031 procurement</t>
  </si>
  <si>
    <t>2032 procurement</t>
  </si>
  <si>
    <t>2033 procurement</t>
  </si>
  <si>
    <t>2034 procurement</t>
  </si>
  <si>
    <t>2035 procurement</t>
  </si>
  <si>
    <t>2036 procurement</t>
  </si>
  <si>
    <t>2037 procurement</t>
  </si>
  <si>
    <t>2038 procurement</t>
  </si>
  <si>
    <t>2039 procurement</t>
  </si>
  <si>
    <t>2040 procurement</t>
  </si>
  <si>
    <t>Utility Scale Solar</t>
  </si>
  <si>
    <t>Brownfield</t>
  </si>
  <si>
    <t>REC Degredation Rate</t>
  </si>
  <si>
    <t>Catergory</t>
  </si>
  <si>
    <t>Year</t>
  </si>
  <si>
    <t>Utility Wind</t>
  </si>
  <si>
    <t>Utility Solar</t>
  </si>
  <si>
    <t>Total</t>
  </si>
  <si>
    <t>RECs Delivered</t>
  </si>
  <si>
    <t>Under Contract through 2023</t>
  </si>
  <si>
    <t>Projected</t>
  </si>
  <si>
    <t>23 TBD</t>
  </si>
  <si>
    <t>24-25 Plan</t>
  </si>
  <si>
    <t>26-27 Plan</t>
  </si>
  <si>
    <t>28-29 Plan</t>
  </si>
  <si>
    <t>30-31 Plan</t>
  </si>
  <si>
    <t>32-33 Plan</t>
  </si>
  <si>
    <t>34-35 Plan</t>
  </si>
  <si>
    <t>36-37 Plan</t>
  </si>
  <si>
    <t>38-39 Plan</t>
  </si>
  <si>
    <t>40-41 Plan</t>
  </si>
  <si>
    <t>Combined Spend</t>
  </si>
  <si>
    <t>REC Spend</t>
  </si>
  <si>
    <t xml:space="preserve">2024-2025 DY kW Capacity Size Distribution </t>
  </si>
  <si>
    <t>2024-2025 DY Block Size (kW)</t>
  </si>
  <si>
    <t>2025-2026 DY kW Capacity Size Distribution</t>
  </si>
  <si>
    <t>2025-2026 DY Block Size (kW)</t>
  </si>
  <si>
    <t>Capacity Factor</t>
  </si>
  <si>
    <t>2023-2024 REC Price</t>
  </si>
  <si>
    <t>2023-2024 Contract Values</t>
  </si>
  <si>
    <t>Proposed 2024 REC Price</t>
  </si>
  <si>
    <t>2025 REC Price</t>
  </si>
  <si>
    <t>2026 REC Price</t>
  </si>
  <si>
    <t>2027 REC Price</t>
  </si>
  <si>
    <t>2028 REC Price</t>
  </si>
  <si>
    <t>2029 REC Price</t>
  </si>
  <si>
    <t>2030 REC Price</t>
  </si>
  <si>
    <t>2031 REC Price</t>
  </si>
  <si>
    <t>2032 REC Price</t>
  </si>
  <si>
    <t>2033 REC Price</t>
  </si>
  <si>
    <t>2034 REC Price</t>
  </si>
  <si>
    <t>2035 REC Price</t>
  </si>
  <si>
    <t>2036 REC Price</t>
  </si>
  <si>
    <t>2037 REC Price</t>
  </si>
  <si>
    <t>2038 REC Price</t>
  </si>
  <si>
    <t>2039 REC Price</t>
  </si>
  <si>
    <t>2040 REC Price</t>
  </si>
  <si>
    <t>Activity Size kW / Total</t>
  </si>
  <si>
    <t>ABP Total</t>
  </si>
  <si>
    <t xml:space="preserve">SDG &lt; 25 kW </t>
  </si>
  <si>
    <t>SDG A</t>
  </si>
  <si>
    <t xml:space="preserve"> &lt; 10</t>
  </si>
  <si>
    <t xml:space="preserve"> &gt;10-25</t>
  </si>
  <si>
    <t xml:space="preserve">SDG B </t>
  </si>
  <si>
    <t>&lt; 10</t>
  </si>
  <si>
    <t>LDG &gt; 25 - 5000kW</t>
  </si>
  <si>
    <t xml:space="preserve">LDG A </t>
  </si>
  <si>
    <t>&gt;25-100</t>
  </si>
  <si>
    <t>&gt;100-200</t>
  </si>
  <si>
    <t>&gt;200-500</t>
  </si>
  <si>
    <t>&gt;500-2000</t>
  </si>
  <si>
    <t>&gt; 2000-5000</t>
  </si>
  <si>
    <t>LDG B</t>
  </si>
  <si>
    <t xml:space="preserve"> &gt;25-100</t>
  </si>
  <si>
    <t>Traditional Community Solar</t>
  </si>
  <si>
    <t>CS A</t>
  </si>
  <si>
    <t xml:space="preserve"> &gt;500-2000</t>
  </si>
  <si>
    <t>&gt;2000-5000</t>
  </si>
  <si>
    <t>CS B</t>
  </si>
  <si>
    <t>Public Schools</t>
  </si>
  <si>
    <t>Public Schools A</t>
  </si>
  <si>
    <t xml:space="preserve"> &gt; 25</t>
  </si>
  <si>
    <t>Public Schools B</t>
  </si>
  <si>
    <t>Community Driven Community Solar</t>
  </si>
  <si>
    <t>CD Community Solar A</t>
  </si>
  <si>
    <t>CD Community Solar B</t>
  </si>
  <si>
    <t>Equity Eligible Contractor</t>
  </si>
  <si>
    <t>EEC A</t>
  </si>
  <si>
    <t>EEC B</t>
  </si>
  <si>
    <t xml:space="preserve"> </t>
  </si>
  <si>
    <t>DY</t>
  </si>
  <si>
    <t>REC Price Annual Decrease</t>
  </si>
  <si>
    <t>REC Delivery Schedule</t>
  </si>
  <si>
    <t>2043-2044</t>
  </si>
  <si>
    <t>kW</t>
  </si>
  <si>
    <t>CF</t>
  </si>
  <si>
    <t>Total RECs</t>
  </si>
  <si>
    <t>Combined Total</t>
  </si>
  <si>
    <t>REC Payment Schedule</t>
  </si>
  <si>
    <t>REC $</t>
  </si>
  <si>
    <t>Total Spend</t>
  </si>
  <si>
    <t>Traditonal Community Solar</t>
  </si>
  <si>
    <t>2023 TBD</t>
  </si>
  <si>
    <t>Combined Delivery</t>
  </si>
  <si>
    <t>State</t>
  </si>
  <si>
    <t> </t>
  </si>
  <si>
    <t>*Only include data for projects ICC approved</t>
  </si>
  <si>
    <t xml:space="preserve"> SDG </t>
  </si>
  <si>
    <t xml:space="preserve"> LDG </t>
  </si>
  <si>
    <t xml:space="preserve"> TCS </t>
  </si>
  <si>
    <t xml:space="preserve"> Public Schools </t>
  </si>
  <si>
    <t xml:space="preserve"> CDCS </t>
  </si>
  <si>
    <t xml:space="preserve"> EEC </t>
  </si>
  <si>
    <t xml:space="preserve">                -   </t>
  </si>
  <si>
    <t xml:space="preserve"> $                       -  </t>
  </si>
  <si>
    <t xml:space="preserve"> $                     -  </t>
  </si>
  <si>
    <t xml:space="preserve"> $                        -  </t>
  </si>
  <si>
    <t xml:space="preserve">                           -  </t>
  </si>
  <si>
    <t xml:space="preserve">                   -  </t>
  </si>
  <si>
    <t xml:space="preserve"> $                           -  </t>
  </si>
  <si>
    <t xml:space="preserve"> $                         -  </t>
  </si>
  <si>
    <t>2043-2045</t>
  </si>
  <si>
    <t xml:space="preserve">                   -   </t>
  </si>
  <si>
    <t xml:space="preserve">  $                   -   </t>
  </si>
  <si>
    <t xml:space="preserve">  $            -   </t>
  </si>
  <si>
    <t>REC Deliveries</t>
  </si>
  <si>
    <t>Spending</t>
  </si>
  <si>
    <t xml:space="preserve"> $                   -  </t>
  </si>
  <si>
    <t xml:space="preserve"> $            -  </t>
  </si>
  <si>
    <t xml:space="preserve"> $                            -  </t>
  </si>
  <si>
    <t xml:space="preserve"> $                          -  </t>
  </si>
  <si>
    <t xml:space="preserve">                     -   </t>
  </si>
  <si>
    <t xml:space="preserve">  $                               </t>
  </si>
  <si>
    <t xml:space="preserve">  $                      </t>
  </si>
  <si>
    <t xml:space="preserve">  $               </t>
  </si>
  <si>
    <t>Under Contract</t>
  </si>
  <si>
    <t>Small DG</t>
  </si>
  <si>
    <t>Large DG</t>
  </si>
  <si>
    <t>Traditional CS</t>
  </si>
  <si>
    <t xml:space="preserve">ABP RECs under contract </t>
  </si>
  <si>
    <t>LTTPA Wind</t>
  </si>
  <si>
    <t>LTTPA Solar</t>
  </si>
  <si>
    <t>Legacy DG</t>
  </si>
  <si>
    <t>Wind Forward Procurement 2017-2019</t>
  </si>
  <si>
    <t>Solar Forward Procurement 2017-2019</t>
  </si>
  <si>
    <t>Indexed RECs Wind</t>
  </si>
  <si>
    <t>Indexed RECs Solar</t>
  </si>
  <si>
    <t>Indexed RECs Brownfield</t>
  </si>
  <si>
    <t>Illinois Solar for All</t>
  </si>
  <si>
    <t>Non -ABP RECs under contract</t>
  </si>
  <si>
    <t>Total Solar Under Contract</t>
  </si>
  <si>
    <t>Total Wind Under Contract</t>
  </si>
  <si>
    <t>Total Under Contract</t>
  </si>
  <si>
    <t>Coal to Solar</t>
  </si>
  <si>
    <t>ILSFA</t>
  </si>
  <si>
    <t>Projected REC</t>
  </si>
  <si>
    <t>Total Recs</t>
  </si>
  <si>
    <t>RPS %</t>
  </si>
  <si>
    <t>Solar</t>
  </si>
  <si>
    <t>Wind</t>
  </si>
  <si>
    <t>% Solar</t>
  </si>
  <si>
    <t>% Wind</t>
  </si>
  <si>
    <t xml:space="preserve">Wind Forward Procurement </t>
  </si>
  <si>
    <t>Solar Forward Procurement</t>
  </si>
  <si>
    <t>MidAm</t>
  </si>
  <si>
    <t>TCS</t>
  </si>
  <si>
    <t>CDCS</t>
  </si>
  <si>
    <t>EEC</t>
  </si>
  <si>
    <t>2010 LTTPAs</t>
  </si>
  <si>
    <t>Forward Procurements (2017-2019)</t>
  </si>
  <si>
    <t>Indexed REC Wind</t>
  </si>
  <si>
    <t>Indexed REC Solar</t>
  </si>
  <si>
    <t>Indexed REC Brownfield</t>
  </si>
  <si>
    <t>Admin (3%)</t>
  </si>
  <si>
    <t>Job Training</t>
  </si>
  <si>
    <t>Total Projected Spend</t>
  </si>
  <si>
    <t xml:space="preserve">Available Funds at start of DY (including ACP)
</t>
  </si>
  <si>
    <t>DY Collections (Source: Utilities)</t>
  </si>
  <si>
    <t xml:space="preserve">Available Funds at start of DY + Collections
</t>
  </si>
  <si>
    <t>EOY Balance</t>
  </si>
  <si>
    <t>Analysis Column</t>
  </si>
  <si>
    <t>Analysis Results</t>
  </si>
  <si>
    <t>Original Base Case</t>
  </si>
  <si>
    <t>ABP Under Contract</t>
  </si>
  <si>
    <t>Utility Scale Under Contract</t>
  </si>
  <si>
    <t>Total Future Plans</t>
  </si>
  <si>
    <t>Setasides and ILSFA</t>
  </si>
  <si>
    <t>Total Expenses</t>
  </si>
  <si>
    <t>Available Funds at start of DY + Collections</t>
  </si>
  <si>
    <t>23 In Progress</t>
  </si>
  <si>
    <t>Future Plans</t>
  </si>
  <si>
    <t>Set Asides</t>
  </si>
  <si>
    <t>Total Available Funds</t>
  </si>
  <si>
    <t>22-23 Plan To Be Filled</t>
  </si>
  <si>
    <t>In Progress</t>
  </si>
  <si>
    <t>Total Double Check</t>
  </si>
  <si>
    <t>Legacy Programs</t>
  </si>
  <si>
    <t>Potential Future Activities</t>
  </si>
  <si>
    <t>LTPPAs</t>
  </si>
  <si>
    <t>FIJA ABP</t>
  </si>
  <si>
    <t>2017-2019 Foreword Procurements</t>
  </si>
  <si>
    <t>CEJA ABP New Categories</t>
  </si>
  <si>
    <t>Subsequent Forward Procurement (Wind, Solar, and Brownfield)</t>
  </si>
  <si>
    <t>2024-2030 ABP</t>
  </si>
  <si>
    <t>2024-2030 Wind, Solar, and Brownfield</t>
  </si>
  <si>
    <t>Solar for All &amp; Admin and Job Training</t>
  </si>
  <si>
    <t>TEST Expenses</t>
  </si>
  <si>
    <t>Total Statewide REC Portfolio under contract</t>
  </si>
  <si>
    <t>Total Wind</t>
  </si>
  <si>
    <t>Total Solar</t>
  </si>
  <si>
    <t>Total All RECs</t>
  </si>
  <si>
    <t>W</t>
  </si>
  <si>
    <t>S</t>
  </si>
  <si>
    <t>B</t>
  </si>
  <si>
    <t>2020-21</t>
  </si>
  <si>
    <t>2021-22</t>
  </si>
  <si>
    <t>2022-23</t>
  </si>
  <si>
    <t>2023-24</t>
  </si>
  <si>
    <t>2024-25</t>
  </si>
  <si>
    <t>2025-26</t>
  </si>
  <si>
    <t>2026-27</t>
  </si>
  <si>
    <t>2027-28</t>
  </si>
  <si>
    <t>2028-29</t>
  </si>
  <si>
    <t>2029-30</t>
  </si>
  <si>
    <t>2030-31</t>
  </si>
  <si>
    <t>2031-32</t>
  </si>
  <si>
    <t>2032-33</t>
  </si>
  <si>
    <t>2033-34</t>
  </si>
  <si>
    <t>2034-35</t>
  </si>
  <si>
    <t>2035-36</t>
  </si>
  <si>
    <t>2036-37</t>
  </si>
  <si>
    <t>2037-38</t>
  </si>
  <si>
    <t>2038-39</t>
  </si>
  <si>
    <t>2039-40</t>
  </si>
  <si>
    <t>2040-41</t>
  </si>
  <si>
    <t>2041-42</t>
  </si>
  <si>
    <t>2042-43</t>
  </si>
  <si>
    <t>Figure 3.1</t>
  </si>
  <si>
    <t>Total Statewide  REC Portfolio</t>
  </si>
  <si>
    <t>Contracted Wind</t>
  </si>
  <si>
    <t>Contracted Solar</t>
  </si>
  <si>
    <t>Projected Wind</t>
  </si>
  <si>
    <t>Projected Solar</t>
  </si>
  <si>
    <t xml:space="preserve">Table 3.1 </t>
  </si>
  <si>
    <t xml:space="preserve">Delivery Year </t>
  </si>
  <si>
    <t>ComED</t>
  </si>
  <si>
    <t>Total Wind RECs</t>
  </si>
  <si>
    <t>Total Solar RECs</t>
  </si>
  <si>
    <t>Table 3.5</t>
  </si>
  <si>
    <t>FEJA Forward Procurements</t>
  </si>
  <si>
    <t>CEJA Indexed REC Procurements</t>
  </si>
  <si>
    <t>Overall RPS Target</t>
  </si>
  <si>
    <t>REC Shortfall</t>
  </si>
  <si>
    <t>Figure 3.2</t>
  </si>
  <si>
    <t>LTPPA RECs</t>
  </si>
  <si>
    <t>FEJA Wind and Solar Procurements</t>
  </si>
  <si>
    <t>ABP</t>
  </si>
  <si>
    <t>RPS REC Goal %</t>
  </si>
  <si>
    <t>Table 3-10</t>
  </si>
  <si>
    <t>Job Training (DCEO Budget)</t>
  </si>
  <si>
    <t>Administrative Expenses (3% of Annual RPS Budget)</t>
  </si>
  <si>
    <t>Total Set Asides</t>
  </si>
  <si>
    <t>2041-43</t>
  </si>
  <si>
    <t>2042-44</t>
  </si>
  <si>
    <t>Table 3-7</t>
  </si>
  <si>
    <t xml:space="preserve">Solar RECs  </t>
  </si>
  <si>
    <t>Wind RECs</t>
  </si>
  <si>
    <t>Combined Wind and Solar RECs</t>
  </si>
  <si>
    <t>Table 3-9</t>
  </si>
  <si>
    <t>Reference Year Forecasted Delivered Volume [MWh][1]</t>
  </si>
  <si>
    <t>Cost Cap Rate[2] [$/MWh]</t>
  </si>
  <si>
    <t>RPS Budget for 2024-2025 Delivery Year [$][3]</t>
  </si>
  <si>
    <t>Allocation Based on RPS Budget for 2024-2025 Delivery Year [%]</t>
  </si>
  <si>
    <t>Ameren Illinois</t>
  </si>
  <si>
    <t>MidAmerican[4]</t>
  </si>
  <si>
    <t>Delivery Year Starting Balance</t>
  </si>
  <si>
    <t>RPS Collections</t>
  </si>
  <si>
    <t>Total Funds Available</t>
  </si>
  <si>
    <t>Total Expenditures</t>
  </si>
  <si>
    <t>Delivery Year Ending Balance</t>
  </si>
  <si>
    <t>Table 3-13</t>
  </si>
  <si>
    <t>Base Case</t>
  </si>
  <si>
    <t>High Price Curve Scenario</t>
  </si>
  <si>
    <t>Low Price Curve Scenario</t>
  </si>
  <si>
    <t>[Note modeling +/- 13%</t>
  </si>
  <si>
    <t>high and low pasted value, won't update automatically</t>
  </si>
  <si>
    <t>2023-204 Remaining Capacity to Contract</t>
  </si>
  <si>
    <t>Table 3-12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</si>
</sst>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6" formatCode="&quot;$&quot;#,##0_);[Red]\(&quot;$&quot;#,##0\)"/>
    <numFmt numFmtId="8" formatCode="&quot;$&quot;#,##0.00_);[Red]\(&quot;$&quot;#,##0.00\)"/>
    <numFmt numFmtId="44" formatCode="_(&quot;$&quot;* #,##0.00_);_(&quot;$&quot;* \(#,##0.00\);_(&quot;$&quot;* &quot;-&quot;??_);_(@_)"/>
    <numFmt numFmtId="43" formatCode="_(* #,##0.00_);_(* \(#,##0.00\);_(* &quot;-&quot;??_);_(@_)"/>
    <numFmt numFmtId="164" formatCode="_(* #,##0_);_(* \(#,##0\);_(* &quot;-&quot;??_);_(@_)"/>
    <numFmt numFmtId="165" formatCode="&quot;$&quot;#,##0.00"/>
    <numFmt numFmtId="166" formatCode="&quot;$&quot;#,##0"/>
    <numFmt numFmtId="167" formatCode="0.0%"/>
    <numFmt numFmtId="168" formatCode="0.0000"/>
    <numFmt numFmtId="169" formatCode="0.0"/>
    <numFmt numFmtId="170" formatCode="0.0000000000"/>
    <numFmt numFmtId="171" formatCode="_(* #,##0.000_);_(* \(#,##0.000\);_(* &quot;-&quot;??_);_(@_)"/>
    <numFmt numFmtId="172" formatCode="_(&quot;$&quot;* #,##0_);_(&quot;$&quot;* \(#,##0\);_(&quot;$&quot;* &quot;-&quot;??_);_(@_)"/>
    <numFmt numFmtId="173" formatCode="_(&quot;$&quot;* #,##0.00000000_);_(&quot;$&quot;* \(#,##0.00000000\);_(&quot;$&quot;* &quot;-&quot;??_);_(@_)"/>
  </numFmts>
  <fonts count="31"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
      <sz val="12"/>
      <color theme="1"/>
      <name val="Calibri"/>
      <family val="2"/>
      <scheme val="minor"/>
    </font>
    <font>
      <b/>
      <sz val="11"/>
      <color rgb="FF000000"/>
      <name val="Calibri"/>
      <family val="2"/>
      <scheme val="minor"/>
    </font>
    <font>
      <b/>
      <sz val="9"/>
      <color rgb="FF000000"/>
      <name val="Calibri"/>
      <family val="2"/>
      <scheme val="minor"/>
    </font>
    <font>
      <sz val="11"/>
      <color theme="9"/>
      <name val="Calibri"/>
      <family val="2"/>
      <scheme val="minor"/>
    </font>
    <font>
      <sz val="11"/>
      <name val="Calibri"/>
      <family val="2"/>
      <scheme val="minor"/>
    </font>
    <font>
      <sz val="11"/>
      <color theme="8"/>
      <name val="Calibri"/>
      <family val="2"/>
      <scheme val="minor"/>
    </font>
    <font>
      <sz val="11"/>
      <color theme="8" tint="-0.499984740745262"/>
      <name val="Calibri"/>
      <family val="2"/>
      <scheme val="minor"/>
    </font>
    <font>
      <sz val="11"/>
      <color rgb="FFC00000"/>
      <name val="Calibri"/>
      <family val="2"/>
      <scheme val="minor"/>
    </font>
    <font>
      <sz val="8"/>
      <name val="Calibri"/>
      <family val="2"/>
      <scheme val="minor"/>
    </font>
    <font>
      <b/>
      <sz val="8"/>
      <color rgb="FF000000"/>
      <name val="Calibri"/>
      <family val="2"/>
    </font>
    <font>
      <sz val="8"/>
      <color rgb="FF000000"/>
      <name val="Calibri"/>
      <family val="2"/>
    </font>
    <font>
      <sz val="11"/>
      <color rgb="FF000000"/>
      <name val="Calibri"/>
      <family val="2"/>
    </font>
    <font>
      <sz val="11"/>
      <color rgb="FFFF0000"/>
      <name val="Calibri"/>
      <family val="2"/>
      <scheme val="minor"/>
    </font>
    <font>
      <sz val="14"/>
      <color theme="1"/>
      <name val="Calibri"/>
      <family val="2"/>
      <scheme val="minor"/>
    </font>
    <font>
      <sz val="14"/>
      <color rgb="FFFF0000"/>
      <name val="Calibri"/>
      <family val="2"/>
      <scheme val="minor"/>
    </font>
    <font>
      <b/>
      <sz val="11"/>
      <color rgb="FFFF0000"/>
      <name val="Calibri"/>
      <family val="2"/>
      <scheme val="minor"/>
    </font>
    <font>
      <u/>
      <sz val="11"/>
      <color theme="10"/>
      <name val="Calibri"/>
      <family val="2"/>
      <scheme val="minor"/>
    </font>
    <font>
      <sz val="11"/>
      <color theme="1"/>
      <name val="Cambria"/>
      <family val="1"/>
    </font>
    <font>
      <b/>
      <sz val="9"/>
      <color rgb="FF000000"/>
      <name val="Cambria"/>
      <family val="1"/>
    </font>
    <font>
      <sz val="11"/>
      <color rgb="FF000000"/>
      <name val="Cambria"/>
      <family val="1"/>
    </font>
    <font>
      <b/>
      <sz val="10"/>
      <color rgb="FF000000"/>
      <name val="Cambria"/>
      <family val="1"/>
    </font>
    <font>
      <sz val="10"/>
      <color theme="1"/>
      <name val="Arial"/>
      <family val="2"/>
    </font>
    <font>
      <sz val="11"/>
      <color rgb="FF000000"/>
      <name val="Calibri"/>
      <family val="2"/>
    </font>
    <font>
      <b/>
      <sz val="11"/>
      <color rgb="FF000000"/>
      <name val="Calibri"/>
      <family val="2"/>
    </font>
    <font>
      <sz val="14"/>
      <name val="Calibri"/>
      <family val="2"/>
      <scheme val="minor"/>
    </font>
    <font>
      <b/>
      <sz val="14"/>
      <name val="Calibri"/>
      <family val="2"/>
      <scheme val="minor"/>
    </font>
  </fonts>
  <fills count="16">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rgb="FF00B0F0"/>
        <bgColor indexed="64"/>
      </patternFill>
    </fill>
    <fill>
      <patternFill patternType="solid">
        <fgColor rgb="FFFFFF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D9D9D9"/>
        <bgColor indexed="64"/>
      </patternFill>
    </fill>
    <fill>
      <patternFill patternType="solid">
        <fgColor rgb="FFFFFFFF"/>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rgb="FFD9D9D9"/>
        <bgColor rgb="FF000000"/>
      </patternFill>
    </fill>
  </fills>
  <borders count="2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top/>
      <bottom style="medium">
        <color indexed="64"/>
      </bottom>
      <diagonal/>
    </border>
    <border>
      <left/>
      <right style="medium">
        <color indexed="64"/>
      </right>
      <top style="medium">
        <color indexed="64"/>
      </top>
      <bottom/>
      <diagonal/>
    </border>
    <border>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indexed="64"/>
      </right>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1" fillId="0" borderId="0" applyNumberFormat="0" applyFill="0" applyBorder="0" applyAlignment="0" applyProtection="0"/>
  </cellStyleXfs>
  <cellXfs count="317">
    <xf numFmtId="0" fontId="0" fillId="0" borderId="0" xfId="0"/>
    <xf numFmtId="0" fontId="2" fillId="0" borderId="0" xfId="0" applyFont="1"/>
    <xf numFmtId="0" fontId="3" fillId="2" borderId="1" xfId="0" applyFont="1" applyFill="1" applyBorder="1" applyAlignment="1">
      <alignment vertical="center" wrapText="1"/>
    </xf>
    <xf numFmtId="44" fontId="0" fillId="0" borderId="0" xfId="2" applyFont="1"/>
    <xf numFmtId="44" fontId="0" fillId="0" borderId="0" xfId="0" applyNumberFormat="1"/>
    <xf numFmtId="0" fontId="0" fillId="0" borderId="3" xfId="0" applyBorder="1"/>
    <xf numFmtId="0" fontId="0" fillId="0" borderId="4" xfId="0" applyBorder="1"/>
    <xf numFmtId="0" fontId="0" fillId="3" borderId="4" xfId="0" applyFill="1" applyBorder="1"/>
    <xf numFmtId="0" fontId="0" fillId="3" borderId="5" xfId="0" applyFill="1" applyBorder="1"/>
    <xf numFmtId="164" fontId="1" fillId="4" borderId="1" xfId="1" applyNumberFormat="1" applyFont="1" applyFill="1" applyBorder="1"/>
    <xf numFmtId="0" fontId="0" fillId="0" borderId="1" xfId="0" applyBorder="1" applyAlignment="1">
      <alignment horizontal="center"/>
    </xf>
    <xf numFmtId="0" fontId="5" fillId="2" borderId="1" xfId="0" applyFont="1" applyFill="1" applyBorder="1" applyAlignment="1">
      <alignment horizontal="center"/>
    </xf>
    <xf numFmtId="9" fontId="2" fillId="2" borderId="1" xfId="0" applyNumberFormat="1" applyFont="1" applyFill="1" applyBorder="1"/>
    <xf numFmtId="164" fontId="0" fillId="0" borderId="1" xfId="1" applyNumberFormat="1" applyFont="1" applyBorder="1"/>
    <xf numFmtId="0" fontId="2" fillId="5" borderId="1" xfId="0" applyFont="1" applyFill="1" applyBorder="1"/>
    <xf numFmtId="0" fontId="2" fillId="2" borderId="1" xfId="0" applyFont="1" applyFill="1" applyBorder="1" applyAlignment="1">
      <alignment horizontal="center" vertical="center" wrapText="1"/>
    </xf>
    <xf numFmtId="165" fontId="0" fillId="3" borderId="1" xfId="1" applyNumberFormat="1" applyFont="1" applyFill="1" applyBorder="1"/>
    <xf numFmtId="166" fontId="0" fillId="3" borderId="1" xfId="1" applyNumberFormat="1" applyFont="1" applyFill="1" applyBorder="1"/>
    <xf numFmtId="166" fontId="0" fillId="5" borderId="1" xfId="0" applyNumberFormat="1" applyFill="1" applyBorder="1"/>
    <xf numFmtId="166" fontId="0" fillId="0" borderId="0" xfId="0" applyNumberFormat="1"/>
    <xf numFmtId="0" fontId="0" fillId="3" borderId="1" xfId="0" applyFill="1" applyBorder="1"/>
    <xf numFmtId="3" fontId="0" fillId="0" borderId="0" xfId="0" applyNumberFormat="1"/>
    <xf numFmtId="10" fontId="2" fillId="0" borderId="1" xfId="0" applyNumberFormat="1" applyFont="1" applyBorder="1"/>
    <xf numFmtId="166" fontId="0" fillId="0" borderId="1" xfId="1" applyNumberFormat="1" applyFont="1" applyBorder="1"/>
    <xf numFmtId="0" fontId="2" fillId="6" borderId="1" xfId="0" applyFont="1" applyFill="1" applyBorder="1"/>
    <xf numFmtId="0" fontId="2" fillId="2" borderId="1" xfId="0" applyFont="1" applyFill="1" applyBorder="1" applyAlignment="1">
      <alignment wrapText="1"/>
    </xf>
    <xf numFmtId="43" fontId="0" fillId="2" borderId="1" xfId="1" applyFont="1" applyFill="1" applyBorder="1"/>
    <xf numFmtId="164" fontId="0" fillId="2" borderId="6" xfId="1" applyNumberFormat="1" applyFont="1" applyFill="1" applyBorder="1"/>
    <xf numFmtId="164" fontId="0" fillId="0" borderId="1" xfId="0" applyNumberFormat="1" applyBorder="1"/>
    <xf numFmtId="164" fontId="0" fillId="0" borderId="6" xfId="1" applyNumberFormat="1" applyFont="1" applyBorder="1"/>
    <xf numFmtId="43" fontId="0" fillId="3" borderId="1" xfId="1" applyFont="1" applyFill="1" applyBorder="1"/>
    <xf numFmtId="43" fontId="0" fillId="0" borderId="0" xfId="0" applyNumberFormat="1"/>
    <xf numFmtId="0" fontId="0" fillId="2" borderId="7" xfId="0" applyFill="1" applyBorder="1" applyAlignment="1">
      <alignment horizontal="center"/>
    </xf>
    <xf numFmtId="0" fontId="0" fillId="7" borderId="0" xfId="0" applyFill="1"/>
    <xf numFmtId="164" fontId="0" fillId="0" borderId="0" xfId="1" applyNumberFormat="1" applyFont="1" applyBorder="1"/>
    <xf numFmtId="0" fontId="0" fillId="2" borderId="0" xfId="0" applyFill="1" applyAlignment="1">
      <alignment horizontal="center" wrapText="1"/>
    </xf>
    <xf numFmtId="164" fontId="0" fillId="0" borderId="0" xfId="0" quotePrefix="1" applyNumberFormat="1"/>
    <xf numFmtId="37" fontId="0" fillId="0" borderId="1" xfId="0" applyNumberFormat="1" applyBorder="1"/>
    <xf numFmtId="164" fontId="0" fillId="0" borderId="1" xfId="3" applyNumberFormat="1" applyFont="1" applyBorder="1"/>
    <xf numFmtId="37" fontId="0" fillId="0" borderId="0" xfId="0" applyNumberFormat="1"/>
    <xf numFmtId="9" fontId="0" fillId="0" borderId="0" xfId="3" applyFont="1" applyBorder="1"/>
    <xf numFmtId="167" fontId="0" fillId="0" borderId="1" xfId="3" applyNumberFormat="1" applyFont="1" applyBorder="1"/>
    <xf numFmtId="166" fontId="0" fillId="0" borderId="1" xfId="2" applyNumberFormat="1" applyFont="1" applyBorder="1"/>
    <xf numFmtId="0" fontId="0" fillId="0" borderId="1" xfId="0" applyBorder="1" applyAlignment="1">
      <alignment horizontal="center" wrapText="1"/>
    </xf>
    <xf numFmtId="0" fontId="7" fillId="2" borderId="8" xfId="0" applyFont="1" applyFill="1" applyBorder="1" applyAlignment="1">
      <alignment horizontal="center" vertical="center" wrapText="1"/>
    </xf>
    <xf numFmtId="166" fontId="0" fillId="3" borderId="1" xfId="0" applyNumberFormat="1" applyFill="1" applyBorder="1"/>
    <xf numFmtId="37" fontId="8" fillId="0" borderId="1" xfId="0" applyNumberFormat="1" applyFont="1" applyBorder="1" applyAlignment="1">
      <alignment horizontal="center"/>
    </xf>
    <xf numFmtId="2" fontId="8" fillId="0" borderId="1" xfId="1" applyNumberFormat="1" applyFont="1" applyFill="1" applyBorder="1" applyAlignment="1">
      <alignment horizontal="center"/>
    </xf>
    <xf numFmtId="37" fontId="9" fillId="0" borderId="1" xfId="0" applyNumberFormat="1" applyFont="1" applyBorder="1" applyAlignment="1">
      <alignment horizontal="center"/>
    </xf>
    <xf numFmtId="37" fontId="9" fillId="4" borderId="1" xfId="0" applyNumberFormat="1" applyFont="1" applyFill="1" applyBorder="1"/>
    <xf numFmtId="167" fontId="10" fillId="0" borderId="1" xfId="0" applyNumberFormat="1" applyFont="1" applyBorder="1" applyAlignment="1">
      <alignment horizontal="center"/>
    </xf>
    <xf numFmtId="0" fontId="0" fillId="0" borderId="1" xfId="0" applyBorder="1" applyAlignment="1">
      <alignment horizontal="center" vertical="center" wrapText="1"/>
    </xf>
    <xf numFmtId="0" fontId="0" fillId="0" borderId="0" xfId="0" applyAlignment="1">
      <alignment horizontal="center"/>
    </xf>
    <xf numFmtId="0" fontId="11" fillId="0" borderId="0" xfId="0" applyFont="1" applyAlignment="1">
      <alignment horizontal="left" vertical="center"/>
    </xf>
    <xf numFmtId="0" fontId="8" fillId="0" borderId="1" xfId="2" applyNumberFormat="1" applyFont="1" applyFill="1" applyBorder="1" applyAlignment="1">
      <alignment horizontal="center"/>
    </xf>
    <xf numFmtId="3" fontId="9" fillId="3" borderId="1" xfId="0" applyNumberFormat="1" applyFont="1" applyFill="1" applyBorder="1" applyAlignment="1">
      <alignment horizontal="right"/>
    </xf>
    <xf numFmtId="37" fontId="8" fillId="0" borderId="0" xfId="0" applyNumberFormat="1" applyFont="1" applyAlignment="1">
      <alignment horizontal="center"/>
    </xf>
    <xf numFmtId="37" fontId="8" fillId="0" borderId="10" xfId="0" applyNumberFormat="1" applyFont="1" applyBorder="1" applyAlignment="1">
      <alignment horizontal="center"/>
    </xf>
    <xf numFmtId="37" fontId="8" fillId="0" borderId="7" xfId="0" applyNumberFormat="1" applyFont="1" applyBorder="1" applyAlignment="1">
      <alignment horizontal="center"/>
    </xf>
    <xf numFmtId="37" fontId="9" fillId="3" borderId="1" xfId="0" applyNumberFormat="1" applyFont="1" applyFill="1" applyBorder="1" applyAlignment="1">
      <alignment horizontal="right"/>
    </xf>
    <xf numFmtId="37" fontId="8" fillId="7" borderId="7" xfId="0" applyNumberFormat="1" applyFont="1" applyFill="1" applyBorder="1" applyAlignment="1">
      <alignment horizontal="center"/>
    </xf>
    <xf numFmtId="168" fontId="8" fillId="0" borderId="1" xfId="2" applyNumberFormat="1" applyFont="1" applyFill="1" applyBorder="1" applyAlignment="1">
      <alignment horizontal="center"/>
    </xf>
    <xf numFmtId="37" fontId="8" fillId="0" borderId="8" xfId="0" applyNumberFormat="1" applyFont="1" applyBorder="1" applyAlignment="1">
      <alignment horizontal="center"/>
    </xf>
    <xf numFmtId="14" fontId="0" fillId="7" borderId="0" xfId="0" applyNumberFormat="1" applyFill="1" applyAlignment="1">
      <alignment horizontal="center"/>
    </xf>
    <xf numFmtId="10" fontId="0" fillId="0" borderId="1" xfId="0" applyNumberFormat="1" applyBorder="1" applyAlignment="1">
      <alignment horizontal="center" vertical="center" wrapText="1"/>
    </xf>
    <xf numFmtId="169" fontId="0" fillId="0" borderId="0" xfId="0" applyNumberFormat="1"/>
    <xf numFmtId="0" fontId="8" fillId="0" borderId="0" xfId="2" applyNumberFormat="1" applyFont="1" applyFill="1" applyBorder="1" applyAlignment="1">
      <alignment horizontal="center"/>
    </xf>
    <xf numFmtId="37" fontId="9" fillId="0" borderId="0" xfId="0" applyNumberFormat="1" applyFont="1" applyAlignment="1">
      <alignment horizontal="center"/>
    </xf>
    <xf numFmtId="167" fontId="10" fillId="0" borderId="0" xfId="0" applyNumberFormat="1" applyFont="1" applyAlignment="1">
      <alignment horizontal="center"/>
    </xf>
    <xf numFmtId="37" fontId="9" fillId="3" borderId="1" xfId="0" applyNumberFormat="1" applyFont="1" applyFill="1" applyBorder="1"/>
    <xf numFmtId="164" fontId="9" fillId="3" borderId="1" xfId="1" applyNumberFormat="1" applyFont="1" applyFill="1" applyBorder="1"/>
    <xf numFmtId="37" fontId="12" fillId="0" borderId="0" xfId="0" applyNumberFormat="1" applyFont="1"/>
    <xf numFmtId="170" fontId="0" fillId="0" borderId="0" xfId="0" applyNumberFormat="1"/>
    <xf numFmtId="166" fontId="0" fillId="9" borderId="1" xfId="1" applyNumberFormat="1" applyFont="1" applyFill="1" applyBorder="1"/>
    <xf numFmtId="44" fontId="0" fillId="0" borderId="1" xfId="0" applyNumberFormat="1" applyBorder="1"/>
    <xf numFmtId="166" fontId="0" fillId="8" borderId="1" xfId="0" applyNumberFormat="1" applyFill="1" applyBorder="1"/>
    <xf numFmtId="0" fontId="2" fillId="7" borderId="1" xfId="0" applyFont="1" applyFill="1" applyBorder="1" applyAlignment="1">
      <alignment horizontal="center" vertical="center"/>
    </xf>
    <xf numFmtId="0" fontId="2" fillId="0" borderId="1" xfId="0" applyFont="1" applyBorder="1" applyAlignment="1">
      <alignment horizontal="center"/>
    </xf>
    <xf numFmtId="164" fontId="0" fillId="4" borderId="1" xfId="1" applyNumberFormat="1" applyFont="1" applyFill="1" applyBorder="1"/>
    <xf numFmtId="164" fontId="0" fillId="5" borderId="1" xfId="1" applyNumberFormat="1" applyFont="1" applyFill="1" applyBorder="1"/>
    <xf numFmtId="165" fontId="0" fillId="4" borderId="1" xfId="2" applyNumberFormat="1" applyFont="1" applyFill="1" applyBorder="1"/>
    <xf numFmtId="0" fontId="14" fillId="10" borderId="16" xfId="0" applyFont="1" applyFill="1" applyBorder="1" applyAlignment="1">
      <alignment vertical="center"/>
    </xf>
    <xf numFmtId="0" fontId="14" fillId="10" borderId="2" xfId="0" applyFont="1" applyFill="1" applyBorder="1" applyAlignment="1">
      <alignment horizontal="center" vertical="center" wrapText="1"/>
    </xf>
    <xf numFmtId="0" fontId="14" fillId="10" borderId="17" xfId="0" applyFont="1" applyFill="1" applyBorder="1" applyAlignment="1">
      <alignment horizontal="center" vertical="center" wrapText="1"/>
    </xf>
    <xf numFmtId="0" fontId="14" fillId="10" borderId="18" xfId="0" applyFont="1" applyFill="1" applyBorder="1" applyAlignment="1">
      <alignment horizontal="center" vertical="center" wrapText="1"/>
    </xf>
    <xf numFmtId="0" fontId="14" fillId="10" borderId="1" xfId="0" applyFont="1" applyFill="1" applyBorder="1" applyAlignment="1">
      <alignment vertical="center" wrapText="1"/>
    </xf>
    <xf numFmtId="0" fontId="14" fillId="10" borderId="1" xfId="0" applyFont="1" applyFill="1" applyBorder="1" applyAlignment="1">
      <alignment horizontal="center" vertical="center" wrapText="1"/>
    </xf>
    <xf numFmtId="0" fontId="15" fillId="0" borderId="2" xfId="0" applyFont="1" applyBorder="1" applyAlignment="1">
      <alignment vertical="center"/>
    </xf>
    <xf numFmtId="6" fontId="16" fillId="11" borderId="17" xfId="0" applyNumberFormat="1" applyFont="1" applyFill="1" applyBorder="1" applyAlignment="1">
      <alignment horizontal="right" vertical="center"/>
    </xf>
    <xf numFmtId="6" fontId="16" fillId="0" borderId="17" xfId="0" applyNumberFormat="1" applyFont="1" applyBorder="1" applyAlignment="1">
      <alignment horizontal="right" vertical="center"/>
    </xf>
    <xf numFmtId="0" fontId="15" fillId="0" borderId="16" xfId="0" applyFont="1" applyBorder="1" applyAlignment="1">
      <alignment vertical="center"/>
    </xf>
    <xf numFmtId="6" fontId="0" fillId="0" borderId="0" xfId="0" applyNumberFormat="1"/>
    <xf numFmtId="0" fontId="2" fillId="0" borderId="0" xfId="0" applyFont="1" applyAlignment="1">
      <alignment wrapText="1"/>
    </xf>
    <xf numFmtId="8" fontId="16" fillId="11" borderId="17" xfId="0" applyNumberFormat="1" applyFont="1" applyFill="1" applyBorder="1" applyAlignment="1">
      <alignment horizontal="right" vertical="center"/>
    </xf>
    <xf numFmtId="6" fontId="16" fillId="11" borderId="17" xfId="0" quotePrefix="1" applyNumberFormat="1" applyFont="1" applyFill="1" applyBorder="1" applyAlignment="1">
      <alignment horizontal="right" vertical="center"/>
    </xf>
    <xf numFmtId="0" fontId="0" fillId="0" borderId="0" xfId="2" applyNumberFormat="1" applyFont="1"/>
    <xf numFmtId="8" fontId="0" fillId="0" borderId="0" xfId="2" applyNumberFormat="1" applyFont="1"/>
    <xf numFmtId="43" fontId="0" fillId="0" borderId="0" xfId="1" applyFont="1"/>
    <xf numFmtId="0" fontId="2" fillId="8" borderId="1" xfId="0" applyFont="1" applyFill="1" applyBorder="1"/>
    <xf numFmtId="9" fontId="2" fillId="5" borderId="1" xfId="0" applyNumberFormat="1" applyFont="1" applyFill="1" applyBorder="1"/>
    <xf numFmtId="3" fontId="0" fillId="2" borderId="1" xfId="0" applyNumberFormat="1" applyFill="1" applyBorder="1"/>
    <xf numFmtId="3" fontId="0" fillId="5" borderId="1" xfId="0" applyNumberFormat="1" applyFill="1" applyBorder="1"/>
    <xf numFmtId="165" fontId="0" fillId="5" borderId="1" xfId="2" applyNumberFormat="1" applyFont="1" applyFill="1" applyBorder="1"/>
    <xf numFmtId="165" fontId="0" fillId="2" borderId="1" xfId="2" applyNumberFormat="1" applyFont="1" applyFill="1" applyBorder="1"/>
    <xf numFmtId="171" fontId="0" fillId="2" borderId="1" xfId="1" applyNumberFormat="1" applyFont="1" applyFill="1" applyBorder="1"/>
    <xf numFmtId="9" fontId="0" fillId="0" borderId="0" xfId="3" applyFont="1"/>
    <xf numFmtId="0" fontId="18" fillId="0" borderId="0" xfId="0" applyFont="1"/>
    <xf numFmtId="0" fontId="18" fillId="0" borderId="1" xfId="0" applyFont="1" applyBorder="1"/>
    <xf numFmtId="0" fontId="3" fillId="8" borderId="1" xfId="0" applyFont="1" applyFill="1" applyBorder="1"/>
    <xf numFmtId="164" fontId="18" fillId="3" borderId="1" xfId="1" applyNumberFormat="1" applyFont="1" applyFill="1" applyBorder="1" applyAlignment="1">
      <alignment horizontal="right"/>
    </xf>
    <xf numFmtId="3" fontId="18" fillId="2" borderId="1" xfId="0" applyNumberFormat="1" applyFont="1" applyFill="1" applyBorder="1"/>
    <xf numFmtId="0" fontId="3" fillId="5" borderId="1" xfId="0" applyFont="1" applyFill="1" applyBorder="1"/>
    <xf numFmtId="3" fontId="18" fillId="5" borderId="1" xfId="0" applyNumberFormat="1" applyFont="1" applyFill="1" applyBorder="1"/>
    <xf numFmtId="9" fontId="3" fillId="3" borderId="1" xfId="3" applyFont="1" applyFill="1" applyBorder="1"/>
    <xf numFmtId="164" fontId="18" fillId="5" borderId="1" xfId="1" applyNumberFormat="1" applyFont="1" applyFill="1" applyBorder="1"/>
    <xf numFmtId="165" fontId="18" fillId="5" borderId="1" xfId="2" applyNumberFormat="1" applyFont="1" applyFill="1" applyBorder="1"/>
    <xf numFmtId="0" fontId="18" fillId="2" borderId="1" xfId="0" applyFont="1" applyFill="1" applyBorder="1"/>
    <xf numFmtId="9" fontId="18" fillId="2" borderId="1" xfId="3" applyFont="1" applyFill="1" applyBorder="1" applyAlignment="1">
      <alignment horizontal="right" vertical="center"/>
    </xf>
    <xf numFmtId="164" fontId="18" fillId="2" borderId="1" xfId="1" applyNumberFormat="1" applyFont="1" applyFill="1" applyBorder="1"/>
    <xf numFmtId="166" fontId="18" fillId="2" borderId="1" xfId="0" applyNumberFormat="1" applyFont="1" applyFill="1" applyBorder="1"/>
    <xf numFmtId="9" fontId="18" fillId="3" borderId="1" xfId="3" applyFont="1" applyFill="1" applyBorder="1" applyAlignment="1">
      <alignment horizontal="right" vertical="center"/>
    </xf>
    <xf numFmtId="171" fontId="18" fillId="3" borderId="1" xfId="1" applyNumberFormat="1" applyFont="1" applyFill="1" applyBorder="1"/>
    <xf numFmtId="165" fontId="18" fillId="3" borderId="1" xfId="2" applyNumberFormat="1" applyFont="1" applyFill="1" applyBorder="1"/>
    <xf numFmtId="165" fontId="18" fillId="2" borderId="1" xfId="2" applyNumberFormat="1" applyFont="1" applyFill="1" applyBorder="1"/>
    <xf numFmtId="171" fontId="18" fillId="2" borderId="1" xfId="1" applyNumberFormat="1" applyFont="1" applyFill="1" applyBorder="1"/>
    <xf numFmtId="9" fontId="3" fillId="2" borderId="1" xfId="3" applyFont="1" applyFill="1" applyBorder="1"/>
    <xf numFmtId="0" fontId="3" fillId="2" borderId="1" xfId="0" applyFont="1" applyFill="1" applyBorder="1"/>
    <xf numFmtId="9" fontId="3" fillId="5" borderId="1" xfId="0" applyNumberFormat="1" applyFont="1" applyFill="1" applyBorder="1"/>
    <xf numFmtId="8" fontId="18" fillId="0" borderId="0" xfId="0" applyNumberFormat="1" applyFont="1"/>
    <xf numFmtId="0" fontId="19" fillId="0" borderId="0" xfId="0" applyFont="1"/>
    <xf numFmtId="3" fontId="19" fillId="2" borderId="1" xfId="0" applyNumberFormat="1" applyFont="1" applyFill="1" applyBorder="1"/>
    <xf numFmtId="165" fontId="19" fillId="5" borderId="1" xfId="2" applyNumberFormat="1" applyFont="1" applyFill="1" applyBorder="1"/>
    <xf numFmtId="165" fontId="19" fillId="2" borderId="1" xfId="2" applyNumberFormat="1" applyFont="1" applyFill="1" applyBorder="1"/>
    <xf numFmtId="8" fontId="19" fillId="0" borderId="0" xfId="0" applyNumberFormat="1" applyFont="1"/>
    <xf numFmtId="0" fontId="17" fillId="0" borderId="0" xfId="0" applyFont="1"/>
    <xf numFmtId="166" fontId="0" fillId="5" borderId="1" xfId="2" applyNumberFormat="1" applyFont="1" applyFill="1" applyBorder="1"/>
    <xf numFmtId="166" fontId="0" fillId="5" borderId="1" xfId="1" applyNumberFormat="1" applyFont="1" applyFill="1" applyBorder="1"/>
    <xf numFmtId="165" fontId="0" fillId="4" borderId="6" xfId="2" applyNumberFormat="1" applyFont="1" applyFill="1" applyBorder="1"/>
    <xf numFmtId="165" fontId="0" fillId="5" borderId="6" xfId="2" applyNumberFormat="1" applyFont="1" applyFill="1" applyBorder="1"/>
    <xf numFmtId="166" fontId="0" fillId="0" borderId="6" xfId="2" applyNumberFormat="1" applyFont="1" applyBorder="1"/>
    <xf numFmtId="166" fontId="0" fillId="2" borderId="1" xfId="2" applyNumberFormat="1" applyFont="1" applyFill="1" applyBorder="1"/>
    <xf numFmtId="166" fontId="0" fillId="4" borderId="6" xfId="2" applyNumberFormat="1" applyFont="1" applyFill="1" applyBorder="1"/>
    <xf numFmtId="166" fontId="0" fillId="2" borderId="6" xfId="2" applyNumberFormat="1" applyFont="1" applyFill="1" applyBorder="1"/>
    <xf numFmtId="166" fontId="0" fillId="2" borderId="6" xfId="0" applyNumberFormat="1" applyFill="1" applyBorder="1"/>
    <xf numFmtId="166" fontId="0" fillId="5" borderId="6" xfId="2" applyNumberFormat="1" applyFont="1" applyFill="1" applyBorder="1"/>
    <xf numFmtId="3" fontId="0" fillId="8" borderId="1" xfId="0" applyNumberFormat="1" applyFill="1" applyBorder="1"/>
    <xf numFmtId="166" fontId="0" fillId="12" borderId="1" xfId="0" applyNumberFormat="1" applyFill="1" applyBorder="1"/>
    <xf numFmtId="3" fontId="0" fillId="12" borderId="1" xfId="0" applyNumberFormat="1" applyFill="1" applyBorder="1"/>
    <xf numFmtId="43" fontId="2" fillId="0" borderId="1" xfId="0" applyNumberFormat="1" applyFont="1" applyBorder="1"/>
    <xf numFmtId="43" fontId="0" fillId="0" borderId="1" xfId="1" applyFont="1" applyBorder="1"/>
    <xf numFmtId="3" fontId="0" fillId="13" borderId="1" xfId="0" applyNumberFormat="1" applyFill="1" applyBorder="1"/>
    <xf numFmtId="171" fontId="0" fillId="4" borderId="1" xfId="1" applyNumberFormat="1" applyFont="1" applyFill="1" applyBorder="1"/>
    <xf numFmtId="43" fontId="0" fillId="13" borderId="1" xfId="1" applyFont="1" applyFill="1" applyBorder="1"/>
    <xf numFmtId="164" fontId="0" fillId="2" borderId="1" xfId="0" applyNumberFormat="1" applyFill="1" applyBorder="1"/>
    <xf numFmtId="164" fontId="0" fillId="13" borderId="1" xfId="0" applyNumberFormat="1" applyFill="1" applyBorder="1"/>
    <xf numFmtId="164" fontId="0" fillId="13" borderId="1" xfId="1" applyNumberFormat="1" applyFont="1" applyFill="1" applyBorder="1"/>
    <xf numFmtId="164" fontId="0" fillId="5" borderId="1" xfId="0" applyNumberFormat="1" applyFill="1" applyBorder="1"/>
    <xf numFmtId="171" fontId="0" fillId="5" borderId="1" xfId="1" applyNumberFormat="1" applyFont="1" applyFill="1" applyBorder="1"/>
    <xf numFmtId="171" fontId="0" fillId="0" borderId="1" xfId="1" applyNumberFormat="1" applyFont="1" applyBorder="1"/>
    <xf numFmtId="43" fontId="0" fillId="2" borderId="1" xfId="0" applyNumberFormat="1" applyFill="1" applyBorder="1"/>
    <xf numFmtId="164" fontId="0" fillId="12" borderId="1" xfId="1" applyNumberFormat="1" applyFont="1" applyFill="1" applyBorder="1"/>
    <xf numFmtId="0" fontId="2" fillId="12" borderId="1" xfId="0" applyFont="1" applyFill="1" applyBorder="1"/>
    <xf numFmtId="3" fontId="2" fillId="12" borderId="1" xfId="0" applyNumberFormat="1" applyFont="1" applyFill="1" applyBorder="1"/>
    <xf numFmtId="166" fontId="2" fillId="5" borderId="1" xfId="0" applyNumberFormat="1" applyFont="1" applyFill="1" applyBorder="1"/>
    <xf numFmtId="166" fontId="2" fillId="2" borderId="1" xfId="0" applyNumberFormat="1" applyFont="1" applyFill="1" applyBorder="1"/>
    <xf numFmtId="166" fontId="2" fillId="3" borderId="1" xfId="0" applyNumberFormat="1" applyFont="1" applyFill="1" applyBorder="1" applyAlignment="1">
      <alignment horizontal="center"/>
    </xf>
    <xf numFmtId="166" fontId="0" fillId="4" borderId="1" xfId="2" applyNumberFormat="1" applyFont="1" applyFill="1" applyBorder="1"/>
    <xf numFmtId="17" fontId="0" fillId="2" borderId="1" xfId="0" applyNumberFormat="1" applyFill="1" applyBorder="1"/>
    <xf numFmtId="164" fontId="0" fillId="4" borderId="1" xfId="0" applyNumberFormat="1" applyFill="1" applyBorder="1"/>
    <xf numFmtId="0" fontId="3" fillId="2" borderId="0" xfId="0" applyFont="1" applyFill="1" applyAlignment="1">
      <alignment vertical="center" wrapText="1"/>
    </xf>
    <xf numFmtId="0" fontId="0" fillId="3" borderId="0" xfId="0" applyFill="1"/>
    <xf numFmtId="43" fontId="0" fillId="3" borderId="0" xfId="1" applyFont="1" applyFill="1" applyBorder="1"/>
    <xf numFmtId="164" fontId="0" fillId="0" borderId="0" xfId="0" applyNumberFormat="1"/>
    <xf numFmtId="0" fontId="2" fillId="2" borderId="1" xfId="0" applyFont="1" applyFill="1" applyBorder="1" applyAlignment="1">
      <alignment horizontal="center" vertical="center"/>
    </xf>
    <xf numFmtId="164" fontId="0" fillId="2" borderId="1" xfId="1" applyNumberFormat="1" applyFont="1" applyFill="1" applyBorder="1"/>
    <xf numFmtId="166" fontId="0" fillId="2" borderId="1" xfId="1" applyNumberFormat="1" applyFont="1" applyFill="1" applyBorder="1"/>
    <xf numFmtId="166" fontId="0" fillId="2" borderId="1" xfId="0" applyNumberFormat="1" applyFill="1" applyBorder="1"/>
    <xf numFmtId="0" fontId="2" fillId="0" borderId="1" xfId="0" applyFont="1" applyBorder="1"/>
    <xf numFmtId="164" fontId="0" fillId="3" borderId="1" xfId="1" applyNumberFormat="1" applyFont="1" applyFill="1" applyBorder="1"/>
    <xf numFmtId="0" fontId="0" fillId="2" borderId="1" xfId="0" applyFill="1" applyBorder="1"/>
    <xf numFmtId="0" fontId="0" fillId="2" borderId="1" xfId="0" applyFill="1" applyBorder="1" applyAlignment="1">
      <alignment horizontal="center"/>
    </xf>
    <xf numFmtId="166" fontId="0" fillId="0" borderId="1" xfId="0" applyNumberFormat="1" applyBorder="1"/>
    <xf numFmtId="172" fontId="0" fillId="0" borderId="1" xfId="2" applyNumberFormat="1" applyFont="1" applyBorder="1"/>
    <xf numFmtId="0" fontId="9" fillId="0" borderId="0" xfId="0" applyFont="1"/>
    <xf numFmtId="0" fontId="2" fillId="2" borderId="1" xfId="0" applyFont="1" applyFill="1" applyBorder="1"/>
    <xf numFmtId="164" fontId="0" fillId="0" borderId="0" xfId="1" applyNumberFormat="1" applyFont="1"/>
    <xf numFmtId="164" fontId="0" fillId="2" borderId="0" xfId="1" applyNumberFormat="1" applyFont="1" applyFill="1" applyBorder="1"/>
    <xf numFmtId="164" fontId="0" fillId="3" borderId="0" xfId="1" applyNumberFormat="1" applyFont="1" applyFill="1" applyBorder="1"/>
    <xf numFmtId="172" fontId="0" fillId="0" borderId="0" xfId="2" applyNumberFormat="1" applyFont="1"/>
    <xf numFmtId="8" fontId="17" fillId="0" borderId="0" xfId="2" applyNumberFormat="1" applyFont="1"/>
    <xf numFmtId="0" fontId="2" fillId="0" borderId="7" xfId="0" applyFont="1" applyBorder="1"/>
    <xf numFmtId="0" fontId="0" fillId="14" borderId="0" xfId="0" applyFill="1"/>
    <xf numFmtId="9" fontId="0" fillId="2" borderId="1" xfId="3" applyFont="1" applyFill="1" applyBorder="1"/>
    <xf numFmtId="0" fontId="2" fillId="14" borderId="1" xfId="0" applyFont="1" applyFill="1" applyBorder="1"/>
    <xf numFmtId="172" fontId="0" fillId="2" borderId="1" xfId="2" applyNumberFormat="1" applyFont="1" applyFill="1" applyBorder="1"/>
    <xf numFmtId="166" fontId="0" fillId="14" borderId="1" xfId="1" applyNumberFormat="1" applyFont="1" applyFill="1" applyBorder="1"/>
    <xf numFmtId="166" fontId="0" fillId="14" borderId="1" xfId="0" applyNumberFormat="1" applyFill="1" applyBorder="1"/>
    <xf numFmtId="172" fontId="0" fillId="14" borderId="1" xfId="2" applyNumberFormat="1" applyFont="1" applyFill="1" applyBorder="1"/>
    <xf numFmtId="0" fontId="2" fillId="14" borderId="1" xfId="0" applyFont="1" applyFill="1" applyBorder="1" applyAlignment="1">
      <alignment horizontal="center" vertical="center" wrapText="1"/>
    </xf>
    <xf numFmtId="164" fontId="2" fillId="0" borderId="0" xfId="0" applyNumberFormat="1" applyFont="1"/>
    <xf numFmtId="164" fontId="17" fillId="0" borderId="0" xfId="1" applyNumberFormat="1" applyFont="1"/>
    <xf numFmtId="172" fontId="2" fillId="0" borderId="0" xfId="2" applyNumberFormat="1" applyFont="1"/>
    <xf numFmtId="0" fontId="14" fillId="10" borderId="19" xfId="0" applyFont="1" applyFill="1" applyBorder="1" applyAlignment="1">
      <alignment horizontal="center" vertical="center" wrapText="1"/>
    </xf>
    <xf numFmtId="0" fontId="14" fillId="10" borderId="6" xfId="0" applyFont="1" applyFill="1" applyBorder="1" applyAlignment="1">
      <alignment horizontal="center" vertical="center" wrapText="1"/>
    </xf>
    <xf numFmtId="0" fontId="15" fillId="0" borderId="17" xfId="0" applyFont="1" applyBorder="1" applyAlignment="1">
      <alignment vertical="center"/>
    </xf>
    <xf numFmtId="0" fontId="15" fillId="0" borderId="15" xfId="0" applyFont="1" applyBorder="1" applyAlignment="1">
      <alignment vertical="center"/>
    </xf>
    <xf numFmtId="172" fontId="0" fillId="3" borderId="1" xfId="2" applyNumberFormat="1" applyFont="1" applyFill="1" applyBorder="1"/>
    <xf numFmtId="172" fontId="0" fillId="5" borderId="1" xfId="2" applyNumberFormat="1" applyFont="1" applyFill="1" applyBorder="1"/>
    <xf numFmtId="172" fontId="0" fillId="8" borderId="1" xfId="2" applyNumberFormat="1" applyFont="1" applyFill="1" applyBorder="1"/>
    <xf numFmtId="0" fontId="20" fillId="2" borderId="1" xfId="0" applyFont="1" applyFill="1" applyBorder="1" applyAlignment="1">
      <alignment horizontal="center" vertical="center" wrapText="1"/>
    </xf>
    <xf numFmtId="172" fontId="18" fillId="0" borderId="0" xfId="2" applyNumberFormat="1" applyFont="1"/>
    <xf numFmtId="172" fontId="3" fillId="2" borderId="1" xfId="2" applyNumberFormat="1" applyFont="1" applyFill="1" applyBorder="1" applyAlignment="1">
      <alignment vertical="center" wrapText="1"/>
    </xf>
    <xf numFmtId="172" fontId="18" fillId="2" borderId="1" xfId="2" applyNumberFormat="1" applyFont="1" applyFill="1" applyBorder="1"/>
    <xf numFmtId="172" fontId="18" fillId="5" borderId="1" xfId="2" applyNumberFormat="1" applyFont="1" applyFill="1" applyBorder="1"/>
    <xf numFmtId="172" fontId="18" fillId="3" borderId="1" xfId="2" applyNumberFormat="1" applyFont="1" applyFill="1" applyBorder="1"/>
    <xf numFmtId="172" fontId="3" fillId="2" borderId="1" xfId="2" applyNumberFormat="1" applyFont="1" applyFill="1" applyBorder="1"/>
    <xf numFmtId="172" fontId="3" fillId="5" borderId="1" xfId="2" applyNumberFormat="1" applyFont="1" applyFill="1" applyBorder="1"/>
    <xf numFmtId="172" fontId="17" fillId="0" borderId="0" xfId="2" applyNumberFormat="1" applyFont="1"/>
    <xf numFmtId="167" fontId="0" fillId="0" borderId="0" xfId="0" applyNumberFormat="1"/>
    <xf numFmtId="9" fontId="0" fillId="7" borderId="0" xfId="3" applyFont="1" applyFill="1"/>
    <xf numFmtId="0" fontId="4" fillId="2" borderId="1" xfId="0" applyFont="1" applyFill="1" applyBorder="1" applyAlignment="1">
      <alignment horizontal="center"/>
    </xf>
    <xf numFmtId="0" fontId="0" fillId="0" borderId="1" xfId="0" applyBorder="1"/>
    <xf numFmtId="6" fontId="0" fillId="0" borderId="1" xfId="0" applyNumberFormat="1" applyBorder="1"/>
    <xf numFmtId="3" fontId="0" fillId="0" borderId="1" xfId="0" applyNumberFormat="1" applyBorder="1"/>
    <xf numFmtId="0" fontId="23" fillId="10" borderId="16" xfId="0" applyFont="1" applyFill="1" applyBorder="1" applyAlignment="1">
      <alignment horizontal="center" vertical="center" wrapText="1"/>
    </xf>
    <xf numFmtId="0" fontId="23" fillId="10" borderId="15" xfId="0" applyFont="1" applyFill="1" applyBorder="1" applyAlignment="1">
      <alignment horizontal="center" vertical="center" wrapText="1"/>
    </xf>
    <xf numFmtId="0" fontId="21" fillId="10" borderId="15" xfId="4" applyFill="1" applyBorder="1" applyAlignment="1">
      <alignment horizontal="center" vertical="center" wrapText="1"/>
    </xf>
    <xf numFmtId="0" fontId="24" fillId="10" borderId="2" xfId="0" applyFont="1" applyFill="1" applyBorder="1" applyAlignment="1">
      <alignment horizontal="right" vertical="center" wrapText="1"/>
    </xf>
    <xf numFmtId="3" fontId="22" fillId="0" borderId="17" xfId="0" applyNumberFormat="1" applyFont="1" applyBorder="1" applyAlignment="1">
      <alignment horizontal="right" vertical="center" wrapText="1"/>
    </xf>
    <xf numFmtId="8" fontId="22" fillId="0" borderId="17" xfId="0" applyNumberFormat="1" applyFont="1" applyBorder="1" applyAlignment="1">
      <alignment horizontal="right" vertical="center" wrapText="1"/>
    </xf>
    <xf numFmtId="6" fontId="22" fillId="0" borderId="17" xfId="0" applyNumberFormat="1" applyFont="1" applyBorder="1" applyAlignment="1">
      <alignment horizontal="right" vertical="center" wrapText="1"/>
    </xf>
    <xf numFmtId="10" fontId="22" fillId="0" borderId="17" xfId="0" applyNumberFormat="1" applyFont="1" applyBorder="1" applyAlignment="1">
      <alignment horizontal="right" vertical="center" wrapText="1"/>
    </xf>
    <xf numFmtId="0" fontId="21" fillId="10" borderId="2" xfId="4" applyFill="1" applyBorder="1" applyAlignment="1">
      <alignment horizontal="right" vertical="center" wrapText="1"/>
    </xf>
    <xf numFmtId="0" fontId="14" fillId="10" borderId="0" xfId="0" applyFont="1" applyFill="1" applyAlignment="1">
      <alignment horizontal="center" vertical="center" wrapText="1"/>
    </xf>
    <xf numFmtId="0" fontId="25" fillId="10" borderId="16" xfId="0" applyFont="1" applyFill="1" applyBorder="1" applyAlignment="1">
      <alignment horizontal="center" vertical="center" wrapText="1"/>
    </xf>
    <xf numFmtId="0" fontId="25" fillId="10" borderId="20" xfId="0" applyFont="1" applyFill="1" applyBorder="1" applyAlignment="1">
      <alignment horizontal="center" vertical="center" wrapText="1"/>
    </xf>
    <xf numFmtId="0" fontId="25" fillId="10" borderId="1" xfId="0" applyFont="1" applyFill="1" applyBorder="1" applyAlignment="1">
      <alignment horizontal="center" vertical="center" wrapText="1"/>
    </xf>
    <xf numFmtId="166" fontId="0" fillId="9" borderId="0" xfId="1" applyNumberFormat="1" applyFont="1" applyFill="1" applyBorder="1"/>
    <xf numFmtId="166" fontId="0" fillId="3" borderId="0" xfId="0" applyNumberFormat="1" applyFill="1"/>
    <xf numFmtId="172" fontId="26" fillId="0" borderId="8" xfId="2" applyNumberFormat="1" applyFont="1" applyFill="1" applyBorder="1"/>
    <xf numFmtId="0" fontId="2" fillId="2" borderId="1" xfId="0" applyFont="1" applyFill="1" applyBorder="1" applyAlignment="1">
      <alignment horizontal="center"/>
    </xf>
    <xf numFmtId="0" fontId="14" fillId="10" borderId="15" xfId="0" applyFont="1" applyFill="1" applyBorder="1" applyAlignment="1">
      <alignment horizontal="center" vertical="center"/>
    </xf>
    <xf numFmtId="0" fontId="14" fillId="10" borderId="12" xfId="0" applyFont="1" applyFill="1" applyBorder="1" applyAlignment="1">
      <alignment horizontal="center" vertical="center"/>
    </xf>
    <xf numFmtId="165" fontId="0" fillId="0" borderId="0" xfId="0" applyNumberFormat="1"/>
    <xf numFmtId="165" fontId="0" fillId="0" borderId="0" xfId="2" applyNumberFormat="1" applyFont="1"/>
    <xf numFmtId="0" fontId="9" fillId="0" borderId="1" xfId="2" applyNumberFormat="1" applyFont="1" applyFill="1" applyBorder="1" applyAlignment="1">
      <alignment horizontal="center"/>
    </xf>
    <xf numFmtId="6" fontId="27" fillId="11" borderId="17" xfId="0" applyNumberFormat="1" applyFont="1" applyFill="1" applyBorder="1" applyAlignment="1">
      <alignment horizontal="right" vertical="center"/>
    </xf>
    <xf numFmtId="8" fontId="0" fillId="0" borderId="0" xfId="0" applyNumberFormat="1"/>
    <xf numFmtId="164" fontId="0" fillId="0" borderId="1" xfId="1" applyNumberFormat="1" applyFont="1" applyFill="1" applyBorder="1"/>
    <xf numFmtId="164" fontId="1" fillId="0" borderId="1" xfId="1" applyNumberFormat="1" applyFont="1" applyFill="1" applyBorder="1"/>
    <xf numFmtId="0" fontId="14" fillId="10" borderId="6" xfId="0" applyFont="1" applyFill="1" applyBorder="1" applyAlignment="1">
      <alignment vertical="center" wrapText="1"/>
    </xf>
    <xf numFmtId="0" fontId="0" fillId="14" borderId="1" xfId="0" applyFill="1" applyBorder="1"/>
    <xf numFmtId="165" fontId="0" fillId="14" borderId="1" xfId="0" applyNumberFormat="1" applyFill="1" applyBorder="1"/>
    <xf numFmtId="0" fontId="0" fillId="0" borderId="21" xfId="0" applyBorder="1"/>
    <xf numFmtId="0" fontId="6" fillId="8" borderId="7" xfId="0" applyFont="1" applyFill="1" applyBorder="1" applyAlignment="1">
      <alignment horizontal="center" vertical="center" wrapText="1"/>
    </xf>
    <xf numFmtId="166" fontId="0" fillId="0" borderId="21" xfId="0" applyNumberFormat="1" applyBorder="1"/>
    <xf numFmtId="166" fontId="2" fillId="0" borderId="1" xfId="0" applyNumberFormat="1" applyFont="1" applyBorder="1"/>
    <xf numFmtId="172" fontId="2" fillId="0" borderId="1" xfId="2" applyNumberFormat="1" applyFont="1" applyBorder="1"/>
    <xf numFmtId="0" fontId="2" fillId="0" borderId="0" xfId="0" applyFont="1" applyAlignment="1">
      <alignment horizontal="center" vertical="center" wrapText="1"/>
    </xf>
    <xf numFmtId="0" fontId="28" fillId="15" borderId="1" xfId="0" applyFont="1" applyFill="1" applyBorder="1" applyAlignment="1"/>
    <xf numFmtId="0" fontId="28" fillId="15" borderId="6" xfId="0" applyFont="1" applyFill="1" applyBorder="1" applyAlignment="1"/>
    <xf numFmtId="0" fontId="16" fillId="0" borderId="0" xfId="0" applyFont="1" applyFill="1" applyBorder="1" applyAlignment="1"/>
    <xf numFmtId="0" fontId="28" fillId="15" borderId="0" xfId="0" applyFont="1" applyFill="1" applyBorder="1" applyAlignment="1"/>
    <xf numFmtId="0" fontId="28" fillId="15" borderId="10" xfId="0" applyFont="1" applyFill="1" applyBorder="1" applyAlignment="1"/>
    <xf numFmtId="0" fontId="28" fillId="15" borderId="22" xfId="0" applyFont="1" applyFill="1" applyBorder="1" applyAlignment="1"/>
    <xf numFmtId="0" fontId="16" fillId="0" borderId="10" xfId="0" applyFont="1" applyFill="1" applyBorder="1" applyAlignment="1"/>
    <xf numFmtId="0" fontId="16" fillId="0" borderId="22" xfId="0" applyFont="1" applyFill="1" applyBorder="1" applyAlignment="1"/>
    <xf numFmtId="0" fontId="16" fillId="0" borderId="6" xfId="0" applyFont="1" applyFill="1" applyBorder="1" applyAlignment="1"/>
    <xf numFmtId="3" fontId="16" fillId="0" borderId="22" xfId="0" applyNumberFormat="1" applyFont="1" applyFill="1" applyBorder="1" applyAlignment="1"/>
    <xf numFmtId="6" fontId="16" fillId="0" borderId="22" xfId="0" applyNumberFormat="1" applyFont="1" applyFill="1" applyBorder="1" applyAlignment="1"/>
    <xf numFmtId="0" fontId="28" fillId="0" borderId="0" xfId="0" applyFont="1" applyFill="1" applyBorder="1" applyAlignment="1"/>
    <xf numFmtId="0" fontId="28" fillId="15" borderId="23" xfId="0" applyFont="1" applyFill="1" applyBorder="1" applyAlignment="1"/>
    <xf numFmtId="0" fontId="16" fillId="0" borderId="23" xfId="0" applyFont="1" applyFill="1" applyBorder="1" applyAlignment="1"/>
    <xf numFmtId="3" fontId="16" fillId="0" borderId="23" xfId="0" applyNumberFormat="1" applyFont="1" applyFill="1" applyBorder="1" applyAlignment="1"/>
    <xf numFmtId="0" fontId="28" fillId="15" borderId="24" xfId="0" applyFont="1" applyFill="1" applyBorder="1" applyAlignment="1"/>
    <xf numFmtId="0" fontId="16" fillId="0" borderId="24" xfId="0" applyFont="1" applyFill="1" applyBorder="1" applyAlignment="1"/>
    <xf numFmtId="0" fontId="28" fillId="15" borderId="25" xfId="0" applyFont="1" applyFill="1" applyBorder="1" applyAlignment="1"/>
    <xf numFmtId="0" fontId="16" fillId="0" borderId="26" xfId="0" applyFont="1" applyFill="1" applyBorder="1" applyAlignment="1"/>
    <xf numFmtId="0" fontId="16" fillId="0" borderId="21" xfId="0" applyFont="1" applyFill="1" applyBorder="1" applyAlignment="1"/>
    <xf numFmtId="0" fontId="16" fillId="0" borderId="27" xfId="0" applyFont="1" applyFill="1" applyBorder="1" applyAlignment="1"/>
    <xf numFmtId="164" fontId="29" fillId="0" borderId="0" xfId="1" applyNumberFormat="1" applyFont="1"/>
    <xf numFmtId="164" fontId="30" fillId="2" borderId="1" xfId="1" applyNumberFormat="1" applyFont="1" applyFill="1" applyBorder="1" applyAlignment="1">
      <alignment vertical="center" wrapText="1"/>
    </xf>
    <xf numFmtId="164" fontId="29" fillId="2" borderId="1" xfId="1" applyNumberFormat="1" applyFont="1" applyFill="1" applyBorder="1"/>
    <xf numFmtId="164" fontId="29" fillId="5" borderId="1" xfId="1" applyNumberFormat="1" applyFont="1" applyFill="1" applyBorder="1"/>
    <xf numFmtId="164" fontId="30" fillId="3" borderId="1" xfId="1" applyNumberFormat="1" applyFont="1" applyFill="1" applyBorder="1"/>
    <xf numFmtId="164" fontId="29" fillId="3" borderId="1" xfId="1" applyNumberFormat="1" applyFont="1" applyFill="1" applyBorder="1"/>
    <xf numFmtId="164" fontId="30" fillId="2" borderId="1" xfId="1" applyNumberFormat="1" applyFont="1" applyFill="1" applyBorder="1"/>
    <xf numFmtId="164" fontId="30" fillId="5" borderId="1" xfId="1" applyNumberFormat="1" applyFont="1" applyFill="1" applyBorder="1"/>
    <xf numFmtId="164" fontId="9" fillId="0" borderId="0" xfId="1" applyNumberFormat="1" applyFont="1"/>
    <xf numFmtId="165" fontId="29" fillId="5" borderId="1" xfId="2" applyNumberFormat="1" applyFont="1" applyFill="1" applyBorder="1"/>
    <xf numFmtId="166" fontId="29" fillId="2" borderId="1" xfId="0" applyNumberFormat="1" applyFont="1" applyFill="1" applyBorder="1"/>
    <xf numFmtId="165" fontId="29" fillId="3" borderId="1" xfId="2" applyNumberFormat="1" applyFont="1" applyFill="1" applyBorder="1"/>
    <xf numFmtId="165" fontId="29" fillId="2" borderId="1" xfId="2" applyNumberFormat="1" applyFont="1" applyFill="1" applyBorder="1"/>
    <xf numFmtId="0" fontId="29" fillId="0" borderId="0" xfId="0" applyFont="1"/>
    <xf numFmtId="0" fontId="30" fillId="2" borderId="1" xfId="0" applyFont="1" applyFill="1" applyBorder="1" applyAlignment="1">
      <alignment vertical="center" wrapText="1"/>
    </xf>
    <xf numFmtId="3" fontId="9" fillId="0" borderId="1" xfId="1" applyNumberFormat="1" applyFont="1" applyFill="1" applyBorder="1" applyAlignment="1">
      <alignment horizontal="center"/>
    </xf>
    <xf numFmtId="172" fontId="9" fillId="0" borderId="1" xfId="2" applyNumberFormat="1" applyFont="1" applyFill="1" applyBorder="1" applyAlignment="1">
      <alignment horizontal="center"/>
    </xf>
    <xf numFmtId="0" fontId="9" fillId="0" borderId="1" xfId="1" applyNumberFormat="1" applyFont="1" applyFill="1" applyBorder="1" applyAlignment="1">
      <alignment horizontal="center"/>
    </xf>
    <xf numFmtId="173" fontId="9" fillId="0" borderId="1" xfId="2" applyNumberFormat="1" applyFont="1" applyFill="1" applyBorder="1" applyAlignment="1">
      <alignment horizontal="center"/>
    </xf>
    <xf numFmtId="37" fontId="8" fillId="7" borderId="1" xfId="0" applyNumberFormat="1" applyFont="1" applyFill="1" applyBorder="1" applyAlignment="1">
      <alignment horizontal="center"/>
    </xf>
    <xf numFmtId="164" fontId="0" fillId="0" borderId="1" xfId="0" applyNumberFormat="1" applyFont="1" applyBorder="1"/>
    <xf numFmtId="0" fontId="2" fillId="0" borderId="0" xfId="0" applyFont="1" applyAlignment="1">
      <alignment horizontal="center"/>
    </xf>
    <xf numFmtId="0" fontId="2" fillId="2" borderId="1" xfId="0" applyFont="1" applyFill="1" applyBorder="1" applyAlignment="1">
      <alignment horizontal="center"/>
    </xf>
    <xf numFmtId="0" fontId="0" fillId="0" borderId="9" xfId="0" applyBorder="1" applyAlignment="1">
      <alignment horizontal="center"/>
    </xf>
    <xf numFmtId="0" fontId="0" fillId="0" borderId="6" xfId="0" applyBorder="1" applyAlignment="1">
      <alignment horizontal="center"/>
    </xf>
    <xf numFmtId="0" fontId="2" fillId="2" borderId="8"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9" xfId="0" applyFont="1" applyFill="1" applyBorder="1" applyAlignment="1">
      <alignment horizontal="center"/>
    </xf>
    <xf numFmtId="0" fontId="2" fillId="2" borderId="6" xfId="0" applyFont="1" applyFill="1" applyBorder="1" applyAlignment="1">
      <alignment horizontal="center"/>
    </xf>
    <xf numFmtId="0" fontId="14" fillId="10" borderId="11" xfId="0" applyFont="1" applyFill="1" applyBorder="1" applyAlignment="1">
      <alignment horizontal="center" vertical="center" wrapText="1"/>
    </xf>
    <xf numFmtId="0" fontId="14" fillId="10" borderId="12" xfId="0" applyFont="1" applyFill="1" applyBorder="1" applyAlignment="1">
      <alignment horizontal="center" vertical="center" wrapText="1"/>
    </xf>
    <xf numFmtId="0" fontId="14" fillId="10" borderId="13" xfId="0" applyFont="1" applyFill="1" applyBorder="1" applyAlignment="1">
      <alignment horizontal="center" vertical="center" wrapText="1"/>
    </xf>
    <xf numFmtId="0" fontId="14" fillId="10" borderId="14" xfId="0" applyFont="1" applyFill="1" applyBorder="1" applyAlignment="1">
      <alignment horizontal="center" vertical="center" wrapText="1"/>
    </xf>
    <xf numFmtId="0" fontId="14" fillId="10" borderId="11" xfId="0" applyFont="1" applyFill="1" applyBorder="1" applyAlignment="1">
      <alignment horizontal="center" vertical="center"/>
    </xf>
    <xf numFmtId="0" fontId="14" fillId="10" borderId="15" xfId="0" applyFont="1" applyFill="1" applyBorder="1" applyAlignment="1">
      <alignment horizontal="center" vertical="center"/>
    </xf>
    <xf numFmtId="0" fontId="14" fillId="10" borderId="12" xfId="0" applyFont="1" applyFill="1" applyBorder="1" applyAlignment="1">
      <alignment horizontal="center" vertical="center"/>
    </xf>
    <xf numFmtId="0" fontId="14" fillId="10" borderId="15" xfId="0" applyFont="1" applyFill="1" applyBorder="1" applyAlignment="1">
      <alignment horizontal="center" vertical="center" wrapText="1"/>
    </xf>
  </cellXfs>
  <cellStyles count="5">
    <cellStyle name="Comma" xfId="1" builtinId="3"/>
    <cellStyle name="Currency" xfId="2" builtinId="4"/>
    <cellStyle name="Hyperlink" xfId="4" builtinId="8"/>
    <cellStyle name="Normal" xfId="0" builtinId="0"/>
    <cellStyle name="Percent" xfId="3" builtinId="5"/>
  </cellStyles>
  <dxfs count="0"/>
  <tableStyles count="1" defaultTableStyle="TableStyleMedium2" defaultPivotStyle="PivotStyleLight16">
    <tableStyle name="Invisible" pivot="0" table="0" count="0" xr9:uid="{1FAEDFDD-50B1-4394-A1E1-8BCE99C0CF6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2107866402198004E-2"/>
          <c:y val="2.8552906560708559E-2"/>
          <c:w val="0.87712696157425818"/>
          <c:h val="0.7555489796663355"/>
        </c:manualLayout>
      </c:layout>
      <c:barChart>
        <c:barDir val="col"/>
        <c:grouping val="stacked"/>
        <c:varyColors val="0"/>
        <c:ser>
          <c:idx val="0"/>
          <c:order val="0"/>
          <c:tx>
            <c:strRef>
              <c:f>'Ch. 3 Tables and Graphs'!$D$113</c:f>
              <c:strCache>
                <c:ptCount val="1"/>
                <c:pt idx="0">
                  <c:v>LTPPA RECs</c:v>
                </c:pt>
              </c:strCache>
            </c:strRef>
          </c:tx>
          <c:spPr>
            <a:solidFill>
              <a:schemeClr val="accent1"/>
            </a:solidFill>
            <a:ln>
              <a:noFill/>
            </a:ln>
            <a:effectLst/>
          </c:spPr>
          <c:invertIfNegative val="0"/>
          <c:cat>
            <c:strRef>
              <c:f>'Ch. 3 Tables and Graphs'!$C$114:$C$136</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Graphs'!$D$114:$D$136</c:f>
              <c:numCache>
                <c:formatCode>_(* #,##0_);_(* \(#,##0\);_(* "-"??_);_(@_)</c:formatCode>
                <c:ptCount val="23"/>
                <c:pt idx="0">
                  <c:v>1861725</c:v>
                </c:pt>
                <c:pt idx="1">
                  <c:v>1861725</c:v>
                </c:pt>
                <c:pt idx="2">
                  <c:v>1861725</c:v>
                </c:pt>
                <c:pt idx="3">
                  <c:v>1861725</c:v>
                </c:pt>
                <c:pt idx="4">
                  <c:v>1861725</c:v>
                </c:pt>
                <c:pt idx="5">
                  <c:v>1861725</c:v>
                </c:pt>
                <c:pt idx="6">
                  <c:v>1861725</c:v>
                </c:pt>
                <c:pt idx="7">
                  <c:v>1861725</c:v>
                </c:pt>
                <c:pt idx="8">
                  <c:v>1861725</c:v>
                </c:pt>
                <c:pt idx="9">
                  <c:v>1861725</c:v>
                </c:pt>
                <c:pt idx="10">
                  <c:v>1861725</c:v>
                </c:pt>
                <c:pt idx="11">
                  <c:v>1861725</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AE13-492D-AD72-5140A3FF2BF2}"/>
            </c:ext>
          </c:extLst>
        </c:ser>
        <c:ser>
          <c:idx val="2"/>
          <c:order val="1"/>
          <c:tx>
            <c:strRef>
              <c:f>'Ch. 3 Tables and Graphs'!$F$113</c:f>
              <c:strCache>
                <c:ptCount val="1"/>
                <c:pt idx="0">
                  <c:v>ABP</c:v>
                </c:pt>
              </c:strCache>
            </c:strRef>
          </c:tx>
          <c:spPr>
            <a:solidFill>
              <a:schemeClr val="accent6">
                <a:lumMod val="75000"/>
              </a:schemeClr>
            </a:solidFill>
            <a:ln>
              <a:noFill/>
            </a:ln>
            <a:effectLst/>
          </c:spPr>
          <c:invertIfNegative val="0"/>
          <c:val>
            <c:numRef>
              <c:f>'Ch. 3 Tables and Graphs'!$F$114:$F$135</c:f>
              <c:numCache>
                <c:formatCode>_(* #,##0_);_(* \(#,##0\);_(* "-"??_);_(@_)</c:formatCode>
                <c:ptCount val="22"/>
                <c:pt idx="0">
                  <c:v>162380</c:v>
                </c:pt>
                <c:pt idx="1">
                  <c:v>548672</c:v>
                </c:pt>
                <c:pt idx="2">
                  <c:v>761948</c:v>
                </c:pt>
                <c:pt idx="3">
                  <c:v>1156913</c:v>
                </c:pt>
                <c:pt idx="4">
                  <c:v>1885102</c:v>
                </c:pt>
                <c:pt idx="5">
                  <c:v>3076226</c:v>
                </c:pt>
                <c:pt idx="6">
                  <c:v>3066527</c:v>
                </c:pt>
                <c:pt idx="7">
                  <c:v>3057107</c:v>
                </c:pt>
                <c:pt idx="8">
                  <c:v>3047772</c:v>
                </c:pt>
                <c:pt idx="9">
                  <c:v>3038413</c:v>
                </c:pt>
                <c:pt idx="10">
                  <c:v>3029040</c:v>
                </c:pt>
                <c:pt idx="11">
                  <c:v>3019887</c:v>
                </c:pt>
                <c:pt idx="12">
                  <c:v>3010421</c:v>
                </c:pt>
                <c:pt idx="13">
                  <c:v>3001250</c:v>
                </c:pt>
                <c:pt idx="14">
                  <c:v>2851999</c:v>
                </c:pt>
                <c:pt idx="15">
                  <c:v>2832281</c:v>
                </c:pt>
                <c:pt idx="16">
                  <c:v>2497855</c:v>
                </c:pt>
                <c:pt idx="17">
                  <c:v>2407085</c:v>
                </c:pt>
                <c:pt idx="18">
                  <c:v>2347323</c:v>
                </c:pt>
                <c:pt idx="19">
                  <c:v>2095422</c:v>
                </c:pt>
                <c:pt idx="20">
                  <c:v>1972602</c:v>
                </c:pt>
                <c:pt idx="21">
                  <c:v>1936522</c:v>
                </c:pt>
              </c:numCache>
            </c:numRef>
          </c:val>
          <c:extLst>
            <c:ext xmlns:c16="http://schemas.microsoft.com/office/drawing/2014/chart" uri="{C3380CC4-5D6E-409C-BE32-E72D297353CC}">
              <c16:uniqueId val="{00000000-65DE-425A-9569-EDE95F155FD6}"/>
            </c:ext>
          </c:extLst>
        </c:ser>
        <c:ser>
          <c:idx val="1"/>
          <c:order val="2"/>
          <c:tx>
            <c:strRef>
              <c:f>'Ch. 3 Tables and Graphs'!$E$113</c:f>
              <c:strCache>
                <c:ptCount val="1"/>
                <c:pt idx="0">
                  <c:v>FEJA Wind and Solar Procurements</c:v>
                </c:pt>
              </c:strCache>
            </c:strRef>
          </c:tx>
          <c:spPr>
            <a:solidFill>
              <a:schemeClr val="accent2"/>
            </a:solidFill>
            <a:ln>
              <a:noFill/>
            </a:ln>
            <a:effectLst/>
          </c:spPr>
          <c:invertIfNegative val="0"/>
          <c:cat>
            <c:strRef>
              <c:f>'Ch. 3 Tables and Graphs'!$C$114:$C$136</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Graphs'!$E$114:$E$136</c:f>
              <c:numCache>
                <c:formatCode>_(* #,##0_);_(* \(#,##0\);_(* "-"??_);_(@_)</c:formatCode>
                <c:ptCount val="23"/>
                <c:pt idx="0">
                  <c:v>754313.29229999997</c:v>
                </c:pt>
                <c:pt idx="1">
                  <c:v>2992839.5745999999</c:v>
                </c:pt>
                <c:pt idx="2">
                  <c:v>4061148.5745999999</c:v>
                </c:pt>
                <c:pt idx="3">
                  <c:v>4061148.5745999999</c:v>
                </c:pt>
                <c:pt idx="4">
                  <c:v>4061148.5745999999</c:v>
                </c:pt>
                <c:pt idx="5">
                  <c:v>4061148.5745999999</c:v>
                </c:pt>
                <c:pt idx="6">
                  <c:v>4061148.5745999999</c:v>
                </c:pt>
                <c:pt idx="7">
                  <c:v>4061148.5745999999</c:v>
                </c:pt>
                <c:pt idx="8">
                  <c:v>4061148.5745999999</c:v>
                </c:pt>
                <c:pt idx="9">
                  <c:v>4061148.5745999999</c:v>
                </c:pt>
                <c:pt idx="10">
                  <c:v>4061148.5745999999</c:v>
                </c:pt>
                <c:pt idx="11">
                  <c:v>4061148.5745999999</c:v>
                </c:pt>
                <c:pt idx="12">
                  <c:v>4061148.5745999999</c:v>
                </c:pt>
                <c:pt idx="13">
                  <c:v>3631148.5745999999</c:v>
                </c:pt>
                <c:pt idx="14">
                  <c:v>3631148.5745999999</c:v>
                </c:pt>
                <c:pt idx="15">
                  <c:v>3324562.2823000001</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AE13-492D-AD72-5140A3FF2BF2}"/>
            </c:ext>
          </c:extLst>
        </c:ser>
        <c:ser>
          <c:idx val="3"/>
          <c:order val="3"/>
          <c:tx>
            <c:strRef>
              <c:f>'Ch. 3 Tables and Graphs'!$G$113</c:f>
              <c:strCache>
                <c:ptCount val="1"/>
                <c:pt idx="0">
                  <c:v>Coal to Solar</c:v>
                </c:pt>
              </c:strCache>
            </c:strRef>
          </c:tx>
          <c:spPr>
            <a:solidFill>
              <a:schemeClr val="tx2">
                <a:lumMod val="60000"/>
                <a:lumOff val="40000"/>
              </a:schemeClr>
            </a:solidFill>
            <a:ln>
              <a:noFill/>
            </a:ln>
            <a:effectLst/>
          </c:spPr>
          <c:invertIfNegative val="0"/>
          <c:cat>
            <c:strRef>
              <c:f>'Ch. 3 Tables and Graphs'!$C$114:$C$136</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Graphs'!$G$114:$G$136</c:f>
              <c:numCache>
                <c:formatCode>_(* #,##0_);_(* \(#,##0\);_(* "-"??_);_(@_)</c:formatCode>
                <c:ptCount val="23"/>
                <c:pt idx="0">
                  <c:v>0</c:v>
                </c:pt>
                <c:pt idx="1">
                  <c:v>0</c:v>
                </c:pt>
                <c:pt idx="2">
                  <c:v>0</c:v>
                </c:pt>
                <c:pt idx="3">
                  <c:v>0</c:v>
                </c:pt>
                <c:pt idx="4">
                  <c:v>0</c:v>
                </c:pt>
                <c:pt idx="5">
                  <c:v>464564</c:v>
                </c:pt>
                <c:pt idx="6">
                  <c:v>464564</c:v>
                </c:pt>
                <c:pt idx="7">
                  <c:v>464564</c:v>
                </c:pt>
                <c:pt idx="8">
                  <c:v>464564</c:v>
                </c:pt>
                <c:pt idx="9">
                  <c:v>464564</c:v>
                </c:pt>
                <c:pt idx="10">
                  <c:v>464564</c:v>
                </c:pt>
                <c:pt idx="11">
                  <c:v>464564</c:v>
                </c:pt>
                <c:pt idx="12">
                  <c:v>464564</c:v>
                </c:pt>
                <c:pt idx="13">
                  <c:v>464564</c:v>
                </c:pt>
                <c:pt idx="14">
                  <c:v>464564</c:v>
                </c:pt>
                <c:pt idx="15">
                  <c:v>464564</c:v>
                </c:pt>
                <c:pt idx="16">
                  <c:v>464564</c:v>
                </c:pt>
                <c:pt idx="17">
                  <c:v>464564</c:v>
                </c:pt>
                <c:pt idx="18">
                  <c:v>464564</c:v>
                </c:pt>
                <c:pt idx="19">
                  <c:v>464564</c:v>
                </c:pt>
                <c:pt idx="20">
                  <c:v>464564</c:v>
                </c:pt>
                <c:pt idx="21">
                  <c:v>464564</c:v>
                </c:pt>
                <c:pt idx="22">
                  <c:v>464564</c:v>
                </c:pt>
              </c:numCache>
            </c:numRef>
          </c:val>
          <c:extLst>
            <c:ext xmlns:c16="http://schemas.microsoft.com/office/drawing/2014/chart" uri="{C3380CC4-5D6E-409C-BE32-E72D297353CC}">
              <c16:uniqueId val="{00000003-AE13-492D-AD72-5140A3FF2BF2}"/>
            </c:ext>
          </c:extLst>
        </c:ser>
        <c:ser>
          <c:idx val="4"/>
          <c:order val="4"/>
          <c:tx>
            <c:strRef>
              <c:f>'Ch. 3 Tables and Graphs'!$H$113</c:f>
              <c:strCache>
                <c:ptCount val="1"/>
                <c:pt idx="0">
                  <c:v>CEJA Indexed REC Procurements</c:v>
                </c:pt>
              </c:strCache>
            </c:strRef>
          </c:tx>
          <c:spPr>
            <a:solidFill>
              <a:schemeClr val="accent4"/>
            </a:solidFill>
            <a:ln>
              <a:noFill/>
            </a:ln>
            <a:effectLst/>
          </c:spPr>
          <c:invertIfNegative val="0"/>
          <c:cat>
            <c:strRef>
              <c:f>'Ch. 3 Tables and Graphs'!$C$114:$C$136</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Graphs'!$H$114:$H$136</c:f>
              <c:numCache>
                <c:formatCode>_(* #,##0_);_(* \(#,##0\);_(* "-"??_);_(@_)</c:formatCode>
                <c:ptCount val="23"/>
                <c:pt idx="0">
                  <c:v>0</c:v>
                </c:pt>
                <c:pt idx="1">
                  <c:v>0</c:v>
                </c:pt>
                <c:pt idx="2">
                  <c:v>0</c:v>
                </c:pt>
                <c:pt idx="3">
                  <c:v>0</c:v>
                </c:pt>
                <c:pt idx="4">
                  <c:v>0</c:v>
                </c:pt>
                <c:pt idx="5">
                  <c:v>2409391</c:v>
                </c:pt>
                <c:pt idx="6">
                  <c:v>3541214.0449999999</c:v>
                </c:pt>
                <c:pt idx="7">
                  <c:v>3525807.9747749995</c:v>
                </c:pt>
                <c:pt idx="8">
                  <c:v>3510478.9349011253</c:v>
                </c:pt>
                <c:pt idx="9">
                  <c:v>3495226.5402266192</c:v>
                </c:pt>
                <c:pt idx="10">
                  <c:v>3480050.4075254863</c:v>
                </c:pt>
                <c:pt idx="11">
                  <c:v>3464950.1554878587</c:v>
                </c:pt>
                <c:pt idx="12">
                  <c:v>3449925.4047104195</c:v>
                </c:pt>
                <c:pt idx="13">
                  <c:v>3434975.7776868669</c:v>
                </c:pt>
                <c:pt idx="14">
                  <c:v>3420100.8987984322</c:v>
                </c:pt>
                <c:pt idx="15">
                  <c:v>3405300.3943044404</c:v>
                </c:pt>
                <c:pt idx="16">
                  <c:v>3390573.8923329185</c:v>
                </c:pt>
                <c:pt idx="17">
                  <c:v>3375921.022871254</c:v>
                </c:pt>
                <c:pt idx="18">
                  <c:v>3361341.4177568979</c:v>
                </c:pt>
                <c:pt idx="19">
                  <c:v>3346834.7106681131</c:v>
                </c:pt>
                <c:pt idx="20">
                  <c:v>3332400.5371147725</c:v>
                </c:pt>
                <c:pt idx="21">
                  <c:v>3318038.5344291986</c:v>
                </c:pt>
                <c:pt idx="22">
                  <c:v>3303748.3417570521</c:v>
                </c:pt>
              </c:numCache>
            </c:numRef>
          </c:val>
          <c:extLst>
            <c:ext xmlns:c16="http://schemas.microsoft.com/office/drawing/2014/chart" uri="{C3380CC4-5D6E-409C-BE32-E72D297353CC}">
              <c16:uniqueId val="{00000004-AE13-492D-AD72-5140A3FF2BF2}"/>
            </c:ext>
          </c:extLst>
        </c:ser>
        <c:ser>
          <c:idx val="5"/>
          <c:order val="5"/>
          <c:tx>
            <c:strRef>
              <c:f>'Ch. 3 Tables and Graphs'!$J$113</c:f>
              <c:strCache>
                <c:ptCount val="1"/>
                <c:pt idx="0">
                  <c:v>REC Shortfall</c:v>
                </c:pt>
              </c:strCache>
            </c:strRef>
          </c:tx>
          <c:spPr>
            <a:solidFill>
              <a:schemeClr val="bg2">
                <a:lumMod val="75000"/>
              </a:schemeClr>
            </a:solidFill>
            <a:ln>
              <a:noFill/>
            </a:ln>
            <a:effectLst/>
          </c:spPr>
          <c:invertIfNegative val="0"/>
          <c:cat>
            <c:strRef>
              <c:f>'Ch. 3 Tables and Graphs'!$C$114:$C$136</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Graphs'!$J$114:$J$136</c:f>
              <c:numCache>
                <c:formatCode>_(* #,##0_);_(* \(#,##0\);_(* "-"??_);_(@_)</c:formatCode>
                <c:ptCount val="23"/>
                <c:pt idx="0">
                  <c:v>18370763.866490033</c:v>
                </c:pt>
                <c:pt idx="1">
                  <c:v>17382216.110223208</c:v>
                </c:pt>
                <c:pt idx="2">
                  <c:v>17977155.567767411</c:v>
                </c:pt>
                <c:pt idx="3">
                  <c:v>18942818.813541267</c:v>
                </c:pt>
                <c:pt idx="4">
                  <c:v>19792430.013787385</c:v>
                </c:pt>
                <c:pt idx="5">
                  <c:v>17129235.460256889</c:v>
                </c:pt>
                <c:pt idx="6">
                  <c:v>19276188.017928444</c:v>
                </c:pt>
                <c:pt idx="7">
                  <c:v>22698113.5528621</c:v>
                </c:pt>
                <c:pt idx="8">
                  <c:v>26274008.070087943</c:v>
                </c:pt>
                <c:pt idx="9">
                  <c:v>29793499.391729951</c:v>
                </c:pt>
                <c:pt idx="10">
                  <c:v>33554847.976775348</c:v>
                </c:pt>
                <c:pt idx="11">
                  <c:v>34890771.638913661</c:v>
                </c:pt>
                <c:pt idx="12">
                  <c:v>38171090.356313363</c:v>
                </c:pt>
                <c:pt idx="13">
                  <c:v>39890515.701120391</c:v>
                </c:pt>
                <c:pt idx="14">
                  <c:v>41451586.519401804</c:v>
                </c:pt>
                <c:pt idx="15">
                  <c:v>43156450.157880187</c:v>
                </c:pt>
                <c:pt idx="16">
                  <c:v>48266823.282685712</c:v>
                </c:pt>
                <c:pt idx="17">
                  <c:v>49721238.317093484</c:v>
                </c:pt>
                <c:pt idx="18">
                  <c:v>51322041.533619232</c:v>
                </c:pt>
                <c:pt idx="19">
                  <c:v>53104806.556707188</c:v>
                </c:pt>
                <c:pt idx="20">
                  <c:v>54841024.629749566</c:v>
                </c:pt>
                <c:pt idx="21">
                  <c:v>55075483.813092321</c:v>
                </c:pt>
                <c:pt idx="22">
                  <c:v>57213738.437989876</c:v>
                </c:pt>
              </c:numCache>
            </c:numRef>
          </c:val>
          <c:extLst>
            <c:ext xmlns:c16="http://schemas.microsoft.com/office/drawing/2014/chart" uri="{C3380CC4-5D6E-409C-BE32-E72D297353CC}">
              <c16:uniqueId val="{00000005-AE13-492D-AD72-5140A3FF2BF2}"/>
            </c:ext>
          </c:extLst>
        </c:ser>
        <c:dLbls>
          <c:showLegendKey val="0"/>
          <c:showVal val="0"/>
          <c:showCatName val="0"/>
          <c:showSerName val="0"/>
          <c:showPercent val="0"/>
          <c:showBubbleSize val="0"/>
        </c:dLbls>
        <c:gapWidth val="150"/>
        <c:overlap val="100"/>
        <c:axId val="764494072"/>
        <c:axId val="764491120"/>
      </c:barChart>
      <c:lineChart>
        <c:grouping val="standard"/>
        <c:varyColors val="0"/>
        <c:ser>
          <c:idx val="6"/>
          <c:order val="6"/>
          <c:tx>
            <c:strRef>
              <c:f>'Ch. 3 Tables and Graphs'!$K$113</c:f>
              <c:strCache>
                <c:ptCount val="1"/>
                <c:pt idx="0">
                  <c:v>RPS REC Goal %</c:v>
                </c:pt>
              </c:strCache>
            </c:strRef>
          </c:tx>
          <c:spPr>
            <a:ln w="28575" cap="rnd">
              <a:solidFill>
                <a:schemeClr val="accent6"/>
              </a:solidFill>
              <a:round/>
            </a:ln>
            <a:effectLst/>
          </c:spPr>
          <c:marker>
            <c:symbol val="none"/>
          </c:marker>
          <c:cat>
            <c:strRef>
              <c:f>'Ch. 3 Tables and Graphs'!$C$114:$C$136</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Graphs'!$K$114:$K$136</c:f>
              <c:numCache>
                <c:formatCode>0.0%</c:formatCode>
                <c:ptCount val="23"/>
                <c:pt idx="0">
                  <c:v>0.17500000000000004</c:v>
                </c:pt>
                <c:pt idx="1">
                  <c:v>0.19000000000000006</c:v>
                </c:pt>
                <c:pt idx="2">
                  <c:v>0.20500000000000007</c:v>
                </c:pt>
                <c:pt idx="3">
                  <c:v>0.22000000000000008</c:v>
                </c:pt>
                <c:pt idx="4">
                  <c:v>0.2350000000000001</c:v>
                </c:pt>
                <c:pt idx="5">
                  <c:v>0.25000000000000011</c:v>
                </c:pt>
                <c:pt idx="6">
                  <c:v>0.28000000000000003</c:v>
                </c:pt>
                <c:pt idx="7">
                  <c:v>0.31</c:v>
                </c:pt>
                <c:pt idx="8">
                  <c:v>0.34</c:v>
                </c:pt>
                <c:pt idx="9">
                  <c:v>0.37</c:v>
                </c:pt>
                <c:pt idx="10">
                  <c:v>0.4</c:v>
                </c:pt>
                <c:pt idx="11">
                  <c:v>0.40902608000000001</c:v>
                </c:pt>
                <c:pt idx="12">
                  <c:v>0.41825583530041599</c:v>
                </c:pt>
                <c:pt idx="13">
                  <c:v>0.42769386187513697</c:v>
                </c:pt>
                <c:pt idx="14">
                  <c:v>0.43734485940712181</c:v>
                </c:pt>
                <c:pt idx="15">
                  <c:v>0.44721363362861538</c:v>
                </c:pt>
                <c:pt idx="16">
                  <c:v>0.45730509871417185</c:v>
                </c:pt>
                <c:pt idx="17">
                  <c:v>0.46762427972767689</c:v>
                </c:pt>
                <c:pt idx="18">
                  <c:v>0.47817631512458791</c:v>
                </c:pt>
                <c:pt idx="19">
                  <c:v>0.48896645931063754</c:v>
                </c:pt>
                <c:pt idx="20">
                  <c:v>0.50000008525827411</c:v>
                </c:pt>
                <c:pt idx="21">
                  <c:v>0.5</c:v>
                </c:pt>
                <c:pt idx="22">
                  <c:v>0.5</c:v>
                </c:pt>
              </c:numCache>
            </c:numRef>
          </c:val>
          <c:smooth val="0"/>
          <c:extLst>
            <c:ext xmlns:c16="http://schemas.microsoft.com/office/drawing/2014/chart" uri="{C3380CC4-5D6E-409C-BE32-E72D297353CC}">
              <c16:uniqueId val="{00000006-AE13-492D-AD72-5140A3FF2BF2}"/>
            </c:ext>
          </c:extLst>
        </c:ser>
        <c:dLbls>
          <c:showLegendKey val="0"/>
          <c:showVal val="0"/>
          <c:showCatName val="0"/>
          <c:showSerName val="0"/>
          <c:showPercent val="0"/>
          <c:showBubbleSize val="0"/>
        </c:dLbls>
        <c:marker val="1"/>
        <c:smooth val="0"/>
        <c:axId val="757906784"/>
        <c:axId val="757910392"/>
      </c:lineChart>
      <c:catAx>
        <c:axId val="764494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491120"/>
        <c:crosses val="autoZero"/>
        <c:auto val="1"/>
        <c:lblAlgn val="ctr"/>
        <c:lblOffset val="100"/>
        <c:noMultiLvlLbl val="0"/>
      </c:catAx>
      <c:valAx>
        <c:axId val="764491120"/>
        <c:scaling>
          <c:orientation val="minMax"/>
          <c:max val="65000000"/>
          <c:min val="0"/>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494072"/>
        <c:crosses val="autoZero"/>
        <c:crossBetween val="between"/>
      </c:valAx>
      <c:valAx>
        <c:axId val="757910392"/>
        <c:scaling>
          <c:orientation val="minMax"/>
          <c:max val="0.53"/>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7906784"/>
        <c:crosses val="max"/>
        <c:crossBetween val="between"/>
        <c:majorUnit val="0.1"/>
      </c:valAx>
      <c:catAx>
        <c:axId val="757906784"/>
        <c:scaling>
          <c:orientation val="minMax"/>
        </c:scaling>
        <c:delete val="1"/>
        <c:axPos val="b"/>
        <c:numFmt formatCode="General" sourceLinked="1"/>
        <c:majorTickMark val="out"/>
        <c:minorTickMark val="none"/>
        <c:tickLblPos val="nextTo"/>
        <c:crossAx val="757910392"/>
        <c:crosses val="autoZero"/>
        <c:auto val="1"/>
        <c:lblAlgn val="ctr"/>
        <c:lblOffset val="100"/>
        <c:noMultiLvlLbl val="0"/>
      </c:catAx>
      <c:spPr>
        <a:noFill/>
        <a:ln cmpd="sng">
          <a:noFill/>
        </a:ln>
        <a:effectLst/>
      </c:spPr>
    </c:plotArea>
    <c:legend>
      <c:legendPos val="b"/>
      <c:layout>
        <c:manualLayout>
          <c:xMode val="edge"/>
          <c:yMode val="edge"/>
          <c:x val="7.7639847963933556E-2"/>
          <c:y val="0.85265601234883748"/>
          <c:w val="0.8999999701152267"/>
          <c:h val="3.779423748714189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US" sz="1800" b="0" i="0" baseline="0">
                <a:effectLst/>
              </a:rPr>
              <a:t>Renewable Energy Credits (RECs)</a:t>
            </a:r>
            <a:endParaRPr lang="en-US">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barChart>
        <c:barDir val="col"/>
        <c:grouping val="clustered"/>
        <c:varyColors val="0"/>
        <c:ser>
          <c:idx val="0"/>
          <c:order val="0"/>
          <c:tx>
            <c:strRef>
              <c:f>'Ch. 3 Tables and Graphs'!$H$30</c:f>
              <c:strCache>
                <c:ptCount val="1"/>
                <c:pt idx="0">
                  <c:v>Total Wind</c:v>
                </c:pt>
              </c:strCache>
            </c:strRef>
          </c:tx>
          <c:spPr>
            <a:solidFill>
              <a:schemeClr val="accent1"/>
            </a:solidFill>
            <a:ln>
              <a:noFill/>
            </a:ln>
            <a:effectLst/>
          </c:spPr>
          <c:invertIfNegative val="0"/>
          <c:cat>
            <c:strRef>
              <c:f>'Ch. 3 Tables and Graphs'!$C$31:$C$53</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Graphs'!$H$31:$H$53</c:f>
              <c:numCache>
                <c:formatCode>_(* #,##0_);_(* \(#,##0\);_(* "-"??_);_(@_)</c:formatCode>
                <c:ptCount val="23"/>
                <c:pt idx="0">
                  <c:v>2560409</c:v>
                </c:pt>
                <c:pt idx="1">
                  <c:v>3895928</c:v>
                </c:pt>
                <c:pt idx="2">
                  <c:v>3895928</c:v>
                </c:pt>
                <c:pt idx="3">
                  <c:v>3895928</c:v>
                </c:pt>
                <c:pt idx="4">
                  <c:v>3895928</c:v>
                </c:pt>
                <c:pt idx="5">
                  <c:v>4355928</c:v>
                </c:pt>
                <c:pt idx="6">
                  <c:v>4355928</c:v>
                </c:pt>
                <c:pt idx="7">
                  <c:v>4355928</c:v>
                </c:pt>
                <c:pt idx="8">
                  <c:v>11855928</c:v>
                </c:pt>
                <c:pt idx="9">
                  <c:v>14355928</c:v>
                </c:pt>
                <c:pt idx="10">
                  <c:v>16855928</c:v>
                </c:pt>
                <c:pt idx="11">
                  <c:v>19355928</c:v>
                </c:pt>
                <c:pt idx="12">
                  <c:v>20025519</c:v>
                </c:pt>
                <c:pt idx="13">
                  <c:v>22095519</c:v>
                </c:pt>
                <c:pt idx="14">
                  <c:v>21595519</c:v>
                </c:pt>
                <c:pt idx="15">
                  <c:v>22295519</c:v>
                </c:pt>
                <c:pt idx="16">
                  <c:v>23460000</c:v>
                </c:pt>
                <c:pt idx="17">
                  <c:v>22960000</c:v>
                </c:pt>
                <c:pt idx="18">
                  <c:v>23960000</c:v>
                </c:pt>
                <c:pt idx="19">
                  <c:v>24960000</c:v>
                </c:pt>
                <c:pt idx="20">
                  <c:v>25960000</c:v>
                </c:pt>
                <c:pt idx="21">
                  <c:v>26960000</c:v>
                </c:pt>
                <c:pt idx="22">
                  <c:v>29460000</c:v>
                </c:pt>
              </c:numCache>
            </c:numRef>
          </c:val>
          <c:extLst>
            <c:ext xmlns:c16="http://schemas.microsoft.com/office/drawing/2014/chart" uri="{C3380CC4-5D6E-409C-BE32-E72D297353CC}">
              <c16:uniqueId val="{00000000-BA67-4007-8487-41077543906E}"/>
            </c:ext>
          </c:extLst>
        </c:ser>
        <c:ser>
          <c:idx val="1"/>
          <c:order val="1"/>
          <c:tx>
            <c:strRef>
              <c:f>'Ch. 3 Tables and Graphs'!$I$30</c:f>
              <c:strCache>
                <c:ptCount val="1"/>
                <c:pt idx="0">
                  <c:v>Total Solar</c:v>
                </c:pt>
              </c:strCache>
            </c:strRef>
          </c:tx>
          <c:spPr>
            <a:solidFill>
              <a:srgbClr val="FFFF00"/>
            </a:solidFill>
            <a:ln>
              <a:noFill/>
            </a:ln>
            <a:effectLst/>
          </c:spPr>
          <c:invertIfNegative val="0"/>
          <c:cat>
            <c:strRef>
              <c:f>'Ch. 3 Tables and Graphs'!$C$31:$C$53</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Graphs'!$I$31:$I$53</c:f>
              <c:numCache>
                <c:formatCode>_(* #,##0_);_(* \(#,##0\);_(* "-"??_);_(@_)</c:formatCode>
                <c:ptCount val="23"/>
                <c:pt idx="0">
                  <c:v>279553.89230000001</c:v>
                </c:pt>
                <c:pt idx="1">
                  <c:v>1594222.1079333334</c:v>
                </c:pt>
                <c:pt idx="2">
                  <c:v>2859362.2002666667</c:v>
                </c:pt>
                <c:pt idx="3">
                  <c:v>3248389.9221383333</c:v>
                </c:pt>
                <c:pt idx="4">
                  <c:v>4023256.2654006416</c:v>
                </c:pt>
                <c:pt idx="5">
                  <c:v>8564172.5148462001</c:v>
                </c:pt>
                <c:pt idx="6">
                  <c:v>10522838.229049083</c:v>
                </c:pt>
                <c:pt idx="7">
                  <c:v>12586141.988420952</c:v>
                </c:pt>
                <c:pt idx="8">
                  <c:v>15082830.95399596</c:v>
                </c:pt>
                <c:pt idx="9">
                  <c:v>17567199.624743093</c:v>
                </c:pt>
                <c:pt idx="10">
                  <c:v>20027716.136271834</c:v>
                </c:pt>
                <c:pt idx="11">
                  <c:v>22476279.008513596</c:v>
                </c:pt>
                <c:pt idx="12">
                  <c:v>24348028.192814026</c:v>
                </c:pt>
                <c:pt idx="13">
                  <c:v>26281516.028839622</c:v>
                </c:pt>
                <c:pt idx="14">
                  <c:v>27780386.37895577</c:v>
                </c:pt>
                <c:pt idx="15">
                  <c:v>29109537.635477364</c:v>
                </c:pt>
                <c:pt idx="16">
                  <c:v>27962046.497755535</c:v>
                </c:pt>
                <c:pt idx="17">
                  <c:v>29041550.559881486</c:v>
                </c:pt>
                <c:pt idx="18">
                  <c:v>30146387.059967473</c:v>
                </c:pt>
                <c:pt idx="19">
                  <c:v>31053437.375823718</c:v>
                </c:pt>
                <c:pt idx="20">
                  <c:v>31258758.145094898</c:v>
                </c:pt>
                <c:pt idx="21">
                  <c:v>31935015.392024405</c:v>
                </c:pt>
                <c:pt idx="22">
                  <c:v>32175520.337550376</c:v>
                </c:pt>
              </c:numCache>
            </c:numRef>
          </c:val>
          <c:extLst>
            <c:ext xmlns:c16="http://schemas.microsoft.com/office/drawing/2014/chart" uri="{C3380CC4-5D6E-409C-BE32-E72D297353CC}">
              <c16:uniqueId val="{00000001-BA67-4007-8487-41077543906E}"/>
            </c:ext>
          </c:extLst>
        </c:ser>
        <c:ser>
          <c:idx val="2"/>
          <c:order val="2"/>
          <c:tx>
            <c:strRef>
              <c:f>'Ch. 3 Tables and Graphs'!$J$30</c:f>
              <c:strCache>
                <c:ptCount val="1"/>
                <c:pt idx="0">
                  <c:v>Total All RECs</c:v>
                </c:pt>
              </c:strCache>
            </c:strRef>
          </c:tx>
          <c:spPr>
            <a:solidFill>
              <a:schemeClr val="accent6">
                <a:lumMod val="75000"/>
              </a:schemeClr>
            </a:solidFill>
            <a:ln>
              <a:noFill/>
            </a:ln>
            <a:effectLst/>
          </c:spPr>
          <c:invertIfNegative val="0"/>
          <c:cat>
            <c:strRef>
              <c:f>'Ch. 3 Tables and Graphs'!$C$31:$C$53</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Graphs'!$J$31:$J$53</c:f>
              <c:numCache>
                <c:formatCode>_(* #,##0_);_(* \(#,##0\);_(* "-"??_);_(@_)</c:formatCode>
                <c:ptCount val="23"/>
                <c:pt idx="0">
                  <c:v>2839962.8922999999</c:v>
                </c:pt>
                <c:pt idx="1">
                  <c:v>5490150.1079333331</c:v>
                </c:pt>
                <c:pt idx="2">
                  <c:v>6755290.2002666667</c:v>
                </c:pt>
                <c:pt idx="3">
                  <c:v>7144317.9221383333</c:v>
                </c:pt>
                <c:pt idx="4">
                  <c:v>7919184.2654006416</c:v>
                </c:pt>
                <c:pt idx="5">
                  <c:v>12920100.5148462</c:v>
                </c:pt>
                <c:pt idx="6">
                  <c:v>14878766.229049083</c:v>
                </c:pt>
                <c:pt idx="7">
                  <c:v>16942069.988420952</c:v>
                </c:pt>
                <c:pt idx="8">
                  <c:v>26938758.953995958</c:v>
                </c:pt>
                <c:pt idx="9">
                  <c:v>31923127.624743093</c:v>
                </c:pt>
                <c:pt idx="10">
                  <c:v>36883644.136271834</c:v>
                </c:pt>
                <c:pt idx="11">
                  <c:v>41832207.0085136</c:v>
                </c:pt>
                <c:pt idx="12">
                  <c:v>44373547.192814022</c:v>
                </c:pt>
                <c:pt idx="13">
                  <c:v>48377035.028839618</c:v>
                </c:pt>
                <c:pt idx="14">
                  <c:v>49375905.378955767</c:v>
                </c:pt>
                <c:pt idx="15">
                  <c:v>51405056.635477364</c:v>
                </c:pt>
                <c:pt idx="16">
                  <c:v>51422046.497755535</c:v>
                </c:pt>
                <c:pt idx="17">
                  <c:v>52001550.559881486</c:v>
                </c:pt>
                <c:pt idx="18">
                  <c:v>54106387.059967473</c:v>
                </c:pt>
                <c:pt idx="19">
                  <c:v>56013437.375823721</c:v>
                </c:pt>
                <c:pt idx="20">
                  <c:v>57218758.145094901</c:v>
                </c:pt>
                <c:pt idx="21">
                  <c:v>58895015.392024405</c:v>
                </c:pt>
                <c:pt idx="22">
                  <c:v>61635520.337550372</c:v>
                </c:pt>
              </c:numCache>
            </c:numRef>
          </c:val>
          <c:extLst>
            <c:ext xmlns:c16="http://schemas.microsoft.com/office/drawing/2014/chart" uri="{C3380CC4-5D6E-409C-BE32-E72D297353CC}">
              <c16:uniqueId val="{00000002-BA67-4007-8487-41077543906E}"/>
            </c:ext>
          </c:extLst>
        </c:ser>
        <c:dLbls>
          <c:showLegendKey val="0"/>
          <c:showVal val="0"/>
          <c:showCatName val="0"/>
          <c:showSerName val="0"/>
          <c:showPercent val="0"/>
          <c:showBubbleSize val="0"/>
        </c:dLbls>
        <c:gapWidth val="219"/>
        <c:overlap val="-27"/>
        <c:axId val="742201680"/>
        <c:axId val="742200040"/>
      </c:barChart>
      <c:catAx>
        <c:axId val="7422016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2200040"/>
        <c:crosses val="autoZero"/>
        <c:auto val="1"/>
        <c:lblAlgn val="ctr"/>
        <c:lblOffset val="100"/>
        <c:noMultiLvlLbl val="0"/>
      </c:catAx>
      <c:valAx>
        <c:axId val="742200040"/>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22016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'Ch. 3 Tables and Graphs'!$D$4</c:f>
              <c:strCache>
                <c:ptCount val="1"/>
                <c:pt idx="0">
                  <c:v>Total Wind</c:v>
                </c:pt>
              </c:strCache>
            </c:strRef>
          </c:tx>
          <c:spPr>
            <a:solidFill>
              <a:schemeClr val="accent1"/>
            </a:solidFill>
            <a:ln>
              <a:noFill/>
            </a:ln>
            <a:effectLst/>
          </c:spPr>
          <c:invertIfNegative val="0"/>
          <c:cat>
            <c:strRef>
              <c:f>'Ch. 3 Tables and Graphs'!$C$5:$C$27</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Graphs'!$D$5:$D$27</c:f>
              <c:numCache>
                <c:formatCode>_(* #,##0_);_(* \(#,##0\);_(* "-"??_);_(@_)</c:formatCode>
                <c:ptCount val="23"/>
                <c:pt idx="0">
                  <c:v>2560409</c:v>
                </c:pt>
                <c:pt idx="1">
                  <c:v>3895928</c:v>
                </c:pt>
                <c:pt idx="2">
                  <c:v>3895928</c:v>
                </c:pt>
                <c:pt idx="3">
                  <c:v>3895928</c:v>
                </c:pt>
                <c:pt idx="4">
                  <c:v>3895928</c:v>
                </c:pt>
                <c:pt idx="5">
                  <c:v>4355928</c:v>
                </c:pt>
                <c:pt idx="6">
                  <c:v>4355928</c:v>
                </c:pt>
                <c:pt idx="7">
                  <c:v>4355928</c:v>
                </c:pt>
                <c:pt idx="8">
                  <c:v>4355928</c:v>
                </c:pt>
                <c:pt idx="9">
                  <c:v>4355928</c:v>
                </c:pt>
                <c:pt idx="10">
                  <c:v>4355928</c:v>
                </c:pt>
                <c:pt idx="11">
                  <c:v>4355928</c:v>
                </c:pt>
                <c:pt idx="12">
                  <c:v>2525519</c:v>
                </c:pt>
                <c:pt idx="13">
                  <c:v>2095519</c:v>
                </c:pt>
                <c:pt idx="14">
                  <c:v>2095519</c:v>
                </c:pt>
                <c:pt idx="15">
                  <c:v>1795519</c:v>
                </c:pt>
                <c:pt idx="16">
                  <c:v>460000</c:v>
                </c:pt>
                <c:pt idx="17">
                  <c:v>460000</c:v>
                </c:pt>
                <c:pt idx="18">
                  <c:v>460000</c:v>
                </c:pt>
                <c:pt idx="19">
                  <c:v>460000</c:v>
                </c:pt>
                <c:pt idx="20">
                  <c:v>460000</c:v>
                </c:pt>
                <c:pt idx="21">
                  <c:v>460000</c:v>
                </c:pt>
                <c:pt idx="22">
                  <c:v>460000</c:v>
                </c:pt>
              </c:numCache>
            </c:numRef>
          </c:val>
          <c:extLst>
            <c:ext xmlns:c16="http://schemas.microsoft.com/office/drawing/2014/chart" uri="{C3380CC4-5D6E-409C-BE32-E72D297353CC}">
              <c16:uniqueId val="{00000000-734F-440C-9C11-E60A65DA2FCA}"/>
            </c:ext>
          </c:extLst>
        </c:ser>
        <c:ser>
          <c:idx val="1"/>
          <c:order val="1"/>
          <c:tx>
            <c:strRef>
              <c:f>'Ch. 3 Tables and Graphs'!$E$4</c:f>
              <c:strCache>
                <c:ptCount val="1"/>
                <c:pt idx="0">
                  <c:v>Total Solar</c:v>
                </c:pt>
              </c:strCache>
            </c:strRef>
          </c:tx>
          <c:spPr>
            <a:solidFill>
              <a:srgbClr val="FFFF00"/>
            </a:solidFill>
            <a:ln>
              <a:noFill/>
            </a:ln>
            <a:effectLst/>
          </c:spPr>
          <c:invertIfNegative val="0"/>
          <c:cat>
            <c:strRef>
              <c:f>'Ch. 3 Tables and Graphs'!$C$5:$C$27</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Graphs'!$E$5:$E$27</c:f>
              <c:numCache>
                <c:formatCode>_(* #,##0_);_(* \(#,##0\);_(* "-"??_);_(@_)</c:formatCode>
                <c:ptCount val="23"/>
                <c:pt idx="0">
                  <c:v>279553.89230000001</c:v>
                </c:pt>
                <c:pt idx="1">
                  <c:v>1594222.1079333334</c:v>
                </c:pt>
                <c:pt idx="2">
                  <c:v>2859362.2002666667</c:v>
                </c:pt>
                <c:pt idx="3">
                  <c:v>3248389.9221383333</c:v>
                </c:pt>
                <c:pt idx="4">
                  <c:v>3976256.2654006416</c:v>
                </c:pt>
                <c:pt idx="5">
                  <c:v>7116450.2219466381</c:v>
                </c:pt>
                <c:pt idx="6">
                  <c:v>8238254.828709905</c:v>
                </c:pt>
                <c:pt idx="7">
                  <c:v>8213110.9174393555</c:v>
                </c:pt>
                <c:pt idx="8">
                  <c:v>8188130.6257251594</c:v>
                </c:pt>
                <c:pt idx="9">
                  <c:v>8163204.5604695324</c:v>
                </c:pt>
                <c:pt idx="10">
                  <c:v>8138342.3305401858</c:v>
                </c:pt>
                <c:pt idx="11">
                  <c:v>8113777.5467604836</c:v>
                </c:pt>
                <c:pt idx="12">
                  <c:v>8057660.8218996814</c:v>
                </c:pt>
                <c:pt idx="13">
                  <c:v>8033231.7706631832</c:v>
                </c:pt>
                <c:pt idx="14">
                  <c:v>7868799.0096828677</c:v>
                </c:pt>
                <c:pt idx="15">
                  <c:v>7827388.8652074533</c:v>
                </c:pt>
                <c:pt idx="16">
                  <c:v>5488889.2599929152</c:v>
                </c:pt>
                <c:pt idx="17">
                  <c:v>5383164.088692951</c:v>
                </c:pt>
                <c:pt idx="18">
                  <c:v>5308521.6932494864</c:v>
                </c:pt>
                <c:pt idx="19">
                  <c:v>5041814.6997832395</c:v>
                </c:pt>
                <c:pt idx="20">
                  <c:v>4904262.7362843221</c:v>
                </c:pt>
                <c:pt idx="21">
                  <c:v>4853524.4326029019</c:v>
                </c:pt>
                <c:pt idx="22">
                  <c:v>4407145.4204398869</c:v>
                </c:pt>
              </c:numCache>
            </c:numRef>
          </c:val>
          <c:extLst>
            <c:ext xmlns:c16="http://schemas.microsoft.com/office/drawing/2014/chart" uri="{C3380CC4-5D6E-409C-BE32-E72D297353CC}">
              <c16:uniqueId val="{00000001-734F-440C-9C11-E60A65DA2FCA}"/>
            </c:ext>
          </c:extLst>
        </c:ser>
        <c:dLbls>
          <c:showLegendKey val="0"/>
          <c:showVal val="0"/>
          <c:showCatName val="0"/>
          <c:showSerName val="0"/>
          <c:showPercent val="0"/>
          <c:showBubbleSize val="0"/>
        </c:dLbls>
        <c:gapWidth val="219"/>
        <c:overlap val="100"/>
        <c:axId val="755775744"/>
        <c:axId val="660243024"/>
      </c:barChart>
      <c:catAx>
        <c:axId val="755775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0243024"/>
        <c:crosses val="autoZero"/>
        <c:auto val="1"/>
        <c:lblAlgn val="ctr"/>
        <c:lblOffset val="100"/>
        <c:noMultiLvlLbl val="0"/>
      </c:catAx>
      <c:valAx>
        <c:axId val="660243024"/>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57757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areaChart>
        <c:grouping val="stacked"/>
        <c:varyColors val="0"/>
        <c:ser>
          <c:idx val="0"/>
          <c:order val="0"/>
          <c:tx>
            <c:strRef>
              <c:f>'Ch. 3 Tables and Graphs'!$J$141</c:f>
              <c:strCache>
                <c:ptCount val="1"/>
                <c:pt idx="0">
                  <c:v>Under Contract</c:v>
                </c:pt>
              </c:strCache>
            </c:strRef>
          </c:tx>
          <c:spPr>
            <a:solidFill>
              <a:schemeClr val="accent1"/>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Graphs'!$K$141:$AA$141</c:f>
              <c:numCache>
                <c:formatCode>_(* #,##0_);_(* \(#,##0\);_(* "-"??_);_(@_)</c:formatCode>
                <c:ptCount val="17"/>
                <c:pt idx="0">
                  <c:v>2778418.2922999999</c:v>
                </c:pt>
                <c:pt idx="1">
                  <c:v>5403236.5745999999</c:v>
                </c:pt>
                <c:pt idx="2">
                  <c:v>6684821.5745999999</c:v>
                </c:pt>
                <c:pt idx="3">
                  <c:v>7079786.5745999999</c:v>
                </c:pt>
                <c:pt idx="4">
                  <c:v>7807975.5745999999</c:v>
                </c:pt>
                <c:pt idx="5">
                  <c:v>11873054.5746</c:v>
                </c:pt>
                <c:pt idx="6">
                  <c:v>12995178.6196</c:v>
                </c:pt>
                <c:pt idx="7">
                  <c:v>12970352.549374999</c:v>
                </c:pt>
                <c:pt idx="8">
                  <c:v>12945688.509501126</c:v>
                </c:pt>
                <c:pt idx="9">
                  <c:v>12921077.11482662</c:v>
                </c:pt>
                <c:pt idx="10">
                  <c:v>12896527.982125487</c:v>
                </c:pt>
                <c:pt idx="11">
                  <c:v>12872274.730087858</c:v>
                </c:pt>
                <c:pt idx="12">
                  <c:v>10986058.979310419</c:v>
                </c:pt>
                <c:pt idx="13">
                  <c:v>10531938.352286868</c:v>
                </c:pt>
                <c:pt idx="14">
                  <c:v>10367812.473398432</c:v>
                </c:pt>
                <c:pt idx="15">
                  <c:v>10026707.67660444</c:v>
                </c:pt>
                <c:pt idx="16">
                  <c:v>6352992.8923329189</c:v>
                </c:pt>
              </c:numCache>
            </c:numRef>
          </c:val>
          <c:extLst>
            <c:ext xmlns:c16="http://schemas.microsoft.com/office/drawing/2014/chart" uri="{C3380CC4-5D6E-409C-BE32-E72D297353CC}">
              <c16:uniqueId val="{00000000-851D-437E-A8B7-0B0934B4AFD0}"/>
            </c:ext>
          </c:extLst>
        </c:ser>
        <c:ser>
          <c:idx val="1"/>
          <c:order val="1"/>
          <c:tx>
            <c:strRef>
              <c:f>'Ch. 3 Tables and Graphs'!$J$142</c:f>
              <c:strCache>
                <c:ptCount val="1"/>
                <c:pt idx="0">
                  <c:v>23 TBD</c:v>
                </c:pt>
              </c:strCache>
            </c:strRef>
          </c:tx>
          <c:spPr>
            <a:solidFill>
              <a:schemeClr val="accent2"/>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Graphs'!$K$142:$AA$142</c:f>
              <c:numCache>
                <c:formatCode>_(* #,##0_);_(* \(#,##0\);_(* "-"??_);_(@_)</c:formatCode>
                <c:ptCount val="17"/>
                <c:pt idx="1">
                  <c:v>889628.29289956263</c:v>
                </c:pt>
                <c:pt idx="2">
                  <c:v>1077450.4778590649</c:v>
                </c:pt>
                <c:pt idx="3">
                  <c:v>2213633.2254697699</c:v>
                </c:pt>
                <c:pt idx="4">
                  <c:v>7202565.0593424216</c:v>
                </c:pt>
                <c:pt idx="5">
                  <c:v>7191552.2340457086</c:v>
                </c:pt>
                <c:pt idx="6">
                  <c:v>7180594.4728754796</c:v>
                </c:pt>
                <c:pt idx="7">
                  <c:v>7169691.5005111024</c:v>
                </c:pt>
                <c:pt idx="8">
                  <c:v>7158843.0430085473</c:v>
                </c:pt>
                <c:pt idx="9">
                  <c:v>7148048.827793505</c:v>
                </c:pt>
                <c:pt idx="10">
                  <c:v>7137308.5836545369</c:v>
                </c:pt>
                <c:pt idx="11">
                  <c:v>7126622.0407362636</c:v>
                </c:pt>
                <c:pt idx="12">
                  <c:v>7115988.930532583</c:v>
                </c:pt>
                <c:pt idx="13">
                  <c:v>7105408.9858799204</c:v>
                </c:pt>
                <c:pt idx="14">
                  <c:v>7094881.9409505203</c:v>
                </c:pt>
                <c:pt idx="15">
                  <c:v>7084407.5312457681</c:v>
                </c:pt>
                <c:pt idx="16">
                  <c:v>6248793.8953130823</c:v>
                </c:pt>
              </c:numCache>
            </c:numRef>
          </c:val>
          <c:extLst>
            <c:ext xmlns:c16="http://schemas.microsoft.com/office/drawing/2014/chart" uri="{C3380CC4-5D6E-409C-BE32-E72D297353CC}">
              <c16:uniqueId val="{00000001-851D-437E-A8B7-0B0934B4AFD0}"/>
            </c:ext>
          </c:extLst>
        </c:ser>
        <c:ser>
          <c:idx val="2"/>
          <c:order val="2"/>
          <c:tx>
            <c:strRef>
              <c:f>'Ch. 3 Tables and Graphs'!$J$143</c:f>
              <c:strCache>
                <c:ptCount val="1"/>
                <c:pt idx="0">
                  <c:v>24-25 Plan</c:v>
                </c:pt>
              </c:strCache>
            </c:strRef>
          </c:tx>
          <c:spPr>
            <a:solidFill>
              <a:schemeClr val="accent3"/>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Graphs'!$L$143:$AB$143</c:f>
              <c:numCache>
                <c:formatCode>_(* #,##0_);_(* \(#,##0\);_(* "-"??_);_(@_)</c:formatCode>
                <c:ptCount val="17"/>
                <c:pt idx="0">
                  <c:v>602273.92248011334</c:v>
                </c:pt>
                <c:pt idx="1">
                  <c:v>1507773.8455118262</c:v>
                </c:pt>
                <c:pt idx="2">
                  <c:v>1806472.3464482669</c:v>
                </c:pt>
                <c:pt idx="3">
                  <c:v>5882439.9847160261</c:v>
                </c:pt>
                <c:pt idx="4">
                  <c:v>9950527.7847924456</c:v>
                </c:pt>
                <c:pt idx="5">
                  <c:v>9925775.1458684839</c:v>
                </c:pt>
                <c:pt idx="6">
                  <c:v>9901146.270139141</c:v>
                </c:pt>
                <c:pt idx="7">
                  <c:v>9876640.5387884453</c:v>
                </c:pt>
                <c:pt idx="8">
                  <c:v>9852257.3360945024</c:v>
                </c:pt>
                <c:pt idx="9">
                  <c:v>9827996.0494140312</c:v>
                </c:pt>
                <c:pt idx="10">
                  <c:v>9803856.0691669602</c:v>
                </c:pt>
                <c:pt idx="11">
                  <c:v>9779836.7888211254</c:v>
                </c:pt>
                <c:pt idx="12">
                  <c:v>9755937.6048770212</c:v>
                </c:pt>
                <c:pt idx="13">
                  <c:v>9732157.9168526344</c:v>
                </c:pt>
                <c:pt idx="14">
                  <c:v>9708497.1272683721</c:v>
                </c:pt>
                <c:pt idx="15">
                  <c:v>9245424.4165895805</c:v>
                </c:pt>
                <c:pt idx="16">
                  <c:v>8748014.6460246146</c:v>
                </c:pt>
              </c:numCache>
            </c:numRef>
          </c:val>
          <c:extLst>
            <c:ext xmlns:c16="http://schemas.microsoft.com/office/drawing/2014/chart" uri="{C3380CC4-5D6E-409C-BE32-E72D297353CC}">
              <c16:uniqueId val="{00000002-851D-437E-A8B7-0B0934B4AFD0}"/>
            </c:ext>
          </c:extLst>
        </c:ser>
        <c:ser>
          <c:idx val="3"/>
          <c:order val="3"/>
          <c:tx>
            <c:strRef>
              <c:f>'Ch. 3 Tables and Graphs'!$J$144</c:f>
              <c:strCache>
                <c:ptCount val="1"/>
                <c:pt idx="0">
                  <c:v>26-27 Plan</c:v>
                </c:pt>
              </c:strCache>
            </c:strRef>
          </c:tx>
          <c:spPr>
            <a:solidFill>
              <a:schemeClr val="accent4"/>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Graphs'!$L$144:$AB$144</c:f>
              <c:numCache>
                <c:formatCode>_(* #,##0_);_(* \(#,##0\);_(* "-"??_);_(@_)</c:formatCode>
                <c:ptCount val="17"/>
                <c:pt idx="0">
                  <c:v>0</c:v>
                </c:pt>
                <c:pt idx="1">
                  <c:v>0</c:v>
                </c:pt>
                <c:pt idx="2">
                  <c:v>602273.92248011334</c:v>
                </c:pt>
                <c:pt idx="3">
                  <c:v>1507773.8455118262</c:v>
                </c:pt>
                <c:pt idx="4">
                  <c:v>1806472.3464482669</c:v>
                </c:pt>
                <c:pt idx="5">
                  <c:v>5882439.9847160261</c:v>
                </c:pt>
                <c:pt idx="6">
                  <c:v>9950527.7847924456</c:v>
                </c:pt>
                <c:pt idx="7">
                  <c:v>9925775.1458684839</c:v>
                </c:pt>
                <c:pt idx="8">
                  <c:v>9901146.270139141</c:v>
                </c:pt>
                <c:pt idx="9">
                  <c:v>9876640.5387884453</c:v>
                </c:pt>
                <c:pt idx="10">
                  <c:v>9852257.3360945024</c:v>
                </c:pt>
                <c:pt idx="11">
                  <c:v>9827996.0494140312</c:v>
                </c:pt>
                <c:pt idx="12">
                  <c:v>9803856.0691669602</c:v>
                </c:pt>
                <c:pt idx="13">
                  <c:v>9779836.7888211254</c:v>
                </c:pt>
                <c:pt idx="14">
                  <c:v>9755937.6048770212</c:v>
                </c:pt>
                <c:pt idx="15">
                  <c:v>9732157.9168526344</c:v>
                </c:pt>
                <c:pt idx="16">
                  <c:v>9708497.1272683721</c:v>
                </c:pt>
              </c:numCache>
            </c:numRef>
          </c:val>
          <c:extLst>
            <c:ext xmlns:c16="http://schemas.microsoft.com/office/drawing/2014/chart" uri="{C3380CC4-5D6E-409C-BE32-E72D297353CC}">
              <c16:uniqueId val="{00000003-851D-437E-A8B7-0B0934B4AFD0}"/>
            </c:ext>
          </c:extLst>
        </c:ser>
        <c:ser>
          <c:idx val="4"/>
          <c:order val="4"/>
          <c:tx>
            <c:strRef>
              <c:f>'Ch. 3 Tables and Graphs'!$J$145</c:f>
              <c:strCache>
                <c:ptCount val="1"/>
                <c:pt idx="0">
                  <c:v>28-29 Plan</c:v>
                </c:pt>
              </c:strCache>
            </c:strRef>
          </c:tx>
          <c:spPr>
            <a:solidFill>
              <a:schemeClr val="accent5"/>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Graphs'!$L$145:$AB$145</c:f>
              <c:numCache>
                <c:formatCode>_(* #,##0_);_(* \(#,##0\);_(* "-"??_);_(@_)</c:formatCode>
                <c:ptCount val="17"/>
                <c:pt idx="0">
                  <c:v>0</c:v>
                </c:pt>
                <c:pt idx="1">
                  <c:v>0</c:v>
                </c:pt>
                <c:pt idx="2">
                  <c:v>0</c:v>
                </c:pt>
                <c:pt idx="3">
                  <c:v>0</c:v>
                </c:pt>
                <c:pt idx="4">
                  <c:v>602273.92248011334</c:v>
                </c:pt>
                <c:pt idx="5">
                  <c:v>1507773.8455118262</c:v>
                </c:pt>
                <c:pt idx="6">
                  <c:v>1806472.3464482669</c:v>
                </c:pt>
                <c:pt idx="7">
                  <c:v>5382439.9847160261</c:v>
                </c:pt>
                <c:pt idx="8">
                  <c:v>8953027.7847924456</c:v>
                </c:pt>
                <c:pt idx="9">
                  <c:v>7433262.6458684839</c:v>
                </c:pt>
                <c:pt idx="10">
                  <c:v>7413596.332639141</c:v>
                </c:pt>
                <c:pt idx="11">
                  <c:v>7394028.3509759447</c:v>
                </c:pt>
                <c:pt idx="12">
                  <c:v>7374558.209221065</c:v>
                </c:pt>
                <c:pt idx="13">
                  <c:v>7355185.4181749597</c:v>
                </c:pt>
                <c:pt idx="14">
                  <c:v>7335909.4910840848</c:v>
                </c:pt>
                <c:pt idx="15">
                  <c:v>7316729.9436286651</c:v>
                </c:pt>
                <c:pt idx="16">
                  <c:v>7297646.2939105211</c:v>
                </c:pt>
              </c:numCache>
            </c:numRef>
          </c:val>
          <c:extLst>
            <c:ext xmlns:c16="http://schemas.microsoft.com/office/drawing/2014/chart" uri="{C3380CC4-5D6E-409C-BE32-E72D297353CC}">
              <c16:uniqueId val="{00000004-851D-437E-A8B7-0B0934B4AFD0}"/>
            </c:ext>
          </c:extLst>
        </c:ser>
        <c:ser>
          <c:idx val="5"/>
          <c:order val="5"/>
          <c:tx>
            <c:strRef>
              <c:f>'Ch. 3 Tables and Graphs'!$J$146</c:f>
              <c:strCache>
                <c:ptCount val="1"/>
                <c:pt idx="0">
                  <c:v>30-31 Plan</c:v>
                </c:pt>
              </c:strCache>
            </c:strRef>
          </c:tx>
          <c:spPr>
            <a:solidFill>
              <a:schemeClr val="accent6"/>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Graphs'!$L$146:$AB$146</c:f>
              <c:numCache>
                <c:formatCode>_(* #,##0_);_(* \(#,##0\);_(* "-"??_);_(@_)</c:formatCode>
                <c:ptCount val="17"/>
                <c:pt idx="0">
                  <c:v>0</c:v>
                </c:pt>
                <c:pt idx="1">
                  <c:v>0</c:v>
                </c:pt>
                <c:pt idx="2">
                  <c:v>0</c:v>
                </c:pt>
                <c:pt idx="3">
                  <c:v>0</c:v>
                </c:pt>
                <c:pt idx="4">
                  <c:v>0</c:v>
                </c:pt>
                <c:pt idx="5">
                  <c:v>0</c:v>
                </c:pt>
                <c:pt idx="6">
                  <c:v>569202.00562930212</c:v>
                </c:pt>
                <c:pt idx="7">
                  <c:v>1481309.8707704577</c:v>
                </c:pt>
                <c:pt idx="8">
                  <c:v>1819655.1909566054</c:v>
                </c:pt>
                <c:pt idx="9">
                  <c:v>3610556.9150018226</c:v>
                </c:pt>
                <c:pt idx="10">
                  <c:v>5397504.1304268129</c:v>
                </c:pt>
                <c:pt idx="11">
                  <c:v>6880516.6097746789</c:v>
                </c:pt>
                <c:pt idx="12">
                  <c:v>5363614.0267258063</c:v>
                </c:pt>
                <c:pt idx="13">
                  <c:v>5346795.956592177</c:v>
                </c:pt>
                <c:pt idx="14">
                  <c:v>5330061.9768092167</c:v>
                </c:pt>
                <c:pt idx="15">
                  <c:v>5313411.6669251705</c:v>
                </c:pt>
                <c:pt idx="16">
                  <c:v>5296844.6085905442</c:v>
                </c:pt>
              </c:numCache>
            </c:numRef>
          </c:val>
          <c:extLst>
            <c:ext xmlns:c16="http://schemas.microsoft.com/office/drawing/2014/chart" uri="{C3380CC4-5D6E-409C-BE32-E72D297353CC}">
              <c16:uniqueId val="{00000005-851D-437E-A8B7-0B0934B4AFD0}"/>
            </c:ext>
          </c:extLst>
        </c:ser>
        <c:ser>
          <c:idx val="6"/>
          <c:order val="6"/>
          <c:tx>
            <c:strRef>
              <c:f>'Ch. 3 Tables and Graphs'!$J$147</c:f>
              <c:strCache>
                <c:ptCount val="1"/>
                <c:pt idx="0">
                  <c:v>32-33 Plan</c:v>
                </c:pt>
              </c:strCache>
            </c:strRef>
          </c:tx>
          <c:spPr>
            <a:solidFill>
              <a:schemeClr val="accent1">
                <a:lumMod val="60000"/>
              </a:schemeClr>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Graphs'!$L$147:$AB$147</c:f>
              <c:numCache>
                <c:formatCode>_(* #,##0_);_(* \(#,##0\);_(* "-"??_);_(@_)</c:formatCode>
                <c:ptCount val="17"/>
                <c:pt idx="0">
                  <c:v>0</c:v>
                </c:pt>
                <c:pt idx="1">
                  <c:v>0</c:v>
                </c:pt>
                <c:pt idx="2">
                  <c:v>0</c:v>
                </c:pt>
                <c:pt idx="3">
                  <c:v>0</c:v>
                </c:pt>
                <c:pt idx="4">
                  <c:v>0</c:v>
                </c:pt>
                <c:pt idx="5">
                  <c:v>0</c:v>
                </c:pt>
                <c:pt idx="6">
                  <c:v>0</c:v>
                </c:pt>
                <c:pt idx="7">
                  <c:v>0</c:v>
                </c:pt>
                <c:pt idx="8">
                  <c:v>569202.00562930212</c:v>
                </c:pt>
                <c:pt idx="9">
                  <c:v>1196708.8679558067</c:v>
                </c:pt>
                <c:pt idx="10">
                  <c:v>1363601.2583860275</c:v>
                </c:pt>
                <c:pt idx="11">
                  <c:v>3156783.2520940974</c:v>
                </c:pt>
                <c:pt idx="12">
                  <c:v>4945999.3358336277</c:v>
                </c:pt>
                <c:pt idx="13">
                  <c:v>4931269.3391544595</c:v>
                </c:pt>
                <c:pt idx="14">
                  <c:v>4916612.9924586862</c:v>
                </c:pt>
                <c:pt idx="15">
                  <c:v>4902029.9274963932</c:v>
                </c:pt>
                <c:pt idx="16">
                  <c:v>4887519.7778589111</c:v>
                </c:pt>
              </c:numCache>
            </c:numRef>
          </c:val>
          <c:extLst>
            <c:ext xmlns:c16="http://schemas.microsoft.com/office/drawing/2014/chart" uri="{C3380CC4-5D6E-409C-BE32-E72D297353CC}">
              <c16:uniqueId val="{00000006-851D-437E-A8B7-0B0934B4AFD0}"/>
            </c:ext>
          </c:extLst>
        </c:ser>
        <c:ser>
          <c:idx val="7"/>
          <c:order val="7"/>
          <c:tx>
            <c:strRef>
              <c:f>'Ch. 3 Tables and Graphs'!$J$148</c:f>
              <c:strCache>
                <c:ptCount val="1"/>
                <c:pt idx="0">
                  <c:v>34-35 Plan</c:v>
                </c:pt>
              </c:strCache>
            </c:strRef>
          </c:tx>
          <c:spPr>
            <a:solidFill>
              <a:schemeClr val="accent2">
                <a:lumMod val="60000"/>
              </a:schemeClr>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Graphs'!$L$148:$AB$148</c:f>
              <c:numCache>
                <c:formatCode>_(* #,##0_);_(* \(#,##0\);_(* "-"??_);_(@_)</c:formatCode>
                <c:ptCount val="17"/>
                <c:pt idx="0">
                  <c:v>0</c:v>
                </c:pt>
                <c:pt idx="1">
                  <c:v>0</c:v>
                </c:pt>
                <c:pt idx="2">
                  <c:v>0</c:v>
                </c:pt>
                <c:pt idx="3">
                  <c:v>0</c:v>
                </c:pt>
                <c:pt idx="4">
                  <c:v>0</c:v>
                </c:pt>
                <c:pt idx="5">
                  <c:v>0</c:v>
                </c:pt>
                <c:pt idx="6">
                  <c:v>0</c:v>
                </c:pt>
                <c:pt idx="7">
                  <c:v>0</c:v>
                </c:pt>
                <c:pt idx="8">
                  <c:v>0</c:v>
                </c:pt>
                <c:pt idx="9">
                  <c:v>0</c:v>
                </c:pt>
                <c:pt idx="10">
                  <c:v>284601.00281465106</c:v>
                </c:pt>
                <c:pt idx="11">
                  <c:v>740654.93538522883</c:v>
                </c:pt>
                <c:pt idx="12">
                  <c:v>909827.59547830268</c:v>
                </c:pt>
                <c:pt idx="13">
                  <c:v>2705278.4575009113</c:v>
                </c:pt>
                <c:pt idx="14">
                  <c:v>4496752.0652134065</c:v>
                </c:pt>
                <c:pt idx="15">
                  <c:v>4484268.3048873395</c:v>
                </c:pt>
                <c:pt idx="16">
                  <c:v>4471846.9633629024</c:v>
                </c:pt>
              </c:numCache>
            </c:numRef>
          </c:val>
          <c:extLst>
            <c:ext xmlns:c16="http://schemas.microsoft.com/office/drawing/2014/chart" uri="{C3380CC4-5D6E-409C-BE32-E72D297353CC}">
              <c16:uniqueId val="{00000007-851D-437E-A8B7-0B0934B4AFD0}"/>
            </c:ext>
          </c:extLst>
        </c:ser>
        <c:ser>
          <c:idx val="8"/>
          <c:order val="8"/>
          <c:tx>
            <c:strRef>
              <c:f>'Ch. 3 Tables and Graphs'!$J$149</c:f>
              <c:strCache>
                <c:ptCount val="1"/>
                <c:pt idx="0">
                  <c:v>36-37 Plan</c:v>
                </c:pt>
              </c:strCache>
            </c:strRef>
          </c:tx>
          <c:spPr>
            <a:solidFill>
              <a:schemeClr val="accent3">
                <a:lumMod val="60000"/>
              </a:schemeClr>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Graphs'!$L$149:$AB$149</c:f>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284601.00281465106</c:v>
                </c:pt>
                <c:pt idx="13">
                  <c:v>740654.93538522883</c:v>
                </c:pt>
                <c:pt idx="14">
                  <c:v>909827.59547830268</c:v>
                </c:pt>
                <c:pt idx="15">
                  <c:v>2705278.4575009113</c:v>
                </c:pt>
                <c:pt idx="16">
                  <c:v>4496752.0652134065</c:v>
                </c:pt>
              </c:numCache>
            </c:numRef>
          </c:val>
          <c:extLst>
            <c:ext xmlns:c16="http://schemas.microsoft.com/office/drawing/2014/chart" uri="{C3380CC4-5D6E-409C-BE32-E72D297353CC}">
              <c16:uniqueId val="{00000008-851D-437E-A8B7-0B0934B4AFD0}"/>
            </c:ext>
          </c:extLst>
        </c:ser>
        <c:ser>
          <c:idx val="9"/>
          <c:order val="9"/>
          <c:tx>
            <c:strRef>
              <c:f>'Ch. 3 Tables and Graphs'!$J$150</c:f>
              <c:strCache>
                <c:ptCount val="1"/>
                <c:pt idx="0">
                  <c:v>38-39 Plan</c:v>
                </c:pt>
              </c:strCache>
            </c:strRef>
          </c:tx>
          <c:spPr>
            <a:solidFill>
              <a:schemeClr val="accent4">
                <a:lumMod val="60000"/>
              </a:schemeClr>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Graphs'!$L$150:$AB$150</c:f>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284601.00281465106</c:v>
                </c:pt>
                <c:pt idx="15">
                  <c:v>740654.93538522883</c:v>
                </c:pt>
                <c:pt idx="16">
                  <c:v>909827.59547830268</c:v>
                </c:pt>
              </c:numCache>
            </c:numRef>
          </c:val>
          <c:extLst>
            <c:ext xmlns:c16="http://schemas.microsoft.com/office/drawing/2014/chart" uri="{C3380CC4-5D6E-409C-BE32-E72D297353CC}">
              <c16:uniqueId val="{00000009-851D-437E-A8B7-0B0934B4AFD0}"/>
            </c:ext>
          </c:extLst>
        </c:ser>
        <c:ser>
          <c:idx val="10"/>
          <c:order val="10"/>
          <c:tx>
            <c:strRef>
              <c:f>'Ch. 3 Tables and Graphs'!$J$151</c:f>
              <c:strCache>
                <c:ptCount val="1"/>
                <c:pt idx="0">
                  <c:v>40-41 Plan</c:v>
                </c:pt>
              </c:strCache>
            </c:strRef>
          </c:tx>
          <c:spPr>
            <a:solidFill>
              <a:schemeClr val="accent5">
                <a:lumMod val="60000"/>
              </a:schemeClr>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Graphs'!$L$151:$AB$151</c:f>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569202.00562930212</c:v>
                </c:pt>
              </c:numCache>
            </c:numRef>
          </c:val>
          <c:extLst>
            <c:ext xmlns:c16="http://schemas.microsoft.com/office/drawing/2014/chart" uri="{C3380CC4-5D6E-409C-BE32-E72D297353CC}">
              <c16:uniqueId val="{0000000A-851D-437E-A8B7-0B0934B4AFD0}"/>
            </c:ext>
          </c:extLst>
        </c:ser>
        <c:dLbls>
          <c:showLegendKey val="0"/>
          <c:showVal val="0"/>
          <c:showCatName val="0"/>
          <c:showSerName val="0"/>
          <c:showPercent val="0"/>
          <c:showBubbleSize val="0"/>
        </c:dLbls>
        <c:axId val="885248848"/>
        <c:axId val="885245968"/>
      </c:areaChart>
      <c:catAx>
        <c:axId val="88524884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85245968"/>
        <c:crosses val="autoZero"/>
        <c:auto val="1"/>
        <c:lblAlgn val="ctr"/>
        <c:lblOffset val="100"/>
        <c:noMultiLvlLbl val="0"/>
      </c:catAx>
      <c:valAx>
        <c:axId val="885245968"/>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8524884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Projected RPS Expenses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459949205034911"/>
          <c:y val="8.2637438813406378E-2"/>
          <c:w val="0.88540050794965086"/>
          <c:h val="0.8606705724466428"/>
        </c:manualLayout>
      </c:layout>
      <c:barChart>
        <c:barDir val="col"/>
        <c:grouping val="stacked"/>
        <c:varyColors val="0"/>
        <c:ser>
          <c:idx val="3"/>
          <c:order val="0"/>
          <c:tx>
            <c:strRef>
              <c:f>'$ Tables and Graphs'!$Z$3</c:f>
              <c:strCache>
                <c:ptCount val="1"/>
                <c:pt idx="0">
                  <c:v>Set Asides</c:v>
                </c:pt>
              </c:strCache>
            </c:strRef>
          </c:tx>
          <c:spPr>
            <a:solidFill>
              <a:schemeClr val="bg2"/>
            </a:solidFill>
            <a:ln>
              <a:noFill/>
            </a:ln>
            <a:effectLst/>
          </c:spPr>
          <c:invertIfNegative val="0"/>
          <c:cat>
            <c:strRef>
              <c:f>'$ Tables and Graphs'!$U$4:$U$26</c:f>
              <c:strCache>
                <c:ptCount val="23"/>
                <c:pt idx="0">
                  <c:v>2020-2021</c:v>
                </c:pt>
                <c:pt idx="1">
                  <c:v>2021-2022</c:v>
                </c:pt>
                <c:pt idx="2">
                  <c:v>2022-2023</c:v>
                </c:pt>
                <c:pt idx="3">
                  <c:v>2023-2024</c:v>
                </c:pt>
                <c:pt idx="4">
                  <c:v>2024-2025</c:v>
                </c:pt>
                <c:pt idx="5">
                  <c:v>2025-2026</c:v>
                </c:pt>
                <c:pt idx="6">
                  <c:v>2026-2027</c:v>
                </c:pt>
                <c:pt idx="7">
                  <c:v>2027-2028</c:v>
                </c:pt>
                <c:pt idx="8">
                  <c:v>2028-2029</c:v>
                </c:pt>
                <c:pt idx="9">
                  <c:v>2029-2030</c:v>
                </c:pt>
                <c:pt idx="10">
                  <c:v>2030-2031</c:v>
                </c:pt>
                <c:pt idx="11">
                  <c:v>2031-2032</c:v>
                </c:pt>
                <c:pt idx="12">
                  <c:v>2032-2033</c:v>
                </c:pt>
                <c:pt idx="13">
                  <c:v>2033-2034</c:v>
                </c:pt>
                <c:pt idx="14">
                  <c:v>2034-2035</c:v>
                </c:pt>
                <c:pt idx="15">
                  <c:v>2035-2036</c:v>
                </c:pt>
                <c:pt idx="16">
                  <c:v>2036-2037</c:v>
                </c:pt>
                <c:pt idx="17">
                  <c:v>2037-2038</c:v>
                </c:pt>
                <c:pt idx="18">
                  <c:v>2038-2039</c:v>
                </c:pt>
                <c:pt idx="19">
                  <c:v>2039-2040</c:v>
                </c:pt>
                <c:pt idx="20">
                  <c:v>2040-2041</c:v>
                </c:pt>
                <c:pt idx="21">
                  <c:v>2041-2042</c:v>
                </c:pt>
                <c:pt idx="22">
                  <c:v>2042-2043</c:v>
                </c:pt>
              </c:strCache>
            </c:strRef>
          </c:cat>
          <c:val>
            <c:numRef>
              <c:f>'$ Tables and Graphs'!$Z$4:$Z$26</c:f>
              <c:numCache>
                <c:formatCode>"$"#,##0_);[Red]\("$"#,##0\)</c:formatCode>
                <c:ptCount val="23"/>
                <c:pt idx="0">
                  <c:v>18018880.058405567</c:v>
                </c:pt>
                <c:pt idx="1">
                  <c:v>83942135.092404008</c:v>
                </c:pt>
                <c:pt idx="2">
                  <c:v>67623889.800951704</c:v>
                </c:pt>
                <c:pt idx="3">
                  <c:v>67306655.768471599</c:v>
                </c:pt>
                <c:pt idx="4">
                  <c:v>87208829.557390258</c:v>
                </c:pt>
                <c:pt idx="5">
                  <c:v>66997493.390597343</c:v>
                </c:pt>
                <c:pt idx="6">
                  <c:v>66888811.399599314</c:v>
                </c:pt>
                <c:pt idx="7">
                  <c:v>86862404.659270331</c:v>
                </c:pt>
                <c:pt idx="8">
                  <c:v>66906426.967615873</c:v>
                </c:pt>
                <c:pt idx="9">
                  <c:v>66920397.125927687</c:v>
                </c:pt>
                <c:pt idx="10">
                  <c:v>87023386.929470733</c:v>
                </c:pt>
                <c:pt idx="11">
                  <c:v>67120451.256649822</c:v>
                </c:pt>
                <c:pt idx="12">
                  <c:v>67234402.603198841</c:v>
                </c:pt>
                <c:pt idx="13">
                  <c:v>67289396.046359867</c:v>
                </c:pt>
                <c:pt idx="14">
                  <c:v>67378693.799014568</c:v>
                </c:pt>
                <c:pt idx="15">
                  <c:v>67444210.839039311</c:v>
                </c:pt>
                <c:pt idx="16">
                  <c:v>67522169.66182524</c:v>
                </c:pt>
                <c:pt idx="17">
                  <c:v>67559698.762090176</c:v>
                </c:pt>
                <c:pt idx="18">
                  <c:v>67642751.566603482</c:v>
                </c:pt>
                <c:pt idx="19">
                  <c:v>67710238.723197311</c:v>
                </c:pt>
                <c:pt idx="20">
                  <c:v>67790826.711418763</c:v>
                </c:pt>
                <c:pt idx="21">
                  <c:v>67846294.061737657</c:v>
                </c:pt>
                <c:pt idx="22">
                  <c:v>67902792.45759207</c:v>
                </c:pt>
              </c:numCache>
            </c:numRef>
          </c:val>
          <c:extLst>
            <c:ext xmlns:c16="http://schemas.microsoft.com/office/drawing/2014/chart" uri="{C3380CC4-5D6E-409C-BE32-E72D297353CC}">
              <c16:uniqueId val="{00000000-2553-479C-8535-85E23C6CAD83}"/>
            </c:ext>
          </c:extLst>
        </c:ser>
        <c:ser>
          <c:idx val="4"/>
          <c:order val="1"/>
          <c:tx>
            <c:strRef>
              <c:f>'$ Tables and Graphs'!$V$3</c:f>
              <c:strCache>
                <c:ptCount val="1"/>
                <c:pt idx="0">
                  <c:v>Under Contract</c:v>
                </c:pt>
              </c:strCache>
            </c:strRef>
          </c:tx>
          <c:spPr>
            <a:solidFill>
              <a:schemeClr val="accent5"/>
            </a:solidFill>
            <a:ln>
              <a:noFill/>
            </a:ln>
            <a:effectLst/>
          </c:spPr>
          <c:invertIfNegative val="0"/>
          <c:cat>
            <c:strRef>
              <c:f>'$ Tables and Graphs'!$U$4:$U$26</c:f>
              <c:strCache>
                <c:ptCount val="23"/>
                <c:pt idx="0">
                  <c:v>2020-2021</c:v>
                </c:pt>
                <c:pt idx="1">
                  <c:v>2021-2022</c:v>
                </c:pt>
                <c:pt idx="2">
                  <c:v>2022-2023</c:v>
                </c:pt>
                <c:pt idx="3">
                  <c:v>2023-2024</c:v>
                </c:pt>
                <c:pt idx="4">
                  <c:v>2024-2025</c:v>
                </c:pt>
                <c:pt idx="5">
                  <c:v>2025-2026</c:v>
                </c:pt>
                <c:pt idx="6">
                  <c:v>2026-2027</c:v>
                </c:pt>
                <c:pt idx="7">
                  <c:v>2027-2028</c:v>
                </c:pt>
                <c:pt idx="8">
                  <c:v>2028-2029</c:v>
                </c:pt>
                <c:pt idx="9">
                  <c:v>2029-2030</c:v>
                </c:pt>
                <c:pt idx="10">
                  <c:v>2030-2031</c:v>
                </c:pt>
                <c:pt idx="11">
                  <c:v>2031-2032</c:v>
                </c:pt>
                <c:pt idx="12">
                  <c:v>2032-2033</c:v>
                </c:pt>
                <c:pt idx="13">
                  <c:v>2033-2034</c:v>
                </c:pt>
                <c:pt idx="14">
                  <c:v>2034-2035</c:v>
                </c:pt>
                <c:pt idx="15">
                  <c:v>2035-2036</c:v>
                </c:pt>
                <c:pt idx="16">
                  <c:v>2036-2037</c:v>
                </c:pt>
                <c:pt idx="17">
                  <c:v>2037-2038</c:v>
                </c:pt>
                <c:pt idx="18">
                  <c:v>2038-2039</c:v>
                </c:pt>
                <c:pt idx="19">
                  <c:v>2039-2040</c:v>
                </c:pt>
                <c:pt idx="20">
                  <c:v>2040-2041</c:v>
                </c:pt>
                <c:pt idx="21">
                  <c:v>2041-2042</c:v>
                </c:pt>
                <c:pt idx="22">
                  <c:v>2042-2043</c:v>
                </c:pt>
              </c:strCache>
            </c:strRef>
          </c:cat>
          <c:val>
            <c:numRef>
              <c:f>'$ Tables and Graphs'!$V$4:$V$26</c:f>
              <c:numCache>
                <c:formatCode>"$"#,##0_);[Red]\("$"#,##0\)</c:formatCode>
                <c:ptCount val="23"/>
                <c:pt idx="0">
                  <c:v>252873250.07071143</c:v>
                </c:pt>
                <c:pt idx="1">
                  <c:v>250351041.5405145</c:v>
                </c:pt>
                <c:pt idx="2">
                  <c:v>299602157.80774331</c:v>
                </c:pt>
                <c:pt idx="3">
                  <c:v>504841343.56291962</c:v>
                </c:pt>
                <c:pt idx="4">
                  <c:v>299180259.13002962</c:v>
                </c:pt>
                <c:pt idx="5">
                  <c:v>243587989.43081418</c:v>
                </c:pt>
                <c:pt idx="6">
                  <c:v>281726603.53963482</c:v>
                </c:pt>
                <c:pt idx="7">
                  <c:v>272916835.58403414</c:v>
                </c:pt>
                <c:pt idx="8">
                  <c:v>254151661.02052811</c:v>
                </c:pt>
                <c:pt idx="9">
                  <c:v>225503345.11976331</c:v>
                </c:pt>
                <c:pt idx="10">
                  <c:v>199566050.14572296</c:v>
                </c:pt>
                <c:pt idx="11">
                  <c:v>190795383.03602725</c:v>
                </c:pt>
                <c:pt idx="12">
                  <c:v>175767561.31833309</c:v>
                </c:pt>
                <c:pt idx="13">
                  <c:v>164459887.10112214</c:v>
                </c:pt>
                <c:pt idx="14">
                  <c:v>151618674.2769227</c:v>
                </c:pt>
                <c:pt idx="15">
                  <c:v>135485724.82731766</c:v>
                </c:pt>
                <c:pt idx="16">
                  <c:v>111518861.54231663</c:v>
                </c:pt>
                <c:pt idx="17">
                  <c:v>93326889.769566923</c:v>
                </c:pt>
                <c:pt idx="18">
                  <c:v>81491587.478232205</c:v>
                </c:pt>
                <c:pt idx="19">
                  <c:v>63579713.317222565</c:v>
                </c:pt>
                <c:pt idx="20">
                  <c:v>50605627.36686337</c:v>
                </c:pt>
                <c:pt idx="21">
                  <c:v>30036350.628889173</c:v>
                </c:pt>
                <c:pt idx="22">
                  <c:v>-14749761.649102286</c:v>
                </c:pt>
              </c:numCache>
            </c:numRef>
          </c:val>
          <c:extLst>
            <c:ext xmlns:c16="http://schemas.microsoft.com/office/drawing/2014/chart" uri="{C3380CC4-5D6E-409C-BE32-E72D297353CC}">
              <c16:uniqueId val="{00000001-2553-479C-8535-85E23C6CAD83}"/>
            </c:ext>
          </c:extLst>
        </c:ser>
        <c:ser>
          <c:idx val="0"/>
          <c:order val="2"/>
          <c:tx>
            <c:strRef>
              <c:f>'$ Tables and Graphs'!$W$3</c:f>
              <c:strCache>
                <c:ptCount val="1"/>
                <c:pt idx="0">
                  <c:v>23 In Progress</c:v>
                </c:pt>
              </c:strCache>
            </c:strRef>
          </c:tx>
          <c:spPr>
            <a:solidFill>
              <a:schemeClr val="accent2"/>
            </a:solidFill>
            <a:ln>
              <a:noFill/>
            </a:ln>
            <a:effectLst/>
          </c:spPr>
          <c:invertIfNegative val="0"/>
          <c:cat>
            <c:strRef>
              <c:f>'$ Tables and Graphs'!$U$4:$U$26</c:f>
              <c:strCache>
                <c:ptCount val="23"/>
                <c:pt idx="0">
                  <c:v>2020-2021</c:v>
                </c:pt>
                <c:pt idx="1">
                  <c:v>2021-2022</c:v>
                </c:pt>
                <c:pt idx="2">
                  <c:v>2022-2023</c:v>
                </c:pt>
                <c:pt idx="3">
                  <c:v>2023-2024</c:v>
                </c:pt>
                <c:pt idx="4">
                  <c:v>2024-2025</c:v>
                </c:pt>
                <c:pt idx="5">
                  <c:v>2025-2026</c:v>
                </c:pt>
                <c:pt idx="6">
                  <c:v>2026-2027</c:v>
                </c:pt>
                <c:pt idx="7">
                  <c:v>2027-2028</c:v>
                </c:pt>
                <c:pt idx="8">
                  <c:v>2028-2029</c:v>
                </c:pt>
                <c:pt idx="9">
                  <c:v>2029-2030</c:v>
                </c:pt>
                <c:pt idx="10">
                  <c:v>2030-2031</c:v>
                </c:pt>
                <c:pt idx="11">
                  <c:v>2031-2032</c:v>
                </c:pt>
                <c:pt idx="12">
                  <c:v>2032-2033</c:v>
                </c:pt>
                <c:pt idx="13">
                  <c:v>2033-2034</c:v>
                </c:pt>
                <c:pt idx="14">
                  <c:v>2034-2035</c:v>
                </c:pt>
                <c:pt idx="15">
                  <c:v>2035-2036</c:v>
                </c:pt>
                <c:pt idx="16">
                  <c:v>2036-2037</c:v>
                </c:pt>
                <c:pt idx="17">
                  <c:v>2037-2038</c:v>
                </c:pt>
                <c:pt idx="18">
                  <c:v>2038-2039</c:v>
                </c:pt>
                <c:pt idx="19">
                  <c:v>2039-2040</c:v>
                </c:pt>
                <c:pt idx="20">
                  <c:v>2040-2041</c:v>
                </c:pt>
                <c:pt idx="21">
                  <c:v>2041-2042</c:v>
                </c:pt>
                <c:pt idx="22">
                  <c:v>2042-2043</c:v>
                </c:pt>
              </c:strCache>
            </c:strRef>
          </c:cat>
          <c:val>
            <c:numRef>
              <c:f>'$ Tables and Graphs'!$W$4:$W$26</c:f>
              <c:numCache>
                <c:formatCode>"$"#,##0_);[Red]\("$"#,##0\)</c:formatCode>
                <c:ptCount val="23"/>
                <c:pt idx="0">
                  <c:v>0</c:v>
                </c:pt>
                <c:pt idx="1">
                  <c:v>0</c:v>
                </c:pt>
                <c:pt idx="2">
                  <c:v>0</c:v>
                </c:pt>
                <c:pt idx="3">
                  <c:v>0</c:v>
                </c:pt>
                <c:pt idx="4">
                  <c:v>0</c:v>
                </c:pt>
                <c:pt idx="5">
                  <c:v>197605304.35144299</c:v>
                </c:pt>
                <c:pt idx="6">
                  <c:v>248633336.93919981</c:v>
                </c:pt>
                <c:pt idx="7">
                  <c:v>184646499.09719396</c:v>
                </c:pt>
                <c:pt idx="8">
                  <c:v>184506367.8893404</c:v>
                </c:pt>
                <c:pt idx="9">
                  <c:v>171466126.5554722</c:v>
                </c:pt>
                <c:pt idx="10">
                  <c:v>156237491.56497237</c:v>
                </c:pt>
                <c:pt idx="11">
                  <c:v>153725696.62341756</c:v>
                </c:pt>
                <c:pt idx="12">
                  <c:v>116923380.87636513</c:v>
                </c:pt>
                <c:pt idx="13">
                  <c:v>73141250.444879204</c:v>
                </c:pt>
                <c:pt idx="14">
                  <c:v>60972972.472418845</c:v>
                </c:pt>
                <c:pt idx="15">
                  <c:v>51340910.521770552</c:v>
                </c:pt>
                <c:pt idx="16">
                  <c:v>41812903.123117089</c:v>
                </c:pt>
                <c:pt idx="17">
                  <c:v>32521713.352829136</c:v>
                </c:pt>
                <c:pt idx="18">
                  <c:v>23249160.842666835</c:v>
                </c:pt>
                <c:pt idx="19">
                  <c:v>14323564.249525819</c:v>
                </c:pt>
                <c:pt idx="20">
                  <c:v>5767983.1368765756</c:v>
                </c:pt>
                <c:pt idx="21">
                  <c:v>-3023616.5299745947</c:v>
                </c:pt>
                <c:pt idx="22">
                  <c:v>-11639044.015015617</c:v>
                </c:pt>
              </c:numCache>
            </c:numRef>
          </c:val>
          <c:extLst>
            <c:ext xmlns:c16="http://schemas.microsoft.com/office/drawing/2014/chart" uri="{C3380CC4-5D6E-409C-BE32-E72D297353CC}">
              <c16:uniqueId val="{00000002-2553-479C-8535-85E23C6CAD83}"/>
            </c:ext>
          </c:extLst>
        </c:ser>
        <c:ser>
          <c:idx val="1"/>
          <c:order val="3"/>
          <c:tx>
            <c:strRef>
              <c:f>'$ Tables and Graphs'!$X$3</c:f>
              <c:strCache>
                <c:ptCount val="1"/>
                <c:pt idx="0">
                  <c:v>24-25 Plan</c:v>
                </c:pt>
              </c:strCache>
            </c:strRef>
          </c:tx>
          <c:spPr>
            <a:solidFill>
              <a:schemeClr val="accent6">
                <a:lumMod val="20000"/>
                <a:lumOff val="80000"/>
              </a:schemeClr>
            </a:solidFill>
            <a:ln>
              <a:noFill/>
            </a:ln>
            <a:effectLst/>
          </c:spPr>
          <c:invertIfNegative val="0"/>
          <c:cat>
            <c:strRef>
              <c:f>'$ Tables and Graphs'!$U$4:$U$26</c:f>
              <c:strCache>
                <c:ptCount val="23"/>
                <c:pt idx="0">
                  <c:v>2020-2021</c:v>
                </c:pt>
                <c:pt idx="1">
                  <c:v>2021-2022</c:v>
                </c:pt>
                <c:pt idx="2">
                  <c:v>2022-2023</c:v>
                </c:pt>
                <c:pt idx="3">
                  <c:v>2023-2024</c:v>
                </c:pt>
                <c:pt idx="4">
                  <c:v>2024-2025</c:v>
                </c:pt>
                <c:pt idx="5">
                  <c:v>2025-2026</c:v>
                </c:pt>
                <c:pt idx="6">
                  <c:v>2026-2027</c:v>
                </c:pt>
                <c:pt idx="7">
                  <c:v>2027-2028</c:v>
                </c:pt>
                <c:pt idx="8">
                  <c:v>2028-2029</c:v>
                </c:pt>
                <c:pt idx="9">
                  <c:v>2029-2030</c:v>
                </c:pt>
                <c:pt idx="10">
                  <c:v>2030-2031</c:v>
                </c:pt>
                <c:pt idx="11">
                  <c:v>2031-2032</c:v>
                </c:pt>
                <c:pt idx="12">
                  <c:v>2032-2033</c:v>
                </c:pt>
                <c:pt idx="13">
                  <c:v>2033-2034</c:v>
                </c:pt>
                <c:pt idx="14">
                  <c:v>2034-2035</c:v>
                </c:pt>
                <c:pt idx="15">
                  <c:v>2035-2036</c:v>
                </c:pt>
                <c:pt idx="16">
                  <c:v>2036-2037</c:v>
                </c:pt>
                <c:pt idx="17">
                  <c:v>2037-2038</c:v>
                </c:pt>
                <c:pt idx="18">
                  <c:v>2038-2039</c:v>
                </c:pt>
                <c:pt idx="19">
                  <c:v>2039-2040</c:v>
                </c:pt>
                <c:pt idx="20">
                  <c:v>2040-2041</c:v>
                </c:pt>
                <c:pt idx="21">
                  <c:v>2041-2042</c:v>
                </c:pt>
                <c:pt idx="22">
                  <c:v>2042-2043</c:v>
                </c:pt>
              </c:strCache>
            </c:strRef>
          </c:cat>
          <c:val>
            <c:numRef>
              <c:f>'$ Tables and Graphs'!$X$4:$X$26</c:f>
              <c:numCache>
                <c:formatCode>"$"#,##0_);[Red]\("$"#,##0\)</c:formatCode>
                <c:ptCount val="23"/>
                <c:pt idx="0">
                  <c:v>0</c:v>
                </c:pt>
                <c:pt idx="1">
                  <c:v>0</c:v>
                </c:pt>
                <c:pt idx="2">
                  <c:v>0</c:v>
                </c:pt>
                <c:pt idx="3">
                  <c:v>0</c:v>
                </c:pt>
                <c:pt idx="4">
                  <c:v>0</c:v>
                </c:pt>
                <c:pt idx="5">
                  <c:v>0</c:v>
                </c:pt>
                <c:pt idx="6">
                  <c:v>197605304.35144299</c:v>
                </c:pt>
                <c:pt idx="7">
                  <c:v>318184100.83815616</c:v>
                </c:pt>
                <c:pt idx="8">
                  <c:v>185008917.90609142</c:v>
                </c:pt>
                <c:pt idx="9">
                  <c:v>171676375.1990847</c:v>
                </c:pt>
                <c:pt idx="10">
                  <c:v>156446688.96536678</c:v>
                </c:pt>
                <c:pt idx="11">
                  <c:v>153933848.03681004</c:v>
                </c:pt>
                <c:pt idx="12">
                  <c:v>148984998.27635789</c:v>
                </c:pt>
                <c:pt idx="13">
                  <c:v>109085112.85929269</c:v>
                </c:pt>
                <c:pt idx="14">
                  <c:v>66129179.603898585</c:v>
                </c:pt>
                <c:pt idx="15">
                  <c:v>51544930.025661558</c:v>
                </c:pt>
                <c:pt idx="16">
                  <c:v>42015902.529488638</c:v>
                </c:pt>
                <c:pt idx="17">
                  <c:v>32723697.762168825</c:v>
                </c:pt>
                <c:pt idx="18">
                  <c:v>23450135.32995984</c:v>
                </c:pt>
                <c:pt idx="19">
                  <c:v>14523533.864382345</c:v>
                </c:pt>
                <c:pt idx="20">
                  <c:v>5966952.9036588222</c:v>
                </c:pt>
                <c:pt idx="21">
                  <c:v>-2825641.6120262593</c:v>
                </c:pt>
                <c:pt idx="22">
                  <c:v>-11442058.971657015</c:v>
                </c:pt>
              </c:numCache>
            </c:numRef>
          </c:val>
          <c:extLst>
            <c:ext xmlns:c16="http://schemas.microsoft.com/office/drawing/2014/chart" uri="{C3380CC4-5D6E-409C-BE32-E72D297353CC}">
              <c16:uniqueId val="{00000003-2553-479C-8535-85E23C6CAD83}"/>
            </c:ext>
          </c:extLst>
        </c:ser>
        <c:ser>
          <c:idx val="2"/>
          <c:order val="4"/>
          <c:tx>
            <c:strRef>
              <c:f>'$ Tables and Graphs'!$Y$3</c:f>
              <c:strCache>
                <c:ptCount val="1"/>
                <c:pt idx="0">
                  <c:v>Future Plans</c:v>
                </c:pt>
              </c:strCache>
            </c:strRef>
          </c:tx>
          <c:spPr>
            <a:solidFill>
              <a:schemeClr val="accent4"/>
            </a:solidFill>
            <a:ln>
              <a:noFill/>
            </a:ln>
            <a:effectLst/>
          </c:spPr>
          <c:invertIfNegative val="0"/>
          <c:cat>
            <c:strRef>
              <c:f>'$ Tables and Graphs'!$U$4:$U$26</c:f>
              <c:strCache>
                <c:ptCount val="23"/>
                <c:pt idx="0">
                  <c:v>2020-2021</c:v>
                </c:pt>
                <c:pt idx="1">
                  <c:v>2021-2022</c:v>
                </c:pt>
                <c:pt idx="2">
                  <c:v>2022-2023</c:v>
                </c:pt>
                <c:pt idx="3">
                  <c:v>2023-2024</c:v>
                </c:pt>
                <c:pt idx="4">
                  <c:v>2024-2025</c:v>
                </c:pt>
                <c:pt idx="5">
                  <c:v>2025-2026</c:v>
                </c:pt>
                <c:pt idx="6">
                  <c:v>2026-2027</c:v>
                </c:pt>
                <c:pt idx="7">
                  <c:v>2027-2028</c:v>
                </c:pt>
                <c:pt idx="8">
                  <c:v>2028-2029</c:v>
                </c:pt>
                <c:pt idx="9">
                  <c:v>2029-2030</c:v>
                </c:pt>
                <c:pt idx="10">
                  <c:v>2030-2031</c:v>
                </c:pt>
                <c:pt idx="11">
                  <c:v>2031-2032</c:v>
                </c:pt>
                <c:pt idx="12">
                  <c:v>2032-2033</c:v>
                </c:pt>
                <c:pt idx="13">
                  <c:v>2033-2034</c:v>
                </c:pt>
                <c:pt idx="14">
                  <c:v>2034-2035</c:v>
                </c:pt>
                <c:pt idx="15">
                  <c:v>2035-2036</c:v>
                </c:pt>
                <c:pt idx="16">
                  <c:v>2036-2037</c:v>
                </c:pt>
                <c:pt idx="17">
                  <c:v>2037-2038</c:v>
                </c:pt>
                <c:pt idx="18">
                  <c:v>2038-2039</c:v>
                </c:pt>
                <c:pt idx="19">
                  <c:v>2039-2040</c:v>
                </c:pt>
                <c:pt idx="20">
                  <c:v>2040-2041</c:v>
                </c:pt>
                <c:pt idx="21">
                  <c:v>2041-2042</c:v>
                </c:pt>
                <c:pt idx="22">
                  <c:v>2042-2043</c:v>
                </c:pt>
              </c:strCache>
            </c:strRef>
          </c:cat>
          <c:val>
            <c:numRef>
              <c:f>'$ Tables and Graphs'!$Y$4:$Y$26</c:f>
              <c:numCache>
                <c:formatCode>"$"#,##0_);[Red]\("$"#,##0\)</c:formatCode>
                <c:ptCount val="23"/>
                <c:pt idx="0">
                  <c:v>0</c:v>
                </c:pt>
                <c:pt idx="1">
                  <c:v>0</c:v>
                </c:pt>
                <c:pt idx="2">
                  <c:v>0</c:v>
                </c:pt>
                <c:pt idx="3">
                  <c:v>0</c:v>
                </c:pt>
                <c:pt idx="4">
                  <c:v>0</c:v>
                </c:pt>
                <c:pt idx="5">
                  <c:v>0</c:v>
                </c:pt>
                <c:pt idx="6">
                  <c:v>0</c:v>
                </c:pt>
                <c:pt idx="7">
                  <c:v>55325287.636249989</c:v>
                </c:pt>
                <c:pt idx="8">
                  <c:v>293243500.40341485</c:v>
                </c:pt>
                <c:pt idx="9">
                  <c:v>370209017.3184368</c:v>
                </c:pt>
                <c:pt idx="10">
                  <c:v>422002404.54814202</c:v>
                </c:pt>
                <c:pt idx="11">
                  <c:v>487167029.31040204</c:v>
                </c:pt>
                <c:pt idx="12">
                  <c:v>538511791.28623796</c:v>
                </c:pt>
                <c:pt idx="13">
                  <c:v>557600398.64052653</c:v>
                </c:pt>
                <c:pt idx="14">
                  <c:v>579195489.69649565</c:v>
                </c:pt>
                <c:pt idx="15">
                  <c:v>485937223.14455014</c:v>
                </c:pt>
                <c:pt idx="16">
                  <c:v>434522784.75363559</c:v>
                </c:pt>
                <c:pt idx="17">
                  <c:v>378948760.92873102</c:v>
                </c:pt>
                <c:pt idx="18">
                  <c:v>318734641.65709907</c:v>
                </c:pt>
                <c:pt idx="19">
                  <c:v>255722648.76531446</c:v>
                </c:pt>
                <c:pt idx="20">
                  <c:v>190332694.54892534</c:v>
                </c:pt>
                <c:pt idx="21">
                  <c:v>105436246.34223247</c:v>
                </c:pt>
                <c:pt idx="22">
                  <c:v>106955396.7550208</c:v>
                </c:pt>
              </c:numCache>
            </c:numRef>
          </c:val>
          <c:extLst>
            <c:ext xmlns:c16="http://schemas.microsoft.com/office/drawing/2014/chart" uri="{C3380CC4-5D6E-409C-BE32-E72D297353CC}">
              <c16:uniqueId val="{00000004-2553-479C-8535-85E23C6CAD83}"/>
            </c:ext>
          </c:extLst>
        </c:ser>
        <c:dLbls>
          <c:showLegendKey val="0"/>
          <c:showVal val="0"/>
          <c:showCatName val="0"/>
          <c:showSerName val="0"/>
          <c:showPercent val="0"/>
          <c:showBubbleSize val="0"/>
        </c:dLbls>
        <c:gapWidth val="150"/>
        <c:overlap val="100"/>
        <c:axId val="590624800"/>
        <c:axId val="590625784"/>
      </c:barChart>
      <c:lineChart>
        <c:grouping val="standard"/>
        <c:varyColors val="0"/>
        <c:ser>
          <c:idx val="5"/>
          <c:order val="5"/>
          <c:tx>
            <c:strRef>
              <c:f>'$ Tables and Graphs'!$AA$3</c:f>
              <c:strCache>
                <c:ptCount val="1"/>
                <c:pt idx="0">
                  <c:v>Total Available Funds</c:v>
                </c:pt>
              </c:strCache>
            </c:strRef>
          </c:tx>
          <c:spPr>
            <a:ln w="28575" cap="rnd">
              <a:noFill/>
              <a:round/>
            </a:ln>
            <a:effectLst/>
          </c:spPr>
          <c:marker>
            <c:symbol val="dash"/>
            <c:size val="20"/>
            <c:spPr>
              <a:solidFill>
                <a:schemeClr val="accent6"/>
              </a:solidFill>
              <a:ln w="9525">
                <a:solidFill>
                  <a:schemeClr val="accent6"/>
                </a:solidFill>
              </a:ln>
              <a:effectLst/>
            </c:spPr>
          </c:marker>
          <c:cat>
            <c:strRef>
              <c:f>'$ Tables and Graphs'!$U$4:$U$26</c:f>
              <c:strCache>
                <c:ptCount val="23"/>
                <c:pt idx="0">
                  <c:v>2020-2021</c:v>
                </c:pt>
                <c:pt idx="1">
                  <c:v>2021-2022</c:v>
                </c:pt>
                <c:pt idx="2">
                  <c:v>2022-2023</c:v>
                </c:pt>
                <c:pt idx="3">
                  <c:v>2023-2024</c:v>
                </c:pt>
                <c:pt idx="4">
                  <c:v>2024-2025</c:v>
                </c:pt>
                <c:pt idx="5">
                  <c:v>2025-2026</c:v>
                </c:pt>
                <c:pt idx="6">
                  <c:v>2026-2027</c:v>
                </c:pt>
                <c:pt idx="7">
                  <c:v>2027-2028</c:v>
                </c:pt>
                <c:pt idx="8">
                  <c:v>2028-2029</c:v>
                </c:pt>
                <c:pt idx="9">
                  <c:v>2029-2030</c:v>
                </c:pt>
                <c:pt idx="10">
                  <c:v>2030-2031</c:v>
                </c:pt>
                <c:pt idx="11">
                  <c:v>2031-2032</c:v>
                </c:pt>
                <c:pt idx="12">
                  <c:v>2032-2033</c:v>
                </c:pt>
                <c:pt idx="13">
                  <c:v>2033-2034</c:v>
                </c:pt>
                <c:pt idx="14">
                  <c:v>2034-2035</c:v>
                </c:pt>
                <c:pt idx="15">
                  <c:v>2035-2036</c:v>
                </c:pt>
                <c:pt idx="16">
                  <c:v>2036-2037</c:v>
                </c:pt>
                <c:pt idx="17">
                  <c:v>2037-2038</c:v>
                </c:pt>
                <c:pt idx="18">
                  <c:v>2038-2039</c:v>
                </c:pt>
                <c:pt idx="19">
                  <c:v>2039-2040</c:v>
                </c:pt>
                <c:pt idx="20">
                  <c:v>2040-2041</c:v>
                </c:pt>
                <c:pt idx="21">
                  <c:v>2041-2042</c:v>
                </c:pt>
                <c:pt idx="22">
                  <c:v>2042-2043</c:v>
                </c:pt>
              </c:strCache>
            </c:strRef>
          </c:cat>
          <c:val>
            <c:numRef>
              <c:f>'$ Tables and Graphs'!$AA$4:$AA$26</c:f>
              <c:numCache>
                <c:formatCode>"$"#,##0_);[Red]\("$"#,##0\)</c:formatCode>
                <c:ptCount val="23"/>
                <c:pt idx="0">
                  <c:v>293790554.98094952</c:v>
                </c:pt>
                <c:pt idx="1">
                  <c:v>248134425.58190209</c:v>
                </c:pt>
                <c:pt idx="2">
                  <c:v>388579085.36245072</c:v>
                </c:pt>
                <c:pt idx="3">
                  <c:v>608816031.11881268</c:v>
                </c:pt>
                <c:pt idx="4">
                  <c:v>614495633.40314114</c:v>
                </c:pt>
                <c:pt idx="5">
                  <c:v>573025601.04308116</c:v>
                </c:pt>
                <c:pt idx="6">
                  <c:v>553811234.50097823</c:v>
                </c:pt>
                <c:pt idx="7">
                  <c:v>444379869.69813943</c:v>
                </c:pt>
                <c:pt idx="8">
                  <c:v>189781776.41871262</c:v>
                </c:pt>
                <c:pt idx="9">
                  <c:v>-135408384.30818617</c:v>
                </c:pt>
                <c:pt idx="10">
                  <c:v>-493812848.75269318</c:v>
                </c:pt>
                <c:pt idx="11">
                  <c:v>-840962286.75132906</c:v>
                </c:pt>
                <c:pt idx="12">
                  <c:v>-1187245032.4731317</c:v>
                </c:pt>
                <c:pt idx="13">
                  <c:v>-1523079228.2956247</c:v>
                </c:pt>
                <c:pt idx="14">
                  <c:v>-1752446581.7462397</c:v>
                </c:pt>
                <c:pt idx="15">
                  <c:v>-1928132654.0057821</c:v>
                </c:pt>
                <c:pt idx="16">
                  <c:v>-2030853450.3645997</c:v>
                </c:pt>
                <c:pt idx="17">
                  <c:v>-2049207018.8190608</c:v>
                </c:pt>
                <c:pt idx="18">
                  <c:v>-1986141602.065618</c:v>
                </c:pt>
                <c:pt idx="19">
                  <c:v>-1841859430.8637962</c:v>
                </c:pt>
                <c:pt idx="20">
                  <c:v>-1613307817.2334099</c:v>
                </c:pt>
                <c:pt idx="21">
                  <c:v>-1310162780.1249328</c:v>
                </c:pt>
                <c:pt idx="22">
                  <c:v>-856494208.62372756</c:v>
                </c:pt>
              </c:numCache>
            </c:numRef>
          </c:val>
          <c:smooth val="0"/>
          <c:extLst>
            <c:ext xmlns:c16="http://schemas.microsoft.com/office/drawing/2014/chart" uri="{C3380CC4-5D6E-409C-BE32-E72D297353CC}">
              <c16:uniqueId val="{00000005-2553-479C-8535-85E23C6CAD83}"/>
            </c:ext>
          </c:extLst>
        </c:ser>
        <c:dLbls>
          <c:showLegendKey val="0"/>
          <c:showVal val="0"/>
          <c:showCatName val="0"/>
          <c:showSerName val="0"/>
          <c:showPercent val="0"/>
          <c:showBubbleSize val="0"/>
        </c:dLbls>
        <c:marker val="1"/>
        <c:smooth val="0"/>
        <c:axId val="590624800"/>
        <c:axId val="590625784"/>
      </c:lineChart>
      <c:catAx>
        <c:axId val="590624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590625784"/>
        <c:crosses val="autoZero"/>
        <c:auto val="1"/>
        <c:lblAlgn val="ctr"/>
        <c:lblOffset val="100"/>
        <c:noMultiLvlLbl val="0"/>
      </c:catAx>
      <c:valAx>
        <c:axId val="59062578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5906248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153150" cy="9095054"/>
    <xdr:sp macro="" textlink="">
      <xdr:nvSpPr>
        <xdr:cNvPr id="2" name="TextBox 1">
          <a:extLst>
            <a:ext uri="{FF2B5EF4-FFF2-40B4-BE49-F238E27FC236}">
              <a16:creationId xmlns:a16="http://schemas.microsoft.com/office/drawing/2014/main" id="{6917C4A5-53B4-47A7-9714-8679422F431A}"/>
            </a:ext>
          </a:extLst>
        </xdr:cNvPr>
        <xdr:cNvSpPr txBox="1"/>
      </xdr:nvSpPr>
      <xdr:spPr>
        <a:xfrm>
          <a:off x="0" y="0"/>
          <a:ext cx="6153150" cy="90950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b="1" u="sng">
              <a:solidFill>
                <a:schemeClr val="tx1"/>
              </a:solidFill>
              <a:effectLst/>
              <a:latin typeface="+mn-lt"/>
              <a:ea typeface="+mn-ea"/>
              <a:cs typeface="+mn-cs"/>
            </a:rPr>
            <a:t>Appendix</a:t>
          </a:r>
          <a:r>
            <a:rPr lang="en-US" sz="1100" b="1" u="sng" baseline="0">
              <a:solidFill>
                <a:schemeClr val="tx1"/>
              </a:solidFill>
              <a:effectLst/>
              <a:latin typeface="+mn-lt"/>
              <a:ea typeface="+mn-ea"/>
              <a:cs typeface="+mn-cs"/>
            </a:rPr>
            <a:t> B</a:t>
          </a:r>
          <a:r>
            <a:rPr lang="en-US" sz="1100" b="1" u="sng">
              <a:solidFill>
                <a:schemeClr val="tx1"/>
              </a:solidFill>
              <a:effectLst/>
              <a:latin typeface="+mn-lt"/>
              <a:ea typeface="+mn-ea"/>
              <a:cs typeface="+mn-cs"/>
            </a:rPr>
            <a:t> Annotation by Tab</a:t>
          </a:r>
        </a:p>
        <a:p>
          <a:endParaRPr lang="en-US" sz="1400">
            <a:effectLst/>
          </a:endParaRPr>
        </a:p>
        <a:p>
          <a:r>
            <a:rPr lang="en-US" sz="1100" b="1" u="sng">
              <a:solidFill>
                <a:schemeClr val="tx1"/>
              </a:solidFill>
              <a:effectLst/>
              <a:latin typeface="+mn-lt"/>
              <a:ea typeface="+mn-ea"/>
              <a:cs typeface="+mn-cs"/>
            </a:rPr>
            <a:t>Collections and ACP</a:t>
          </a:r>
          <a:endParaRPr lang="en-US">
            <a:effectLst/>
          </a:endParaRPr>
        </a:p>
        <a:p>
          <a:r>
            <a:rPr lang="en-US" sz="1100">
              <a:solidFill>
                <a:schemeClr val="tx1"/>
              </a:solidFill>
              <a:effectLst/>
              <a:latin typeface="+mn-lt"/>
              <a:ea typeface="+mn-ea"/>
              <a:cs typeface="+mn-cs"/>
            </a:rPr>
            <a:t>This tab contains tables that show the Total Applicable Reference Year Delivered Volumes provided by each Utility, the RPS Rate Cap cost per MWh determined in law and the resulting Delivery Year RPS Budget. This tab also includes tables showing Net Available ACPs for each Utility as of January 2022, and the annual Delivery Year RPS Utility balance.</a:t>
          </a:r>
          <a:endParaRPr lang="en-US">
            <a:effectLst/>
          </a:endParaRPr>
        </a:p>
        <a:p>
          <a:r>
            <a:rPr lang="en-US" sz="1100">
              <a:solidFill>
                <a:schemeClr val="tx1"/>
              </a:solidFill>
              <a:effectLst/>
              <a:latin typeface="+mn-lt"/>
              <a:ea typeface="+mn-ea"/>
              <a:cs typeface="+mn-cs"/>
            </a:rPr>
            <a:t> </a:t>
          </a:r>
          <a:endParaRPr lang="en-US" sz="1100" b="1" u="sng">
            <a:solidFill>
              <a:schemeClr val="tx1"/>
            </a:solidFill>
            <a:effectLst/>
            <a:latin typeface="+mn-lt"/>
            <a:ea typeface="+mn-ea"/>
            <a:cs typeface="+mn-cs"/>
          </a:endParaRPr>
        </a:p>
        <a:p>
          <a:r>
            <a:rPr lang="en-US" sz="1100" b="1" u="sng">
              <a:solidFill>
                <a:schemeClr val="tx1"/>
              </a:solidFill>
              <a:effectLst/>
              <a:latin typeface="+mn-lt"/>
              <a:ea typeface="+mn-ea"/>
              <a:cs typeface="+mn-cs"/>
            </a:rPr>
            <a:t>Indexed REC</a:t>
          </a:r>
          <a:r>
            <a:rPr lang="en-US" sz="1100" b="1" u="sng" baseline="0">
              <a:solidFill>
                <a:schemeClr val="tx1"/>
              </a:solidFill>
              <a:effectLst/>
              <a:latin typeface="+mn-lt"/>
              <a:ea typeface="+mn-ea"/>
              <a:cs typeface="+mn-cs"/>
            </a:rPr>
            <a:t> Price Calculator</a:t>
          </a:r>
          <a:endParaRPr lang="en-US">
            <a:effectLst/>
          </a:endParaRPr>
        </a:p>
        <a:p>
          <a:r>
            <a:rPr lang="en-US" sz="1100">
              <a:solidFill>
                <a:schemeClr val="tx1"/>
              </a:solidFill>
              <a:effectLst/>
              <a:latin typeface="+mn-lt"/>
              <a:ea typeface="+mn-ea"/>
              <a:cs typeface="+mn-cs"/>
            </a:rPr>
            <a:t>This tab contains the REC price calculations for the Utility Scale Wind, Solar, and Brownfield Indexed RECs.</a:t>
          </a:r>
          <a:endParaRPr lang="en-US">
            <a:effectLst/>
          </a:endParaRPr>
        </a:p>
        <a:p>
          <a:endParaRPr lang="en-US" sz="1100" b="1" u="sng">
            <a:solidFill>
              <a:schemeClr val="tx1"/>
            </a:solidFill>
            <a:effectLst/>
            <a:latin typeface="+mn-lt"/>
            <a:ea typeface="+mn-ea"/>
            <a:cs typeface="+mn-cs"/>
          </a:endParaRPr>
        </a:p>
        <a:p>
          <a:r>
            <a:rPr lang="en-US" sz="1100" b="1" u="sng">
              <a:solidFill>
                <a:schemeClr val="tx1"/>
              </a:solidFill>
              <a:effectLst/>
              <a:latin typeface="+mn-lt"/>
              <a:ea typeface="+mn-ea"/>
              <a:cs typeface="+mn-cs"/>
            </a:rPr>
            <a:t>Indexed REC Activities</a:t>
          </a:r>
        </a:p>
        <a:p>
          <a:r>
            <a:rPr lang="en-US" sz="1100" b="0" u="none" baseline="0">
              <a:solidFill>
                <a:schemeClr val="tx1"/>
              </a:solidFill>
              <a:effectLst/>
              <a:latin typeface="+mn-lt"/>
              <a:ea typeface="+mn-ea"/>
              <a:cs typeface="+mn-cs"/>
            </a:rPr>
            <a:t>This tab contains the total RECs Delivered, the Total RECs under Contract through 2023, the Total Projected RECs to be Delivered. </a:t>
          </a:r>
        </a:p>
        <a:p>
          <a:endParaRPr lang="en-US" sz="1100" b="0" u="none" baseline="0">
            <a:solidFill>
              <a:schemeClr val="tx1"/>
            </a:solidFill>
            <a:effectLst/>
            <a:latin typeface="+mn-lt"/>
            <a:ea typeface="+mn-ea"/>
            <a:cs typeface="+mn-cs"/>
          </a:endParaRPr>
        </a:p>
        <a:p>
          <a:pPr marL="0" indent="0"/>
          <a:r>
            <a:rPr lang="en-US" sz="1100" b="1" u="sng">
              <a:solidFill>
                <a:schemeClr val="tx1"/>
              </a:solidFill>
              <a:effectLst/>
              <a:latin typeface="+mn-lt"/>
              <a:ea typeface="+mn-ea"/>
              <a:cs typeface="+mn-cs"/>
            </a:rPr>
            <a:t>Indexed REC Spend</a:t>
          </a:r>
        </a:p>
        <a:p>
          <a:r>
            <a:rPr lang="en-US" sz="1100" b="0" u="none" baseline="0">
              <a:solidFill>
                <a:schemeClr val="tx1"/>
              </a:solidFill>
              <a:effectLst/>
              <a:latin typeface="+mn-lt"/>
              <a:ea typeface="+mn-ea"/>
              <a:cs typeface="+mn-cs"/>
            </a:rPr>
            <a:t>This tab includes tables that consolidate the entire current and projected </a:t>
          </a:r>
          <a:r>
            <a:rPr lang="en-US" sz="1100">
              <a:solidFill>
                <a:schemeClr val="tx1"/>
              </a:solidFill>
              <a:effectLst/>
              <a:latin typeface="+mn-lt"/>
              <a:ea typeface="+mn-ea"/>
              <a:cs typeface="+mn-cs"/>
            </a:rPr>
            <a:t>Utility Scale Wind, Solar, and Brownfield Indexed REC</a:t>
          </a:r>
          <a:r>
            <a:rPr lang="en-US" sz="1100" b="0" u="none" baseline="0">
              <a:solidFill>
                <a:schemeClr val="tx1"/>
              </a:solidFill>
              <a:effectLst/>
              <a:latin typeface="+mn-lt"/>
              <a:ea typeface="+mn-ea"/>
              <a:cs typeface="+mn-cs"/>
            </a:rPr>
            <a:t> spending by Delivery Year.</a:t>
          </a:r>
        </a:p>
        <a:p>
          <a:pPr marL="0" indent="0"/>
          <a:endParaRPr lang="en-US" sz="1100" b="1" u="sng">
            <a:solidFill>
              <a:schemeClr val="tx1"/>
            </a:solidFill>
            <a:effectLst/>
            <a:latin typeface="+mn-lt"/>
            <a:ea typeface="+mn-ea"/>
            <a:cs typeface="+mn-cs"/>
          </a:endParaRPr>
        </a:p>
        <a:p>
          <a:pPr marL="0" indent="0"/>
          <a:r>
            <a:rPr lang="en-US" sz="1100" b="1" u="sng">
              <a:solidFill>
                <a:schemeClr val="tx1"/>
              </a:solidFill>
              <a:effectLst/>
              <a:latin typeface="+mn-lt"/>
              <a:ea typeface="+mn-ea"/>
              <a:cs typeface="+mn-cs"/>
            </a:rPr>
            <a:t>ABP Future Assumptions</a:t>
          </a:r>
        </a:p>
        <a:p>
          <a:r>
            <a:rPr lang="en-US" sz="1100" b="0" u="none" baseline="0">
              <a:solidFill>
                <a:schemeClr val="tx1"/>
              </a:solidFill>
              <a:effectLst/>
              <a:latin typeface="+mn-lt"/>
              <a:ea typeface="+mn-ea"/>
              <a:cs typeface="+mn-cs"/>
            </a:rPr>
            <a:t>This tab contains assumptions used as inputs to model Delivery Years 2024-2025, 2025-2026 ABP Block Sizes, Capacity Factors, REC Prices, REC Degradation Rate, and REC Price Annual Decrease. </a:t>
          </a:r>
        </a:p>
        <a:p>
          <a:endParaRPr lang="en-US" sz="1100" b="0" u="none" baseline="0">
            <a:solidFill>
              <a:schemeClr val="tx1"/>
            </a:solidFill>
            <a:effectLst/>
            <a:latin typeface="+mn-lt"/>
            <a:ea typeface="+mn-ea"/>
            <a:cs typeface="+mn-cs"/>
          </a:endParaRPr>
        </a:p>
        <a:p>
          <a:pPr marL="0" indent="0"/>
          <a:r>
            <a:rPr lang="en-US" sz="1100" b="1" u="sng">
              <a:solidFill>
                <a:schemeClr val="tx1"/>
              </a:solidFill>
              <a:effectLst/>
              <a:latin typeface="+mn-lt"/>
              <a:ea typeface="+mn-ea"/>
              <a:cs typeface="+mn-cs"/>
            </a:rPr>
            <a:t>24-25 Activities</a:t>
          </a:r>
        </a:p>
        <a:p>
          <a:r>
            <a:rPr lang="en-US" sz="1100" b="0" u="none" baseline="0">
              <a:solidFill>
                <a:schemeClr val="tx1"/>
              </a:solidFill>
              <a:effectLst/>
              <a:latin typeface="+mn-lt"/>
              <a:ea typeface="+mn-ea"/>
              <a:cs typeface="+mn-cs"/>
            </a:rPr>
            <a:t>This tab contains the REC delivery schedules for ABP that are under contract, as well as the REC payment schedule using the ABP Future assumptions tab as inputs. </a:t>
          </a:r>
        </a:p>
        <a:p>
          <a:endParaRPr lang="en-US" sz="1100" b="0" u="none" baseline="0">
            <a:solidFill>
              <a:schemeClr val="tx1"/>
            </a:solidFill>
            <a:effectLst/>
            <a:latin typeface="+mn-lt"/>
            <a:ea typeface="+mn-ea"/>
            <a:cs typeface="+mn-cs"/>
          </a:endParaRPr>
        </a:p>
        <a:p>
          <a:pPr marL="0" indent="0"/>
          <a:r>
            <a:rPr lang="en-US" sz="1100" b="1" u="sng">
              <a:solidFill>
                <a:schemeClr val="tx1"/>
              </a:solidFill>
              <a:effectLst/>
              <a:latin typeface="+mn-lt"/>
              <a:ea typeface="+mn-ea"/>
              <a:cs typeface="+mn-cs"/>
            </a:rPr>
            <a:t>Projected ABP RECs</a:t>
          </a:r>
        </a:p>
        <a:p>
          <a:r>
            <a:rPr lang="en-US" sz="1100" b="0" u="none" baseline="0">
              <a:solidFill>
                <a:schemeClr val="tx1"/>
              </a:solidFill>
              <a:effectLst/>
              <a:latin typeface="+mn-lt"/>
              <a:ea typeface="+mn-ea"/>
              <a:cs typeface="+mn-cs"/>
            </a:rPr>
            <a:t>This tab contains the projected ABP RECs to be delivered.</a:t>
          </a:r>
        </a:p>
        <a:p>
          <a:endParaRPr lang="en-US" sz="1100" b="0" u="none" baseline="0">
            <a:solidFill>
              <a:schemeClr val="tx1"/>
            </a:solidFill>
            <a:effectLst/>
            <a:latin typeface="+mn-lt"/>
            <a:ea typeface="+mn-ea"/>
            <a:cs typeface="+mn-cs"/>
          </a:endParaRPr>
        </a:p>
        <a:p>
          <a:r>
            <a:rPr lang="en-US" sz="1100" b="1" u="sng" baseline="0">
              <a:solidFill>
                <a:schemeClr val="tx1"/>
              </a:solidFill>
              <a:effectLst/>
              <a:latin typeface="+mn-lt"/>
              <a:ea typeface="+mn-ea"/>
              <a:cs typeface="+mn-cs"/>
            </a:rPr>
            <a:t>Projected ABP Spend</a:t>
          </a:r>
        </a:p>
        <a:p>
          <a:r>
            <a:rPr lang="en-US" sz="1100" b="0" u="none" baseline="0">
              <a:solidFill>
                <a:schemeClr val="tx1"/>
              </a:solidFill>
              <a:effectLst/>
              <a:latin typeface="+mn-lt"/>
              <a:ea typeface="+mn-ea"/>
              <a:cs typeface="+mn-cs"/>
            </a:rPr>
            <a:t>This tab contains the projected ABP spending.</a:t>
          </a:r>
        </a:p>
        <a:p>
          <a:endParaRPr lang="en-US" sz="1100" b="0" u="none" baseline="0">
            <a:solidFill>
              <a:schemeClr val="tx1"/>
            </a:solidFill>
            <a:effectLst/>
            <a:latin typeface="+mn-lt"/>
            <a:ea typeface="+mn-ea"/>
            <a:cs typeface="+mn-cs"/>
          </a:endParaRPr>
        </a:p>
        <a:p>
          <a:r>
            <a:rPr lang="en-US" sz="1100" b="1" u="sng" baseline="0">
              <a:solidFill>
                <a:schemeClr val="tx1"/>
              </a:solidFill>
              <a:effectLst/>
              <a:latin typeface="+mn-lt"/>
              <a:ea typeface="+mn-ea"/>
              <a:cs typeface="+mn-cs"/>
            </a:rPr>
            <a:t>ABP Under Contract</a:t>
          </a:r>
        </a:p>
        <a:p>
          <a:r>
            <a:rPr lang="en-US" sz="1100" b="0" u="none" baseline="0">
              <a:solidFill>
                <a:schemeClr val="tx1"/>
              </a:solidFill>
              <a:effectLst/>
              <a:latin typeface="+mn-lt"/>
              <a:ea typeface="+mn-ea"/>
              <a:cs typeface="+mn-cs"/>
            </a:rPr>
            <a:t>This tab shows current ABP RECs under contract.</a:t>
          </a:r>
        </a:p>
        <a:p>
          <a:endParaRPr lang="en-US" sz="1100" b="0" u="none" baseline="0">
            <a:solidFill>
              <a:schemeClr val="tx1"/>
            </a:solidFill>
            <a:effectLst/>
            <a:latin typeface="+mn-lt"/>
            <a:ea typeface="+mn-ea"/>
            <a:cs typeface="+mn-cs"/>
          </a:endParaRPr>
        </a:p>
        <a:p>
          <a:r>
            <a:rPr lang="en-US" sz="1100" b="1" u="sng">
              <a:solidFill>
                <a:schemeClr val="tx1"/>
              </a:solidFill>
              <a:effectLst/>
              <a:latin typeface="+mn-lt"/>
              <a:ea typeface="+mn-ea"/>
              <a:cs typeface="+mn-cs"/>
            </a:rPr>
            <a:t>Total REC Delivery Activities</a:t>
          </a:r>
          <a:endParaRPr lang="en-US">
            <a:effectLst/>
          </a:endParaRPr>
        </a:p>
        <a:p>
          <a:r>
            <a:rPr lang="en-US" sz="1100">
              <a:solidFill>
                <a:schemeClr val="tx1"/>
              </a:solidFill>
              <a:effectLst/>
              <a:latin typeface="+mn-lt"/>
              <a:ea typeface="+mn-ea"/>
              <a:cs typeface="+mn-cs"/>
            </a:rPr>
            <a:t>This tab contains tables showing the REC Delivery Schedule created by each year’s new ABP opening, Utility Wind, Utility Solar and Brownfield Procurement.</a:t>
          </a:r>
          <a:r>
            <a:rPr lang="en-US" sz="1100" baseline="0">
              <a:solidFill>
                <a:schemeClr val="tx1"/>
              </a:solidFill>
              <a:effectLst/>
              <a:latin typeface="+mn-lt"/>
              <a:ea typeface="+mn-ea"/>
              <a:cs typeface="+mn-cs"/>
            </a:rPr>
            <a:t> </a:t>
          </a:r>
        </a:p>
        <a:p>
          <a:endParaRPr lang="en-US" sz="1100" b="0" u="none" baseline="0">
            <a:solidFill>
              <a:schemeClr val="tx1"/>
            </a:solidFill>
            <a:effectLst/>
            <a:latin typeface="+mn-lt"/>
            <a:ea typeface="+mn-ea"/>
            <a:cs typeface="+mn-cs"/>
          </a:endParaRPr>
        </a:p>
        <a:p>
          <a:r>
            <a:rPr lang="en-US" sz="1100" b="1" u="sng">
              <a:solidFill>
                <a:schemeClr val="tx1"/>
              </a:solidFill>
              <a:effectLst/>
              <a:latin typeface="+mn-lt"/>
              <a:ea typeface="+mn-ea"/>
              <a:cs typeface="+mn-cs"/>
            </a:rPr>
            <a:t>Total REC Spend Activities</a:t>
          </a:r>
          <a:endParaRPr lang="en-US">
            <a:effectLst/>
          </a:endParaRPr>
        </a:p>
        <a:p>
          <a:r>
            <a:rPr lang="en-US" sz="1100">
              <a:solidFill>
                <a:schemeClr val="tx1"/>
              </a:solidFill>
              <a:effectLst/>
              <a:latin typeface="+mn-lt"/>
              <a:ea typeface="+mn-ea"/>
              <a:cs typeface="+mn-cs"/>
            </a:rPr>
            <a:t>This tab contains tables showing the spend created each year by new ABP opening, Utility Wind, Utility Solar and Brownfield Procurements. </a:t>
          </a:r>
        </a:p>
        <a:p>
          <a:endParaRPr lang="en-US" sz="1100">
            <a:solidFill>
              <a:schemeClr val="tx1"/>
            </a:solidFill>
            <a:effectLst/>
            <a:latin typeface="+mn-lt"/>
            <a:ea typeface="+mn-ea"/>
            <a:cs typeface="+mn-cs"/>
          </a:endParaRPr>
        </a:p>
        <a:p>
          <a:r>
            <a:rPr lang="en-US" sz="1100" b="1" u="sng">
              <a:solidFill>
                <a:schemeClr val="tx1"/>
              </a:solidFill>
              <a:effectLst/>
              <a:latin typeface="+mn-lt"/>
              <a:ea typeface="+mn-ea"/>
              <a:cs typeface="+mn-cs"/>
            </a:rPr>
            <a:t>$ Tables and Graphs</a:t>
          </a:r>
          <a:endParaRPr lang="en-US">
            <a:effectLst/>
          </a:endParaRPr>
        </a:p>
        <a:p>
          <a:r>
            <a:rPr lang="en-US" sz="1100">
              <a:solidFill>
                <a:schemeClr val="tx1"/>
              </a:solidFill>
              <a:effectLst/>
              <a:latin typeface="+mn-lt"/>
              <a:ea typeface="+mn-ea"/>
              <a:cs typeface="+mn-cs"/>
            </a:rPr>
            <a:t>This tab contains the RPS Spend Model tables and graphs showing Legacy Programs, In Progress, Proposed in This Plan, Potential Future Activities, and Set Asides (Figure 3-3). The spend data is also broken out by Utility. This data is calculated from the “RPS Spend” Tab.</a:t>
          </a:r>
        </a:p>
        <a:p>
          <a:endParaRPr lang="en-US" sz="1100" b="0" u="none" baseline="0">
            <a:solidFill>
              <a:schemeClr val="tx1"/>
            </a:solidFill>
            <a:effectLst/>
            <a:latin typeface="+mn-lt"/>
            <a:ea typeface="+mn-ea"/>
            <a:cs typeface="+mn-cs"/>
          </a:endParaRPr>
        </a:p>
        <a:p>
          <a:r>
            <a:rPr lang="en-US" sz="1100" b="1" u="sng">
              <a:solidFill>
                <a:schemeClr val="tx1"/>
              </a:solidFill>
              <a:effectLst/>
              <a:latin typeface="+mn-lt"/>
              <a:ea typeface="+mn-ea"/>
              <a:cs typeface="+mn-cs"/>
            </a:rPr>
            <a:t>Ch.</a:t>
          </a:r>
          <a:r>
            <a:rPr lang="en-US" sz="1100" b="1" u="sng" baseline="0">
              <a:solidFill>
                <a:schemeClr val="tx1"/>
              </a:solidFill>
              <a:effectLst/>
              <a:latin typeface="+mn-lt"/>
              <a:ea typeface="+mn-ea"/>
              <a:cs typeface="+mn-cs"/>
            </a:rPr>
            <a:t> 3 Tables and Graphs</a:t>
          </a:r>
        </a:p>
        <a:p>
          <a:r>
            <a:rPr lang="en-US" sz="1100" b="0" u="none" baseline="0">
              <a:solidFill>
                <a:schemeClr val="tx1"/>
              </a:solidFill>
              <a:effectLst/>
              <a:latin typeface="+mn-lt"/>
              <a:ea typeface="+mn-ea"/>
              <a:cs typeface="+mn-cs"/>
            </a:rPr>
            <a:t>This tab includes Figures for chapter 3 of the Long-term Renewable Resources Procurement Plan.</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12</xdr:col>
      <xdr:colOff>236536</xdr:colOff>
      <xdr:row>108</xdr:row>
      <xdr:rowOff>68265</xdr:rowOff>
    </xdr:from>
    <xdr:to>
      <xdr:col>22</xdr:col>
      <xdr:colOff>404812</xdr:colOff>
      <xdr:row>137</xdr:row>
      <xdr:rowOff>23812</xdr:rowOff>
    </xdr:to>
    <xdr:graphicFrame macro="">
      <xdr:nvGraphicFramePr>
        <xdr:cNvPr id="2" name="Chart 1">
          <a:extLst>
            <a:ext uri="{FF2B5EF4-FFF2-40B4-BE49-F238E27FC236}">
              <a16:creationId xmlns:a16="http://schemas.microsoft.com/office/drawing/2014/main" id="{A8A3553D-86CE-4574-B73E-B7F27B66AD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20638</xdr:colOff>
      <xdr:row>30</xdr:row>
      <xdr:rowOff>102393</xdr:rowOff>
    </xdr:from>
    <xdr:to>
      <xdr:col>28</xdr:col>
      <xdr:colOff>268288</xdr:colOff>
      <xdr:row>43</xdr:row>
      <xdr:rowOff>100012</xdr:rowOff>
    </xdr:to>
    <xdr:graphicFrame macro="">
      <xdr:nvGraphicFramePr>
        <xdr:cNvPr id="3" name="Chart 2">
          <a:extLst>
            <a:ext uri="{FF2B5EF4-FFF2-40B4-BE49-F238E27FC236}">
              <a16:creationId xmlns:a16="http://schemas.microsoft.com/office/drawing/2014/main" id="{4BD5608C-10CC-4CD7-BC05-753135277A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369093</xdr:colOff>
      <xdr:row>0</xdr:row>
      <xdr:rowOff>188912</xdr:rowOff>
    </xdr:from>
    <xdr:to>
      <xdr:col>14</xdr:col>
      <xdr:colOff>40481</xdr:colOff>
      <xdr:row>28</xdr:row>
      <xdr:rowOff>11906</xdr:rowOff>
    </xdr:to>
    <xdr:graphicFrame macro="">
      <xdr:nvGraphicFramePr>
        <xdr:cNvPr id="4" name="Chart 3">
          <a:extLst>
            <a:ext uri="{FF2B5EF4-FFF2-40B4-BE49-F238E27FC236}">
              <a16:creationId xmlns:a16="http://schemas.microsoft.com/office/drawing/2014/main" id="{2F03C03D-F4D4-49DE-94E3-BD04B72EC1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892968</xdr:colOff>
      <xdr:row>153</xdr:row>
      <xdr:rowOff>98822</xdr:rowOff>
    </xdr:from>
    <xdr:to>
      <xdr:col>25</xdr:col>
      <xdr:colOff>166686</xdr:colOff>
      <xdr:row>184</xdr:row>
      <xdr:rowOff>83344</xdr:rowOff>
    </xdr:to>
    <xdr:graphicFrame macro="">
      <xdr:nvGraphicFramePr>
        <xdr:cNvPr id="7" name="Chart 6">
          <a:extLst>
            <a:ext uri="{FF2B5EF4-FFF2-40B4-BE49-F238E27FC236}">
              <a16:creationId xmlns:a16="http://schemas.microsoft.com/office/drawing/2014/main" id="{01A4F5E9-D336-5E16-9548-37457983C1B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30</xdr:col>
      <xdr:colOff>228600</xdr:colOff>
      <xdr:row>2</xdr:row>
      <xdr:rowOff>51857</xdr:rowOff>
    </xdr:from>
    <xdr:to>
      <xdr:col>42</xdr:col>
      <xdr:colOff>255058</xdr:colOff>
      <xdr:row>22</xdr:row>
      <xdr:rowOff>161925</xdr:rowOff>
    </xdr:to>
    <xdr:graphicFrame macro="">
      <xdr:nvGraphicFramePr>
        <xdr:cNvPr id="2" name="Chart 1">
          <a:extLst>
            <a:ext uri="{FF2B5EF4-FFF2-40B4-BE49-F238E27FC236}">
              <a16:creationId xmlns:a16="http://schemas.microsoft.com/office/drawing/2014/main" id="{06F05998-B4E1-4526-83F9-1EB99B0FD2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FA17E-D200-4FAE-8680-D980E1C1E70A}">
  <sheetPr>
    <tabColor theme="0"/>
    <pageSetUpPr fitToPage="1"/>
  </sheetPr>
  <dimension ref="A1"/>
  <sheetViews>
    <sheetView showGridLines="0" tabSelected="1" zoomScaleNormal="100" zoomScaleSheetLayoutView="100" workbookViewId="0">
      <selection activeCell="L3" sqref="L3"/>
    </sheetView>
  </sheetViews>
  <sheetFormatPr defaultColWidth="8.6328125" defaultRowHeight="14.5" x14ac:dyDescent="0.35"/>
  <cols>
    <col min="13" max="13" width="11.36328125" bestFit="1" customWidth="1"/>
  </cols>
  <sheetData/>
  <printOptions horizontalCentered="1" verticalCentered="1"/>
  <pageMargins left="0.7" right="0.7" top="0.75" bottom="0.75" header="0.3" footer="0.3"/>
  <pageSetup fitToHeight="3" orientation="portrait" r:id="rId1"/>
  <customProperties>
    <customPr name="GU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76085-826D-4141-AB7F-626D98B67713}">
  <sheetPr>
    <tabColor theme="7" tint="0.59999389629810485"/>
    <pageSetUpPr fitToPage="1"/>
  </sheetPr>
  <dimension ref="A1:U205"/>
  <sheetViews>
    <sheetView topLeftCell="F3" zoomScaleNormal="100" workbookViewId="0">
      <selection activeCell="L3" sqref="L3"/>
    </sheetView>
  </sheetViews>
  <sheetFormatPr defaultColWidth="8.54296875" defaultRowHeight="14.5" x14ac:dyDescent="0.35"/>
  <cols>
    <col min="1" max="1" width="45.08984375" style="19" bestFit="1" customWidth="1"/>
    <col min="2" max="2" width="14.453125" style="19" customWidth="1"/>
    <col min="3" max="4" width="16.54296875" style="19" bestFit="1" customWidth="1"/>
    <col min="5" max="7" width="17" style="19" bestFit="1" customWidth="1"/>
    <col min="8" max="8" width="16.54296875" style="19" bestFit="1" customWidth="1"/>
    <col min="9" max="10" width="17" style="19" bestFit="1" customWidth="1"/>
    <col min="11" max="11" width="16.54296875" style="19" bestFit="1" customWidth="1"/>
    <col min="12" max="12" width="17" style="19" bestFit="1" customWidth="1"/>
    <col min="13" max="13" width="16.54296875" style="19" bestFit="1" customWidth="1"/>
    <col min="14" max="15" width="17" style="19" bestFit="1" customWidth="1"/>
    <col min="16" max="16" width="16.54296875" style="19" bestFit="1" customWidth="1"/>
    <col min="17" max="17" width="16.453125" style="19" bestFit="1" customWidth="1"/>
    <col min="18" max="20" width="17" style="19" bestFit="1" customWidth="1"/>
    <col min="21" max="21" width="15.453125" style="19" bestFit="1" customWidth="1"/>
    <col min="22" max="26" width="13.54296875" style="19" bestFit="1" customWidth="1"/>
    <col min="27" max="34" width="8.54296875" style="19"/>
    <col min="35" max="35" width="8.54296875" style="19" customWidth="1"/>
    <col min="36" max="16382" width="8.54296875" style="19"/>
    <col min="16383" max="16384" width="8.54296875" style="19" bestFit="1"/>
  </cols>
  <sheetData>
    <row r="1" spans="1:21" ht="15.5" x14ac:dyDescent="0.35">
      <c r="A1" s="77" t="s">
        <v>174</v>
      </c>
      <c r="B1" s="77">
        <v>2024</v>
      </c>
      <c r="C1" s="220">
        <v>2025</v>
      </c>
      <c r="D1" s="220">
        <v>2026</v>
      </c>
      <c r="E1" s="220">
        <v>2027</v>
      </c>
      <c r="F1" s="220">
        <v>2028</v>
      </c>
      <c r="G1" s="220">
        <v>2029</v>
      </c>
      <c r="H1" s="220">
        <v>2030</v>
      </c>
      <c r="I1" s="220">
        <v>2031</v>
      </c>
      <c r="J1" s="220">
        <v>2032</v>
      </c>
      <c r="K1" s="220">
        <v>2033</v>
      </c>
      <c r="L1" s="220">
        <v>2034</v>
      </c>
      <c r="M1" s="220">
        <v>2035</v>
      </c>
      <c r="N1" s="220">
        <v>2036</v>
      </c>
      <c r="O1" s="220">
        <v>2037</v>
      </c>
      <c r="P1" s="220">
        <v>2038</v>
      </c>
      <c r="Q1" s="220">
        <v>2039</v>
      </c>
      <c r="R1" s="220">
        <v>2040</v>
      </c>
      <c r="S1" s="220">
        <v>2041</v>
      </c>
      <c r="T1" s="220">
        <v>2042</v>
      </c>
      <c r="U1" s="220">
        <v>2043</v>
      </c>
    </row>
    <row r="2" spans="1:21" x14ac:dyDescent="0.35">
      <c r="A2" s="164" t="s">
        <v>131</v>
      </c>
      <c r="B2" s="164">
        <f>'ABP Future Assumptions'!I6</f>
        <v>102851422.74519978</v>
      </c>
      <c r="C2" s="166"/>
      <c r="D2" s="166"/>
      <c r="E2" s="166"/>
      <c r="F2" s="166"/>
      <c r="G2" s="166"/>
      <c r="H2" s="166"/>
      <c r="I2" s="166"/>
      <c r="J2" s="166"/>
      <c r="K2" s="166"/>
      <c r="L2" s="166"/>
      <c r="M2" s="166"/>
      <c r="N2" s="166"/>
      <c r="O2" s="166"/>
      <c r="P2" s="166"/>
      <c r="Q2" s="166"/>
      <c r="R2" s="166"/>
      <c r="S2" s="166"/>
      <c r="T2" s="166"/>
      <c r="U2" s="166"/>
    </row>
    <row r="3" spans="1:21" x14ac:dyDescent="0.35">
      <c r="A3" s="164" t="s">
        <v>137</v>
      </c>
      <c r="B3" s="166">
        <f>'ABP Future Assumptions'!I13*0.15</f>
        <v>14056875.504489457</v>
      </c>
      <c r="C3" s="166">
        <f>('ABP Future Assumptions'!I13-'Projected ABP Spend'!B3)/6</f>
        <v>13275937.976462267</v>
      </c>
      <c r="D3" s="166">
        <f>C3</f>
        <v>13275937.976462267</v>
      </c>
      <c r="E3" s="166">
        <f>D3</f>
        <v>13275937.976462267</v>
      </c>
      <c r="F3" s="166">
        <f>E3</f>
        <v>13275937.976462267</v>
      </c>
      <c r="G3" s="166">
        <f>F3</f>
        <v>13275937.976462267</v>
      </c>
      <c r="H3" s="166">
        <f>G3</f>
        <v>13275937.976462267</v>
      </c>
      <c r="J3" s="166"/>
      <c r="K3" s="166"/>
      <c r="L3" s="166"/>
      <c r="M3" s="166"/>
      <c r="N3" s="166"/>
      <c r="O3" s="166"/>
      <c r="P3" s="166"/>
      <c r="Q3" s="166"/>
      <c r="R3" s="166"/>
      <c r="S3" s="166"/>
      <c r="T3" s="166"/>
      <c r="U3" s="166"/>
    </row>
    <row r="4" spans="1:21" x14ac:dyDescent="0.35">
      <c r="A4" s="164" t="s">
        <v>146</v>
      </c>
      <c r="B4" s="164"/>
      <c r="C4" s="166">
        <f>'ABP Future Assumptions'!I26/20</f>
        <v>8728917.1706380751</v>
      </c>
      <c r="D4" s="166">
        <f>C4*0.995</f>
        <v>8685272.584784884</v>
      </c>
      <c r="E4" s="166">
        <f t="shared" ref="E4:U4" si="0">D4*0.995</f>
        <v>8641846.2218609601</v>
      </c>
      <c r="F4" s="166">
        <f t="shared" si="0"/>
        <v>8598636.9907516558</v>
      </c>
      <c r="G4" s="166">
        <f t="shared" si="0"/>
        <v>8555643.8057978973</v>
      </c>
      <c r="H4" s="166">
        <f t="shared" si="0"/>
        <v>8512865.5867689084</v>
      </c>
      <c r="I4" s="166">
        <f t="shared" si="0"/>
        <v>8470301.2588350642</v>
      </c>
      <c r="J4" s="166">
        <f t="shared" si="0"/>
        <v>8427949.7525408883</v>
      </c>
      <c r="K4" s="166">
        <f t="shared" si="0"/>
        <v>8385810.0037781838</v>
      </c>
      <c r="L4" s="166">
        <f t="shared" si="0"/>
        <v>8343880.9537592931</v>
      </c>
      <c r="M4" s="166">
        <f t="shared" si="0"/>
        <v>8302161.5489904964</v>
      </c>
      <c r="N4" s="166">
        <f t="shared" si="0"/>
        <v>8260650.7412455436</v>
      </c>
      <c r="O4" s="166">
        <f t="shared" si="0"/>
        <v>8219347.4875393156</v>
      </c>
      <c r="P4" s="166">
        <f t="shared" si="0"/>
        <v>8178250.7501016194</v>
      </c>
      <c r="Q4" s="166">
        <f t="shared" si="0"/>
        <v>8137359.4963511117</v>
      </c>
      <c r="R4" s="166">
        <f t="shared" si="0"/>
        <v>8096672.698869356</v>
      </c>
      <c r="S4" s="166">
        <f t="shared" si="0"/>
        <v>8056189.3353750091</v>
      </c>
      <c r="T4" s="166">
        <f t="shared" si="0"/>
        <v>8015908.3886981336</v>
      </c>
      <c r="U4" s="166">
        <f t="shared" si="0"/>
        <v>7975828.8467546431</v>
      </c>
    </row>
    <row r="5" spans="1:21" x14ac:dyDescent="0.35">
      <c r="A5" s="164" t="s">
        <v>151</v>
      </c>
      <c r="B5" s="164"/>
      <c r="C5" s="166">
        <f>'ABP Future Assumptions'!I43/20</f>
        <v>17317222.437943511</v>
      </c>
      <c r="D5" s="166">
        <f>C5*0.995</f>
        <v>17230636.325753793</v>
      </c>
      <c r="E5" s="166">
        <f>D5*0.995</f>
        <v>17144483.144125026</v>
      </c>
      <c r="F5" s="166">
        <f t="shared" ref="F5:U5" si="1">E5*0.995</f>
        <v>17058760.728404399</v>
      </c>
      <c r="G5" s="166">
        <f t="shared" si="1"/>
        <v>16973466.924762376</v>
      </c>
      <c r="H5" s="166">
        <f t="shared" si="1"/>
        <v>16888599.590138562</v>
      </c>
      <c r="I5" s="166">
        <f t="shared" si="1"/>
        <v>16804156.59218787</v>
      </c>
      <c r="J5" s="166">
        <f t="shared" si="1"/>
        <v>16720135.80922693</v>
      </c>
      <c r="K5" s="166">
        <f t="shared" si="1"/>
        <v>16636535.130180795</v>
      </c>
      <c r="L5" s="166">
        <f t="shared" si="1"/>
        <v>16553352.454529891</v>
      </c>
      <c r="M5" s="166">
        <f t="shared" si="1"/>
        <v>16470585.69225724</v>
      </c>
      <c r="N5" s="166">
        <f t="shared" si="1"/>
        <v>16388232.763795953</v>
      </c>
      <c r="O5" s="166">
        <f t="shared" si="1"/>
        <v>16306291.599976974</v>
      </c>
      <c r="P5" s="166">
        <f t="shared" si="1"/>
        <v>16224760.141977089</v>
      </c>
      <c r="Q5" s="166">
        <f t="shared" si="1"/>
        <v>16143636.341267204</v>
      </c>
      <c r="R5" s="166">
        <f t="shared" si="1"/>
        <v>16062918.159560869</v>
      </c>
      <c r="S5" s="166">
        <f t="shared" si="1"/>
        <v>15982603.568763064</v>
      </c>
      <c r="T5" s="166">
        <f t="shared" si="1"/>
        <v>15902690.55091925</v>
      </c>
      <c r="U5" s="166">
        <f t="shared" si="1"/>
        <v>15823177.098164653</v>
      </c>
    </row>
    <row r="6" spans="1:21" x14ac:dyDescent="0.35">
      <c r="A6" s="164" t="s">
        <v>155</v>
      </c>
      <c r="B6" s="166">
        <f>'ABP Future Assumptions'!I59*0.15</f>
        <v>4371335.7866010079</v>
      </c>
      <c r="C6" s="166">
        <f>('ABP Future Assumptions'!I59-'Projected ABP Spend'!B6)/6</f>
        <v>4128483.7984565073</v>
      </c>
      <c r="D6" s="166">
        <f>C6</f>
        <v>4128483.7984565073</v>
      </c>
      <c r="E6" s="166">
        <f t="shared" ref="D6:H7" si="2">D6</f>
        <v>4128483.7984565073</v>
      </c>
      <c r="F6" s="166">
        <f t="shared" si="2"/>
        <v>4128483.7984565073</v>
      </c>
      <c r="G6" s="166">
        <f t="shared" si="2"/>
        <v>4128483.7984565073</v>
      </c>
      <c r="H6" s="166">
        <f t="shared" si="2"/>
        <v>4128483.7984565073</v>
      </c>
      <c r="I6" s="166"/>
      <c r="J6" s="166"/>
      <c r="K6" s="166"/>
      <c r="L6" s="166"/>
      <c r="M6" s="166"/>
      <c r="N6" s="166"/>
      <c r="O6" s="166"/>
      <c r="P6" s="166"/>
      <c r="Q6" s="166"/>
      <c r="R6" s="166"/>
      <c r="S6" s="166"/>
      <c r="T6" s="166"/>
      <c r="U6" s="166"/>
    </row>
    <row r="7" spans="1:21" x14ac:dyDescent="0.35">
      <c r="A7" s="164" t="s">
        <v>158</v>
      </c>
      <c r="B7" s="166">
        <f>'ABP Future Assumptions'!I75*0.15</f>
        <v>10983358.4301585</v>
      </c>
      <c r="C7" s="166">
        <f>('ABP Future Assumptions'!I75-'Projected ABP Spend'!B7)/6</f>
        <v>10373171.850705251</v>
      </c>
      <c r="D7" s="166">
        <f t="shared" si="2"/>
        <v>10373171.850705251</v>
      </c>
      <c r="E7" s="166">
        <f t="shared" si="2"/>
        <v>10373171.850705251</v>
      </c>
      <c r="F7" s="166">
        <f t="shared" si="2"/>
        <v>10373171.850705251</v>
      </c>
      <c r="G7" s="166">
        <f t="shared" si="2"/>
        <v>10373171.850705251</v>
      </c>
      <c r="H7" s="166">
        <f t="shared" si="2"/>
        <v>10373171.850705251</v>
      </c>
      <c r="I7" s="166"/>
      <c r="J7" s="166"/>
      <c r="K7" s="166"/>
      <c r="L7" s="166"/>
      <c r="M7" s="166"/>
      <c r="N7" s="166"/>
      <c r="O7" s="166"/>
      <c r="P7" s="166"/>
      <c r="Q7" s="166"/>
      <c r="R7" s="166"/>
      <c r="S7" s="166"/>
      <c r="T7" s="166"/>
      <c r="U7" s="166"/>
    </row>
    <row r="8" spans="1:21" x14ac:dyDescent="0.35">
      <c r="A8" s="163" t="s">
        <v>104</v>
      </c>
      <c r="B8" s="18">
        <f t="shared" ref="B8:T8" si="3">SUM(B2:B7)</f>
        <v>132262992.46644874</v>
      </c>
      <c r="C8" s="18">
        <f t="shared" si="3"/>
        <v>53823733.234205611</v>
      </c>
      <c r="D8" s="18">
        <f t="shared" si="3"/>
        <v>53693502.536162704</v>
      </c>
      <c r="E8" s="18">
        <f t="shared" si="3"/>
        <v>53563922.991610005</v>
      </c>
      <c r="F8" s="18">
        <f t="shared" si="3"/>
        <v>53434991.344780073</v>
      </c>
      <c r="G8" s="18">
        <f t="shared" si="3"/>
        <v>53306704.356184296</v>
      </c>
      <c r="H8" s="18">
        <f t="shared" si="3"/>
        <v>53179058.802531496</v>
      </c>
      <c r="I8" s="18">
        <f t="shared" si="3"/>
        <v>25274457.851022936</v>
      </c>
      <c r="J8" s="18">
        <f t="shared" si="3"/>
        <v>25148085.561767817</v>
      </c>
      <c r="K8" s="18">
        <f t="shared" si="3"/>
        <v>25022345.13395898</v>
      </c>
      <c r="L8" s="18">
        <f t="shared" si="3"/>
        <v>24897233.408289183</v>
      </c>
      <c r="M8" s="18">
        <f t="shared" si="3"/>
        <v>24772747.241247736</v>
      </c>
      <c r="N8" s="18">
        <f t="shared" si="3"/>
        <v>24648883.505041495</v>
      </c>
      <c r="O8" s="18">
        <f t="shared" si="3"/>
        <v>24525639.087516289</v>
      </c>
      <c r="P8" s="18">
        <f t="shared" si="3"/>
        <v>24403010.892078709</v>
      </c>
      <c r="Q8" s="18">
        <f t="shared" si="3"/>
        <v>24280995.837618314</v>
      </c>
      <c r="R8" s="18">
        <f t="shared" si="3"/>
        <v>24159590.858430225</v>
      </c>
      <c r="S8" s="18">
        <f t="shared" si="3"/>
        <v>24038792.904138073</v>
      </c>
      <c r="T8" s="18">
        <f t="shared" si="3"/>
        <v>23918598.939617384</v>
      </c>
      <c r="U8" s="18">
        <f t="shared" ref="U8" si="4">SUM(U2:U7)</f>
        <v>23799005.944919296</v>
      </c>
    </row>
    <row r="9" spans="1:21" x14ac:dyDescent="0.35">
      <c r="A9" s="163"/>
      <c r="B9" s="163"/>
      <c r="C9" s="18"/>
      <c r="D9" s="18"/>
      <c r="E9" s="18"/>
      <c r="F9" s="18"/>
      <c r="G9" s="18"/>
      <c r="H9" s="18"/>
      <c r="I9" s="18"/>
      <c r="J9" s="18"/>
      <c r="K9" s="18"/>
      <c r="L9" s="18"/>
      <c r="M9" s="18"/>
      <c r="N9" s="18"/>
      <c r="O9" s="18"/>
      <c r="P9" s="18"/>
      <c r="Q9" s="18"/>
      <c r="R9" s="18"/>
      <c r="S9" s="18"/>
      <c r="T9" s="18"/>
      <c r="U9" s="18"/>
    </row>
    <row r="10" spans="1:21" ht="15.5" x14ac:dyDescent="0.35">
      <c r="A10" s="77">
        <v>2024</v>
      </c>
      <c r="B10" s="220">
        <v>2024</v>
      </c>
      <c r="C10" s="220">
        <v>2025</v>
      </c>
      <c r="D10" s="220">
        <v>2026</v>
      </c>
      <c r="E10" s="220">
        <v>2027</v>
      </c>
      <c r="F10" s="220">
        <v>2028</v>
      </c>
      <c r="G10" s="220">
        <v>2029</v>
      </c>
      <c r="H10" s="220">
        <v>2030</v>
      </c>
      <c r="I10" s="220">
        <v>2031</v>
      </c>
      <c r="J10" s="220">
        <v>2032</v>
      </c>
      <c r="K10" s="220">
        <v>2033</v>
      </c>
      <c r="L10" s="220">
        <v>2034</v>
      </c>
      <c r="M10" s="220">
        <v>2035</v>
      </c>
      <c r="N10" s="220">
        <v>2036</v>
      </c>
      <c r="O10" s="220">
        <v>2037</v>
      </c>
      <c r="P10" s="220">
        <v>2038</v>
      </c>
      <c r="Q10" s="220">
        <v>2039</v>
      </c>
      <c r="R10" s="220">
        <v>2040</v>
      </c>
      <c r="S10" s="220">
        <v>2041</v>
      </c>
      <c r="T10" s="220">
        <v>2042</v>
      </c>
      <c r="U10" s="220">
        <v>2043</v>
      </c>
    </row>
    <row r="11" spans="1:21" x14ac:dyDescent="0.35">
      <c r="A11" s="164" t="s">
        <v>131</v>
      </c>
      <c r="B11" s="164"/>
      <c r="C11" s="166">
        <f>'24-25 ABP Summary'!B11</f>
        <v>155651140.42152998</v>
      </c>
      <c r="D11" s="166">
        <f>'24-25 ABP Summary'!C11</f>
        <v>0</v>
      </c>
      <c r="E11" s="166">
        <f>'24-25 ABP Summary'!D11</f>
        <v>0</v>
      </c>
      <c r="F11" s="166">
        <f>'24-25 ABP Summary'!E11</f>
        <v>0</v>
      </c>
      <c r="G11" s="166">
        <f>'24-25 ABP Summary'!F11</f>
        <v>0</v>
      </c>
      <c r="H11" s="166">
        <f>'24-25 ABP Summary'!G11</f>
        <v>0</v>
      </c>
      <c r="I11" s="166">
        <f>'24-25 ABP Summary'!H11</f>
        <v>0</v>
      </c>
      <c r="J11" s="166">
        <f>'24-25 ABP Summary'!I11</f>
        <v>0</v>
      </c>
      <c r="K11" s="166">
        <f>'24-25 ABP Summary'!J11</f>
        <v>0</v>
      </c>
      <c r="L11" s="166">
        <f>'24-25 ABP Summary'!K11</f>
        <v>0</v>
      </c>
      <c r="M11" s="166">
        <f>'24-25 ABP Summary'!L11</f>
        <v>0</v>
      </c>
      <c r="N11" s="166">
        <f>'24-25 ABP Summary'!M11</f>
        <v>0</v>
      </c>
      <c r="O11" s="166">
        <f>'24-25 ABP Summary'!N11</f>
        <v>0</v>
      </c>
      <c r="P11" s="166">
        <f>'24-25 ABP Summary'!O11</f>
        <v>0</v>
      </c>
      <c r="Q11" s="166">
        <f>'24-25 ABP Summary'!P11</f>
        <v>0</v>
      </c>
      <c r="R11" s="166">
        <f>'24-25 ABP Summary'!Q11</f>
        <v>0</v>
      </c>
      <c r="S11" s="166">
        <f>'24-25 ABP Summary'!R11</f>
        <v>0</v>
      </c>
      <c r="T11" s="166">
        <f>'24-25 ABP Summary'!S11</f>
        <v>0</v>
      </c>
      <c r="U11" s="166">
        <f>'24-25 ABP Summary'!T11</f>
        <v>0</v>
      </c>
    </row>
    <row r="12" spans="1:21" x14ac:dyDescent="0.35">
      <c r="A12" s="164" t="s">
        <v>137</v>
      </c>
      <c r="B12" s="164"/>
      <c r="C12" s="166">
        <f>'24-25 ABP Summary'!B12</f>
        <v>15976563.753789775</v>
      </c>
      <c r="D12" s="166">
        <f>'24-25 ABP Summary'!C12</f>
        <v>15088976.878579233</v>
      </c>
      <c r="E12" s="166">
        <f>'24-25 ABP Summary'!D12</f>
        <v>15088976.878579233</v>
      </c>
      <c r="F12" s="166">
        <f>'24-25 ABP Summary'!E12</f>
        <v>15088976.878579233</v>
      </c>
      <c r="G12" s="166">
        <f>'24-25 ABP Summary'!F12</f>
        <v>15088976.878579233</v>
      </c>
      <c r="H12" s="166">
        <f>'24-25 ABP Summary'!G12</f>
        <v>15088976.878579233</v>
      </c>
      <c r="I12" s="166">
        <f>'24-25 ABP Summary'!H12</f>
        <v>15088976.878579233</v>
      </c>
      <c r="J12" s="166">
        <f>'24-25 ABP Summary'!I12</f>
        <v>0</v>
      </c>
      <c r="K12" s="166">
        <f>'24-25 ABP Summary'!J12</f>
        <v>0</v>
      </c>
      <c r="L12" s="166">
        <f>'24-25 ABP Summary'!K12</f>
        <v>0</v>
      </c>
      <c r="M12" s="166">
        <f>'24-25 ABP Summary'!L12</f>
        <v>0</v>
      </c>
      <c r="N12" s="166">
        <f>'24-25 ABP Summary'!M12</f>
        <v>0</v>
      </c>
      <c r="O12" s="166">
        <f>'24-25 ABP Summary'!N12</f>
        <v>0</v>
      </c>
      <c r="P12" s="166">
        <f>'24-25 ABP Summary'!O12</f>
        <v>0</v>
      </c>
      <c r="Q12" s="166">
        <f>'24-25 ABP Summary'!P12</f>
        <v>0</v>
      </c>
      <c r="R12" s="166">
        <f>'24-25 ABP Summary'!Q12</f>
        <v>0</v>
      </c>
      <c r="S12" s="166">
        <f>'24-25 ABP Summary'!R12</f>
        <v>0</v>
      </c>
      <c r="T12" s="166">
        <f>'24-25 ABP Summary'!S12</f>
        <v>0</v>
      </c>
      <c r="U12" s="166">
        <f>'24-25 ABP Summary'!T12</f>
        <v>0</v>
      </c>
    </row>
    <row r="13" spans="1:21" x14ac:dyDescent="0.35">
      <c r="A13" s="164" t="s">
        <v>146</v>
      </c>
      <c r="B13" s="164"/>
      <c r="C13" s="166">
        <f>'24-25 ABP Summary'!B13</f>
        <v>0</v>
      </c>
      <c r="D13" s="166">
        <f>'24-25 ABP Summary'!C13</f>
        <v>13432163.77288368</v>
      </c>
      <c r="E13" s="166">
        <f>'24-25 ABP Summary'!D13</f>
        <v>13365002.954019262</v>
      </c>
      <c r="F13" s="166">
        <f>'24-25 ABP Summary'!E13</f>
        <v>13298177.939249165</v>
      </c>
      <c r="G13" s="166">
        <f>'24-25 ABP Summary'!F13</f>
        <v>13231687.049552921</v>
      </c>
      <c r="H13" s="166">
        <f>'24-25 ABP Summary'!G13</f>
        <v>13165528.614305153</v>
      </c>
      <c r="I13" s="166">
        <f>'24-25 ABP Summary'!H13</f>
        <v>13099700.971233629</v>
      </c>
      <c r="J13" s="166">
        <f>'24-25 ABP Summary'!I13</f>
        <v>13034202.466377461</v>
      </c>
      <c r="K13" s="166">
        <f>'24-25 ABP Summary'!J13</f>
        <v>12969031.454045575</v>
      </c>
      <c r="L13" s="166">
        <f>'24-25 ABP Summary'!K13</f>
        <v>12904186.296775347</v>
      </c>
      <c r="M13" s="166">
        <f>'24-25 ABP Summary'!L13</f>
        <v>12839665.365291469</v>
      </c>
      <c r="N13" s="166">
        <f>'24-25 ABP Summary'!M13</f>
        <v>12775467.038465012</v>
      </c>
      <c r="O13" s="166">
        <f>'24-25 ABP Summary'!N13</f>
        <v>12711589.703272685</v>
      </c>
      <c r="P13" s="166">
        <f>'24-25 ABP Summary'!O13</f>
        <v>12648031.754756322</v>
      </c>
      <c r="Q13" s="166">
        <f>'24-25 ABP Summary'!P13</f>
        <v>12584791.59598254</v>
      </c>
      <c r="R13" s="166">
        <f>'24-25 ABP Summary'!Q13</f>
        <v>12521867.638002627</v>
      </c>
      <c r="S13" s="166">
        <f>'24-25 ABP Summary'!R13</f>
        <v>12459258.299812613</v>
      </c>
      <c r="T13" s="166">
        <f>'24-25 ABP Summary'!S13</f>
        <v>12396962.008313552</v>
      </c>
      <c r="U13" s="166">
        <f>'24-25 ABP Summary'!T13</f>
        <v>12334977.198271982</v>
      </c>
    </row>
    <row r="14" spans="1:21" x14ac:dyDescent="0.35">
      <c r="A14" s="164" t="s">
        <v>151</v>
      </c>
      <c r="B14" s="164"/>
      <c r="C14" s="166">
        <f>'24-25 ABP Summary'!B14</f>
        <v>8225862.6719123758</v>
      </c>
      <c r="D14" s="166">
        <f>'24-25 ABP Summary'!C14</f>
        <v>8184733.3585528135</v>
      </c>
      <c r="E14" s="166">
        <f>'24-25 ABP Summary'!D14</f>
        <v>8143809.6917600501</v>
      </c>
      <c r="F14" s="166">
        <f>'24-25 ABP Summary'!E14</f>
        <v>8103090.6433012495</v>
      </c>
      <c r="G14" s="166">
        <f>'24-25 ABP Summary'!F14</f>
        <v>8062575.1900847424</v>
      </c>
      <c r="H14" s="166">
        <f>'24-25 ABP Summary'!G14</f>
        <v>8022262.3141343202</v>
      </c>
      <c r="I14" s="166">
        <f>'24-25 ABP Summary'!H14</f>
        <v>7982151.002563647</v>
      </c>
      <c r="J14" s="166">
        <f>'24-25 ABP Summary'!I14</f>
        <v>7942240.2475508302</v>
      </c>
      <c r="K14" s="166">
        <f>'24-25 ABP Summary'!J14</f>
        <v>7902529.0463130753</v>
      </c>
      <c r="L14" s="166">
        <f>'24-25 ABP Summary'!K14</f>
        <v>7863016.4010815108</v>
      </c>
      <c r="M14" s="166">
        <f>'24-25 ABP Summary'!L14</f>
        <v>7823701.3190761032</v>
      </c>
      <c r="N14" s="166">
        <f>'24-25 ABP Summary'!M14</f>
        <v>7784582.8124807235</v>
      </c>
      <c r="O14" s="166">
        <f>'24-25 ABP Summary'!N14</f>
        <v>7745659.8984183175</v>
      </c>
      <c r="P14" s="166">
        <f>'24-25 ABP Summary'!O14</f>
        <v>7706931.5989262266</v>
      </c>
      <c r="Q14" s="166">
        <f>'24-25 ABP Summary'!P14</f>
        <v>7668396.9409315949</v>
      </c>
      <c r="R14" s="166">
        <f>'24-25 ABP Summary'!Q14</f>
        <v>7630054.9562269375</v>
      </c>
      <c r="S14" s="166">
        <f>'24-25 ABP Summary'!R14</f>
        <v>7591904.6814458035</v>
      </c>
      <c r="T14" s="166">
        <f>'24-25 ABP Summary'!S14</f>
        <v>7553945.1580385733</v>
      </c>
      <c r="U14" s="166">
        <f>'24-25 ABP Summary'!T14</f>
        <v>7516175.432248381</v>
      </c>
    </row>
    <row r="15" spans="1:21" x14ac:dyDescent="0.35">
      <c r="A15" s="164" t="s">
        <v>155</v>
      </c>
      <c r="B15" s="164"/>
      <c r="C15" s="166">
        <f>'24-25 ABP Summary'!B15</f>
        <v>0</v>
      </c>
      <c r="D15" s="166">
        <f>'24-25 ABP Summary'!C15</f>
        <v>5460840.8867107658</v>
      </c>
      <c r="E15" s="166">
        <f>'24-25 ABP Summary'!D15</f>
        <v>5157460.8374490561</v>
      </c>
      <c r="F15" s="166">
        <f>'24-25 ABP Summary'!E15</f>
        <v>5157460.8374490561</v>
      </c>
      <c r="G15" s="166">
        <f>'24-25 ABP Summary'!F15</f>
        <v>5157460.8374490561</v>
      </c>
      <c r="H15" s="166">
        <f>'24-25 ABP Summary'!G15</f>
        <v>5157460.8374490561</v>
      </c>
      <c r="I15" s="166">
        <f>'24-25 ABP Summary'!H15</f>
        <v>5157460.8374490561</v>
      </c>
      <c r="J15" s="166">
        <f>'24-25 ABP Summary'!I15</f>
        <v>5157460.8374490561</v>
      </c>
      <c r="K15" s="166">
        <f>'24-25 ABP Summary'!J15</f>
        <v>0</v>
      </c>
      <c r="L15" s="166">
        <f>'24-25 ABP Summary'!K15</f>
        <v>0</v>
      </c>
      <c r="M15" s="166">
        <f>'24-25 ABP Summary'!L15</f>
        <v>0</v>
      </c>
      <c r="N15" s="166">
        <f>'24-25 ABP Summary'!M15</f>
        <v>0</v>
      </c>
      <c r="O15" s="166">
        <f>'24-25 ABP Summary'!N15</f>
        <v>0</v>
      </c>
      <c r="P15" s="166">
        <f>'24-25 ABP Summary'!O15</f>
        <v>0</v>
      </c>
      <c r="Q15" s="166">
        <f>'24-25 ABP Summary'!P15</f>
        <v>0</v>
      </c>
      <c r="R15" s="166">
        <f>'24-25 ABP Summary'!Q15</f>
        <v>0</v>
      </c>
      <c r="S15" s="166">
        <f>'24-25 ABP Summary'!R15</f>
        <v>0</v>
      </c>
      <c r="T15" s="166">
        <f>'24-25 ABP Summary'!S15</f>
        <v>0</v>
      </c>
      <c r="U15" s="166">
        <f>'24-25 ABP Summary'!T15</f>
        <v>0</v>
      </c>
    </row>
    <row r="16" spans="1:21" x14ac:dyDescent="0.35">
      <c r="A16" s="164" t="s">
        <v>158</v>
      </c>
      <c r="B16" s="164"/>
      <c r="C16" s="166">
        <f>'24-25 ABP Summary'!B16</f>
        <v>17751737.50421086</v>
      </c>
      <c r="D16" s="166">
        <f>'24-25 ABP Summary'!C16</f>
        <v>16765529.865088034</v>
      </c>
      <c r="E16" s="166">
        <f>'24-25 ABP Summary'!D16</f>
        <v>16765529.865088034</v>
      </c>
      <c r="F16" s="166">
        <f>'24-25 ABP Summary'!E16</f>
        <v>16765529.865088034</v>
      </c>
      <c r="G16" s="166">
        <f>'24-25 ABP Summary'!F16</f>
        <v>16765529.865088034</v>
      </c>
      <c r="H16" s="166">
        <f>'24-25 ABP Summary'!G16</f>
        <v>16765529.865088034</v>
      </c>
      <c r="I16" s="166">
        <f>'24-25 ABP Summary'!H16</f>
        <v>16765529.865088034</v>
      </c>
      <c r="J16" s="166">
        <f>'24-25 ABP Summary'!I16</f>
        <v>0</v>
      </c>
      <c r="K16" s="166">
        <f>'24-25 ABP Summary'!J16</f>
        <v>0</v>
      </c>
      <c r="L16" s="166">
        <f>'24-25 ABP Summary'!K16</f>
        <v>0</v>
      </c>
      <c r="M16" s="166">
        <f>'24-25 ABP Summary'!L16</f>
        <v>0</v>
      </c>
      <c r="N16" s="166">
        <f>'24-25 ABP Summary'!M16</f>
        <v>0</v>
      </c>
      <c r="O16" s="166">
        <f>'24-25 ABP Summary'!N16</f>
        <v>0</v>
      </c>
      <c r="P16" s="166">
        <f>'24-25 ABP Summary'!O16</f>
        <v>0</v>
      </c>
      <c r="Q16" s="166">
        <f>'24-25 ABP Summary'!P16</f>
        <v>0</v>
      </c>
      <c r="R16" s="166">
        <f>'24-25 ABP Summary'!Q16</f>
        <v>0</v>
      </c>
      <c r="S16" s="166">
        <f>'24-25 ABP Summary'!R16</f>
        <v>0</v>
      </c>
      <c r="T16" s="166">
        <f>'24-25 ABP Summary'!S16</f>
        <v>0</v>
      </c>
      <c r="U16" s="166">
        <f>'24-25 ABP Summary'!T16</f>
        <v>0</v>
      </c>
    </row>
    <row r="17" spans="1:21" x14ac:dyDescent="0.35">
      <c r="A17" s="163" t="s">
        <v>104</v>
      </c>
      <c r="B17" s="163"/>
      <c r="C17" s="18">
        <f t="shared" ref="C17:T17" si="5">SUM(C11:C16)</f>
        <v>197605304.35144299</v>
      </c>
      <c r="D17" s="18">
        <f t="shared" si="5"/>
        <v>58932244.76181452</v>
      </c>
      <c r="E17" s="18">
        <f t="shared" si="5"/>
        <v>58520780.22689563</v>
      </c>
      <c r="F17" s="18">
        <f t="shared" si="5"/>
        <v>58413236.16366674</v>
      </c>
      <c r="G17" s="18">
        <f t="shared" si="5"/>
        <v>58306229.820753992</v>
      </c>
      <c r="H17" s="18">
        <f t="shared" si="5"/>
        <v>58199758.509555802</v>
      </c>
      <c r="I17" s="18">
        <f t="shared" si="5"/>
        <v>58093819.554913595</v>
      </c>
      <c r="J17" s="18">
        <f t="shared" si="5"/>
        <v>26133903.551377345</v>
      </c>
      <c r="K17" s="18">
        <f t="shared" si="5"/>
        <v>20871560.500358649</v>
      </c>
      <c r="L17" s="18">
        <f t="shared" si="5"/>
        <v>20767202.697856858</v>
      </c>
      <c r="M17" s="18">
        <f t="shared" si="5"/>
        <v>20663366.684367571</v>
      </c>
      <c r="N17" s="18">
        <f t="shared" si="5"/>
        <v>20560049.850945733</v>
      </c>
      <c r="O17" s="18">
        <f t="shared" si="5"/>
        <v>20457249.601691004</v>
      </c>
      <c r="P17" s="18">
        <f t="shared" si="5"/>
        <v>20354963.353682548</v>
      </c>
      <c r="Q17" s="18">
        <f t="shared" si="5"/>
        <v>20253188.536914136</v>
      </c>
      <c r="R17" s="18">
        <f t="shared" si="5"/>
        <v>20151922.594229564</v>
      </c>
      <c r="S17" s="18">
        <f t="shared" si="5"/>
        <v>20051162.981258415</v>
      </c>
      <c r="T17" s="18">
        <f t="shared" si="5"/>
        <v>19950907.166352123</v>
      </c>
      <c r="U17" s="18">
        <f t="shared" ref="U17" si="6">SUM(U11:U16)</f>
        <v>19851152.630520362</v>
      </c>
    </row>
    <row r="19" spans="1:21" ht="15.5" x14ac:dyDescent="0.35">
      <c r="A19" s="77">
        <v>2025</v>
      </c>
      <c r="B19" s="220">
        <v>2024</v>
      </c>
      <c r="C19" s="220">
        <v>2025</v>
      </c>
      <c r="D19" s="220">
        <v>2026</v>
      </c>
      <c r="E19" s="220">
        <v>2027</v>
      </c>
      <c r="F19" s="220">
        <v>2028</v>
      </c>
      <c r="G19" s="220">
        <v>2029</v>
      </c>
      <c r="H19" s="220">
        <v>2030</v>
      </c>
      <c r="I19" s="220">
        <v>2031</v>
      </c>
      <c r="J19" s="220">
        <v>2032</v>
      </c>
      <c r="K19" s="220">
        <v>2033</v>
      </c>
      <c r="L19" s="220">
        <v>2034</v>
      </c>
      <c r="M19" s="220">
        <v>2035</v>
      </c>
      <c r="N19" s="220">
        <v>2036</v>
      </c>
      <c r="O19" s="220">
        <v>2037</v>
      </c>
      <c r="P19" s="220">
        <v>2038</v>
      </c>
      <c r="Q19" s="220">
        <v>2039</v>
      </c>
      <c r="R19" s="220">
        <v>2040</v>
      </c>
      <c r="S19" s="220">
        <v>2041</v>
      </c>
      <c r="T19" s="220">
        <v>2042</v>
      </c>
      <c r="U19" s="220">
        <v>2043</v>
      </c>
    </row>
    <row r="20" spans="1:21" x14ac:dyDescent="0.35">
      <c r="A20" s="164" t="s">
        <v>131</v>
      </c>
      <c r="B20" s="164"/>
      <c r="C20" s="166"/>
      <c r="D20" s="166">
        <f>C11*'ABP Future Assumptions'!$B$93</f>
        <v>149425094.80466878</v>
      </c>
      <c r="E20" s="166">
        <f>D11*'ABP Future Assumptions'!$B$93</f>
        <v>0</v>
      </c>
      <c r="F20" s="166">
        <f>E11*'ABP Future Assumptions'!$B$93</f>
        <v>0</v>
      </c>
      <c r="G20" s="166">
        <f>F11*'ABP Future Assumptions'!$B$93</f>
        <v>0</v>
      </c>
      <c r="H20" s="166">
        <f>G11*'ABP Future Assumptions'!$B$93</f>
        <v>0</v>
      </c>
      <c r="I20" s="166">
        <f>H11*'ABP Future Assumptions'!$B$93</f>
        <v>0</v>
      </c>
      <c r="J20" s="166">
        <f>I11*'ABP Future Assumptions'!$B$93</f>
        <v>0</v>
      </c>
      <c r="K20" s="166">
        <f>J11*'ABP Future Assumptions'!$B$93</f>
        <v>0</v>
      </c>
      <c r="L20" s="166">
        <f>K11*'ABP Future Assumptions'!$B$93</f>
        <v>0</v>
      </c>
      <c r="M20" s="166">
        <f>L11*'ABP Future Assumptions'!$B$93</f>
        <v>0</v>
      </c>
      <c r="N20" s="166">
        <f>M11*'ABP Future Assumptions'!$B$93</f>
        <v>0</v>
      </c>
      <c r="O20" s="166">
        <f>N11*'ABP Future Assumptions'!$B$93</f>
        <v>0</v>
      </c>
      <c r="P20" s="166">
        <f>O11*'ABP Future Assumptions'!$B$93</f>
        <v>0</v>
      </c>
      <c r="Q20" s="166">
        <f>P11*'ABP Future Assumptions'!$B$93</f>
        <v>0</v>
      </c>
      <c r="R20" s="166">
        <f>Q11*'ABP Future Assumptions'!$B$93</f>
        <v>0</v>
      </c>
      <c r="S20" s="166">
        <f>R11*'ABP Future Assumptions'!$B$93</f>
        <v>0</v>
      </c>
      <c r="T20" s="166">
        <f>S11*'ABP Future Assumptions'!$B$93</f>
        <v>0</v>
      </c>
      <c r="U20" s="166">
        <f>T11*'ABP Future Assumptions'!$B$93</f>
        <v>0</v>
      </c>
    </row>
    <row r="21" spans="1:21" x14ac:dyDescent="0.35">
      <c r="A21" s="164" t="s">
        <v>137</v>
      </c>
      <c r="B21" s="164"/>
      <c r="C21" s="166"/>
      <c r="D21" s="166">
        <f>C12*'ABP Future Assumptions'!$B$93</f>
        <v>15337501.203638183</v>
      </c>
      <c r="E21" s="166">
        <f>D12*'ABP Future Assumptions'!$B$93</f>
        <v>14485417.803436063</v>
      </c>
      <c r="F21" s="166">
        <f>E12*'ABP Future Assumptions'!$B$93</f>
        <v>14485417.803436063</v>
      </c>
      <c r="G21" s="166">
        <f>F12*'ABP Future Assumptions'!$B$93</f>
        <v>14485417.803436063</v>
      </c>
      <c r="H21" s="166">
        <f>G12*'ABP Future Assumptions'!$B$93</f>
        <v>14485417.803436063</v>
      </c>
      <c r="I21" s="166">
        <f>H12*'ABP Future Assumptions'!$B$93</f>
        <v>14485417.803436063</v>
      </c>
      <c r="J21" s="166">
        <f>I12*'ABP Future Assumptions'!$B$93</f>
        <v>14485417.803436063</v>
      </c>
      <c r="K21" s="166">
        <f>J12*'ABP Future Assumptions'!$B$93</f>
        <v>0</v>
      </c>
      <c r="L21" s="166">
        <f>K12*'ABP Future Assumptions'!$B$93</f>
        <v>0</v>
      </c>
      <c r="M21" s="166">
        <f>L12*'ABP Future Assumptions'!$B$93</f>
        <v>0</v>
      </c>
      <c r="N21" s="166">
        <f>M12*'ABP Future Assumptions'!$B$93</f>
        <v>0</v>
      </c>
      <c r="O21" s="166">
        <f>N12*'ABP Future Assumptions'!$B$93</f>
        <v>0</v>
      </c>
      <c r="P21" s="166">
        <f>O12*'ABP Future Assumptions'!$B$93</f>
        <v>0</v>
      </c>
      <c r="Q21" s="166">
        <f>P12*'ABP Future Assumptions'!$B$93</f>
        <v>0</v>
      </c>
      <c r="R21" s="166">
        <f>Q12*'ABP Future Assumptions'!$B$93</f>
        <v>0</v>
      </c>
      <c r="S21" s="166">
        <f>R12*'ABP Future Assumptions'!$B$93</f>
        <v>0</v>
      </c>
      <c r="T21" s="166">
        <f>S12*'ABP Future Assumptions'!$B$93</f>
        <v>0</v>
      </c>
      <c r="U21" s="166">
        <f>T12*'ABP Future Assumptions'!$B$93</f>
        <v>0</v>
      </c>
    </row>
    <row r="22" spans="1:21" x14ac:dyDescent="0.35">
      <c r="A22" s="164" t="s">
        <v>146</v>
      </c>
      <c r="B22" s="164"/>
      <c r="C22" s="166"/>
      <c r="D22" s="166">
        <f>C13*'ABP Future Assumptions'!$B$93</f>
        <v>0</v>
      </c>
      <c r="E22" s="166">
        <f>D13*'ABP Future Assumptions'!$B$93</f>
        <v>12894877.221968332</v>
      </c>
      <c r="F22" s="166">
        <f>E13*'ABP Future Assumptions'!$B$93</f>
        <v>12830402.83585849</v>
      </c>
      <c r="G22" s="166">
        <f>F13*'ABP Future Assumptions'!$B$93</f>
        <v>12766250.821679199</v>
      </c>
      <c r="H22" s="166">
        <f>G13*'ABP Future Assumptions'!$B$93</f>
        <v>12702419.567570804</v>
      </c>
      <c r="I22" s="166">
        <f>H13*'ABP Future Assumptions'!$B$93</f>
        <v>12638907.469732948</v>
      </c>
      <c r="J22" s="166">
        <f>I13*'ABP Future Assumptions'!$B$93</f>
        <v>12575712.932384282</v>
      </c>
      <c r="K22" s="166">
        <f>J13*'ABP Future Assumptions'!$B$93</f>
        <v>12512834.367722362</v>
      </c>
      <c r="L22" s="166">
        <f>K13*'ABP Future Assumptions'!$B$93</f>
        <v>12450270.195883751</v>
      </c>
      <c r="M22" s="166">
        <f>L13*'ABP Future Assumptions'!$B$93</f>
        <v>12388018.844904331</v>
      </c>
      <c r="N22" s="166">
        <f>M13*'ABP Future Assumptions'!$B$93</f>
        <v>12326078.75067981</v>
      </c>
      <c r="O22" s="166">
        <f>N13*'ABP Future Assumptions'!$B$93</f>
        <v>12264448.356926411</v>
      </c>
      <c r="P22" s="166">
        <f>O13*'ABP Future Assumptions'!$B$93</f>
        <v>12203126.115141777</v>
      </c>
      <c r="Q22" s="166">
        <f>P13*'ABP Future Assumptions'!$B$93</f>
        <v>12142110.484566068</v>
      </c>
      <c r="R22" s="166">
        <f>Q13*'ABP Future Assumptions'!$B$93</f>
        <v>12081399.932143237</v>
      </c>
      <c r="S22" s="166">
        <f>R13*'ABP Future Assumptions'!$B$93</f>
        <v>12020992.932482522</v>
      </c>
      <c r="T22" s="166">
        <f>S13*'ABP Future Assumptions'!$B$93</f>
        <v>11960887.967820108</v>
      </c>
      <c r="U22" s="166">
        <f>T13*'ABP Future Assumptions'!$B$93</f>
        <v>11901083.527981009</v>
      </c>
    </row>
    <row r="23" spans="1:21" x14ac:dyDescent="0.35">
      <c r="A23" s="164" t="s">
        <v>151</v>
      </c>
      <c r="B23" s="164"/>
      <c r="C23" s="166"/>
      <c r="D23" s="166">
        <f>C14*'ABP Future Assumptions'!$B$93</f>
        <v>7896828.1650358802</v>
      </c>
      <c r="E23" s="166">
        <f>D14*'ABP Future Assumptions'!$B$93</f>
        <v>7857344.0242107008</v>
      </c>
      <c r="F23" s="166">
        <f>E14*'ABP Future Assumptions'!$B$93</f>
        <v>7818057.3040896477</v>
      </c>
      <c r="G23" s="166">
        <f>F14*'ABP Future Assumptions'!$B$93</f>
        <v>7778967.0175691992</v>
      </c>
      <c r="H23" s="166">
        <f>G14*'ABP Future Assumptions'!$B$93</f>
        <v>7740072.1824813522</v>
      </c>
      <c r="I23" s="166">
        <f>H14*'ABP Future Assumptions'!$B$93</f>
        <v>7701371.8215689473</v>
      </c>
      <c r="J23" s="166">
        <f>I14*'ABP Future Assumptions'!$B$93</f>
        <v>7662864.9624611009</v>
      </c>
      <c r="K23" s="166">
        <f>J14*'ABP Future Assumptions'!$B$93</f>
        <v>7624550.6376487967</v>
      </c>
      <c r="L23" s="166">
        <f>K14*'ABP Future Assumptions'!$B$93</f>
        <v>7586427.8844605517</v>
      </c>
      <c r="M23" s="166">
        <f>L14*'ABP Future Assumptions'!$B$93</f>
        <v>7548495.7450382505</v>
      </c>
      <c r="N23" s="166">
        <f>M14*'ABP Future Assumptions'!$B$93</f>
        <v>7510753.2663130583</v>
      </c>
      <c r="O23" s="166">
        <f>N14*'ABP Future Assumptions'!$B$93</f>
        <v>7473199.4999814946</v>
      </c>
      <c r="P23" s="166">
        <f>O14*'ABP Future Assumptions'!$B$93</f>
        <v>7435833.5024815844</v>
      </c>
      <c r="Q23" s="166">
        <f>P14*'ABP Future Assumptions'!$B$93</f>
        <v>7398654.3349691769</v>
      </c>
      <c r="R23" s="166">
        <f>Q14*'ABP Future Assumptions'!$B$93</f>
        <v>7361661.0632943306</v>
      </c>
      <c r="S23" s="166">
        <f>R14*'ABP Future Assumptions'!$B$93</f>
        <v>7324852.75797786</v>
      </c>
      <c r="T23" s="166">
        <f>S14*'ABP Future Assumptions'!$B$93</f>
        <v>7288228.4941879706</v>
      </c>
      <c r="U23" s="166">
        <f>T14*'ABP Future Assumptions'!$B$93</f>
        <v>7251787.3517170297</v>
      </c>
    </row>
    <row r="24" spans="1:21" x14ac:dyDescent="0.35">
      <c r="A24" s="164" t="s">
        <v>155</v>
      </c>
      <c r="B24" s="164"/>
      <c r="C24" s="166"/>
      <c r="D24" s="166">
        <f>C15*'ABP Future Assumptions'!$B$93</f>
        <v>0</v>
      </c>
      <c r="E24" s="166">
        <f>D15*'ABP Future Assumptions'!$B$93</f>
        <v>5242407.251242335</v>
      </c>
      <c r="F24" s="166">
        <f>E15*'ABP Future Assumptions'!$B$93</f>
        <v>4951162.4039510936</v>
      </c>
      <c r="G24" s="166">
        <f>F15*'ABP Future Assumptions'!$B$93</f>
        <v>4951162.4039510936</v>
      </c>
      <c r="H24" s="166">
        <f>G15*'ABP Future Assumptions'!$B$93</f>
        <v>4951162.4039510936</v>
      </c>
      <c r="I24" s="166">
        <f>H15*'ABP Future Assumptions'!$B$93</f>
        <v>4951162.4039510936</v>
      </c>
      <c r="J24" s="166">
        <f>I15*'ABP Future Assumptions'!$B$93</f>
        <v>4951162.4039510936</v>
      </c>
      <c r="K24" s="166">
        <f>J15*'ABP Future Assumptions'!$B$93</f>
        <v>4951162.4039510936</v>
      </c>
      <c r="L24" s="166">
        <f>K15*'ABP Future Assumptions'!$B$93</f>
        <v>0</v>
      </c>
      <c r="M24" s="166">
        <f>L15*'ABP Future Assumptions'!$B$93</f>
        <v>0</v>
      </c>
      <c r="N24" s="166">
        <f>M15*'ABP Future Assumptions'!$B$93</f>
        <v>0</v>
      </c>
      <c r="O24" s="166">
        <f>N15*'ABP Future Assumptions'!$B$93</f>
        <v>0</v>
      </c>
      <c r="P24" s="166">
        <f>O15*'ABP Future Assumptions'!$B$93</f>
        <v>0</v>
      </c>
      <c r="Q24" s="166">
        <f>P15*'ABP Future Assumptions'!$B$93</f>
        <v>0</v>
      </c>
      <c r="R24" s="166">
        <f>Q15*'ABP Future Assumptions'!$B$93</f>
        <v>0</v>
      </c>
      <c r="S24" s="166">
        <f>R15*'ABP Future Assumptions'!$B$93</f>
        <v>0</v>
      </c>
      <c r="T24" s="166">
        <f>S15*'ABP Future Assumptions'!$B$93</f>
        <v>0</v>
      </c>
      <c r="U24" s="166">
        <f>T15*'ABP Future Assumptions'!$B$93</f>
        <v>0</v>
      </c>
    </row>
    <row r="25" spans="1:21" x14ac:dyDescent="0.35">
      <c r="A25" s="164" t="s">
        <v>158</v>
      </c>
      <c r="B25" s="164"/>
      <c r="C25" s="166"/>
      <c r="D25" s="166">
        <f>C16*'ABP Future Assumptions'!$B$93</f>
        <v>17041668.004042424</v>
      </c>
      <c r="E25" s="166">
        <f>D16*'ABP Future Assumptions'!$B$93</f>
        <v>16094908.670484513</v>
      </c>
      <c r="F25" s="166">
        <f>E16*'ABP Future Assumptions'!$B$93</f>
        <v>16094908.670484513</v>
      </c>
      <c r="G25" s="166">
        <f>F16*'ABP Future Assumptions'!$B$93</f>
        <v>16094908.670484513</v>
      </c>
      <c r="H25" s="166">
        <f>G16*'ABP Future Assumptions'!$B$93</f>
        <v>16094908.670484513</v>
      </c>
      <c r="I25" s="166">
        <f>H16*'ABP Future Assumptions'!$B$93</f>
        <v>16094908.670484513</v>
      </c>
      <c r="J25" s="166">
        <f>I16*'ABP Future Assumptions'!$B$93</f>
        <v>16094908.670484513</v>
      </c>
      <c r="K25" s="166">
        <f>J16*'ABP Future Assumptions'!$B$93</f>
        <v>0</v>
      </c>
      <c r="L25" s="166">
        <f>K16*'ABP Future Assumptions'!$B$93</f>
        <v>0</v>
      </c>
      <c r="M25" s="166">
        <f>L16*'ABP Future Assumptions'!$B$93</f>
        <v>0</v>
      </c>
      <c r="N25" s="166">
        <f>M16*'ABP Future Assumptions'!$B$93</f>
        <v>0</v>
      </c>
      <c r="O25" s="166">
        <f>N16*'ABP Future Assumptions'!$B$93</f>
        <v>0</v>
      </c>
      <c r="P25" s="166">
        <f>O16*'ABP Future Assumptions'!$B$93</f>
        <v>0</v>
      </c>
      <c r="Q25" s="166">
        <f>P16*'ABP Future Assumptions'!$B$93</f>
        <v>0</v>
      </c>
      <c r="R25" s="166">
        <f>Q16*'ABP Future Assumptions'!$B$93</f>
        <v>0</v>
      </c>
      <c r="S25" s="166">
        <f>R16*'ABP Future Assumptions'!$B$93</f>
        <v>0</v>
      </c>
      <c r="T25" s="166">
        <f>S16*'ABP Future Assumptions'!$B$93</f>
        <v>0</v>
      </c>
      <c r="U25" s="166">
        <f>T16*'ABP Future Assumptions'!$B$93</f>
        <v>0</v>
      </c>
    </row>
    <row r="26" spans="1:21" x14ac:dyDescent="0.35">
      <c r="A26" s="163" t="s">
        <v>104</v>
      </c>
      <c r="B26" s="163"/>
      <c r="C26" s="18">
        <f t="shared" ref="C26:T26" si="7">SUM(C20:C25)</f>
        <v>0</v>
      </c>
      <c r="D26" s="18">
        <f t="shared" si="7"/>
        <v>189701092.17738527</v>
      </c>
      <c r="E26" s="18">
        <f t="shared" si="7"/>
        <v>56574954.971341938</v>
      </c>
      <c r="F26" s="18">
        <f t="shared" si="7"/>
        <v>56179949.017819807</v>
      </c>
      <c r="G26" s="18">
        <f t="shared" si="7"/>
        <v>56076706.717120066</v>
      </c>
      <c r="H26" s="18">
        <f t="shared" si="7"/>
        <v>55973980.627923831</v>
      </c>
      <c r="I26" s="18">
        <f t="shared" si="7"/>
        <v>55871768.169173568</v>
      </c>
      <c r="J26" s="18">
        <f t="shared" si="7"/>
        <v>55770066.772717051</v>
      </c>
      <c r="K26" s="18">
        <f t="shared" si="7"/>
        <v>25088547.409322254</v>
      </c>
      <c r="L26" s="18">
        <f t="shared" si="7"/>
        <v>20036698.080344304</v>
      </c>
      <c r="M26" s="18">
        <f t="shared" si="7"/>
        <v>19936514.589942582</v>
      </c>
      <c r="N26" s="18">
        <f t="shared" si="7"/>
        <v>19836832.016992867</v>
      </c>
      <c r="O26" s="18">
        <f t="shared" si="7"/>
        <v>19737647.856907904</v>
      </c>
      <c r="P26" s="18">
        <f t="shared" si="7"/>
        <v>19638959.617623363</v>
      </c>
      <c r="Q26" s="18">
        <f t="shared" si="7"/>
        <v>19540764.819535244</v>
      </c>
      <c r="R26" s="18">
        <f t="shared" si="7"/>
        <v>19443060.99543757</v>
      </c>
      <c r="S26" s="18">
        <f t="shared" si="7"/>
        <v>19345845.690460384</v>
      </c>
      <c r="T26" s="18">
        <f t="shared" si="7"/>
        <v>19249116.462008078</v>
      </c>
      <c r="U26" s="18">
        <f t="shared" ref="U26" si="8">SUM(U20:U25)</f>
        <v>19152870.879698038</v>
      </c>
    </row>
    <row r="28" spans="1:21" ht="15.5" x14ac:dyDescent="0.35">
      <c r="A28" s="77">
        <v>2026</v>
      </c>
      <c r="B28" s="220">
        <v>2024</v>
      </c>
      <c r="C28" s="220">
        <v>2025</v>
      </c>
      <c r="D28" s="220">
        <v>2026</v>
      </c>
      <c r="E28" s="220">
        <v>2027</v>
      </c>
      <c r="F28" s="220">
        <v>2028</v>
      </c>
      <c r="G28" s="220">
        <v>2029</v>
      </c>
      <c r="H28" s="220">
        <v>2030</v>
      </c>
      <c r="I28" s="220">
        <v>2031</v>
      </c>
      <c r="J28" s="220">
        <v>2032</v>
      </c>
      <c r="K28" s="220">
        <v>2033</v>
      </c>
      <c r="L28" s="220">
        <v>2034</v>
      </c>
      <c r="M28" s="220">
        <v>2035</v>
      </c>
      <c r="N28" s="220">
        <v>2036</v>
      </c>
      <c r="O28" s="220">
        <v>2037</v>
      </c>
      <c r="P28" s="220">
        <v>2038</v>
      </c>
      <c r="Q28" s="220">
        <v>2039</v>
      </c>
      <c r="R28" s="220">
        <v>2040</v>
      </c>
      <c r="S28" s="220">
        <v>2041</v>
      </c>
      <c r="T28" s="220">
        <v>2042</v>
      </c>
      <c r="U28" s="220">
        <v>2043</v>
      </c>
    </row>
    <row r="29" spans="1:21" x14ac:dyDescent="0.35">
      <c r="A29" s="164" t="s">
        <v>131</v>
      </c>
      <c r="B29" s="164"/>
      <c r="C29" s="166"/>
      <c r="D29" s="166">
        <f>C20*'ABP Future Assumptions'!$B$93</f>
        <v>0</v>
      </c>
      <c r="E29" s="166">
        <f>D20*'ABP Future Assumptions'!$B$93</f>
        <v>143448091.01248202</v>
      </c>
      <c r="F29" s="166">
        <f>E20*'ABP Future Assumptions'!$B$93</f>
        <v>0</v>
      </c>
      <c r="G29" s="166">
        <f>F20*'ABP Future Assumptions'!$B$93</f>
        <v>0</v>
      </c>
      <c r="H29" s="166">
        <f>G20*'ABP Future Assumptions'!$B$93</f>
        <v>0</v>
      </c>
      <c r="I29" s="166">
        <f>H20*'ABP Future Assumptions'!$B$93</f>
        <v>0</v>
      </c>
      <c r="J29" s="166">
        <f>I20*'ABP Future Assumptions'!$B$93</f>
        <v>0</v>
      </c>
      <c r="K29" s="166">
        <f>J20*'ABP Future Assumptions'!$B$93</f>
        <v>0</v>
      </c>
      <c r="L29" s="166">
        <f>K20*'ABP Future Assumptions'!$B$93</f>
        <v>0</v>
      </c>
      <c r="M29" s="166">
        <f>L20*'ABP Future Assumptions'!$B$93</f>
        <v>0</v>
      </c>
      <c r="N29" s="166">
        <f>M20*'ABP Future Assumptions'!$B$93</f>
        <v>0</v>
      </c>
      <c r="O29" s="166">
        <f>N20*'ABP Future Assumptions'!$B$93</f>
        <v>0</v>
      </c>
      <c r="P29" s="166">
        <f>O20*'ABP Future Assumptions'!$B$93</f>
        <v>0</v>
      </c>
      <c r="Q29" s="166">
        <f>P20*'ABP Future Assumptions'!$B$93</f>
        <v>0</v>
      </c>
      <c r="R29" s="166">
        <f>Q20*'ABP Future Assumptions'!$B$93</f>
        <v>0</v>
      </c>
      <c r="S29" s="166">
        <f>R20*'ABP Future Assumptions'!$B$93</f>
        <v>0</v>
      </c>
      <c r="T29" s="166">
        <f>S20*'ABP Future Assumptions'!$B$93</f>
        <v>0</v>
      </c>
      <c r="U29" s="166">
        <f>T20*'ABP Future Assumptions'!$B$93</f>
        <v>0</v>
      </c>
    </row>
    <row r="30" spans="1:21" x14ac:dyDescent="0.35">
      <c r="A30" s="164" t="s">
        <v>137</v>
      </c>
      <c r="B30" s="164"/>
      <c r="C30" s="166"/>
      <c r="D30" s="166">
        <f>C21*'ABP Future Assumptions'!$B$93</f>
        <v>0</v>
      </c>
      <c r="E30" s="166">
        <f>D21*'ABP Future Assumptions'!$B$93</f>
        <v>14724001.155492656</v>
      </c>
      <c r="F30" s="166">
        <f>E21*'ABP Future Assumptions'!$B$93</f>
        <v>13906001.091298619</v>
      </c>
      <c r="G30" s="166">
        <f>F21*'ABP Future Assumptions'!$B$93</f>
        <v>13906001.091298619</v>
      </c>
      <c r="H30" s="166">
        <f>G21*'ABP Future Assumptions'!$B$93</f>
        <v>13906001.091298619</v>
      </c>
      <c r="I30" s="166">
        <f>H21*'ABP Future Assumptions'!$B$93</f>
        <v>13906001.091298619</v>
      </c>
      <c r="J30" s="166">
        <f>I21*'ABP Future Assumptions'!$B$93</f>
        <v>13906001.091298619</v>
      </c>
      <c r="K30" s="166">
        <f>J21*'ABP Future Assumptions'!$B$93</f>
        <v>13906001.091298619</v>
      </c>
      <c r="L30" s="166">
        <f>K21*'ABP Future Assumptions'!$B$93</f>
        <v>0</v>
      </c>
      <c r="M30" s="166">
        <f>L21*'ABP Future Assumptions'!$B$93</f>
        <v>0</v>
      </c>
      <c r="N30" s="166">
        <f>M21*'ABP Future Assumptions'!$B$93</f>
        <v>0</v>
      </c>
      <c r="O30" s="166">
        <f>N21*'ABP Future Assumptions'!$B$93</f>
        <v>0</v>
      </c>
      <c r="P30" s="166">
        <f>O21*'ABP Future Assumptions'!$B$93</f>
        <v>0</v>
      </c>
      <c r="Q30" s="166">
        <f>P21*'ABP Future Assumptions'!$B$93</f>
        <v>0</v>
      </c>
      <c r="R30" s="166">
        <f>Q21*'ABP Future Assumptions'!$B$93</f>
        <v>0</v>
      </c>
      <c r="S30" s="166">
        <f>R21*'ABP Future Assumptions'!$B$93</f>
        <v>0</v>
      </c>
      <c r="T30" s="166">
        <f>S21*'ABP Future Assumptions'!$B$93</f>
        <v>0</v>
      </c>
      <c r="U30" s="166">
        <f>T21*'ABP Future Assumptions'!$B$93</f>
        <v>0</v>
      </c>
    </row>
    <row r="31" spans="1:21" x14ac:dyDescent="0.35">
      <c r="A31" s="164" t="s">
        <v>146</v>
      </c>
      <c r="B31" s="164"/>
      <c r="C31" s="166"/>
      <c r="D31" s="166">
        <f>C22*'ABP Future Assumptions'!$B$93</f>
        <v>0</v>
      </c>
      <c r="E31" s="166">
        <f>D22*'ABP Future Assumptions'!$B$93</f>
        <v>0</v>
      </c>
      <c r="F31" s="166">
        <f>E22*'ABP Future Assumptions'!$B$93</f>
        <v>12379082.133089598</v>
      </c>
      <c r="G31" s="166">
        <f>F22*'ABP Future Assumptions'!$B$93</f>
        <v>12317186.72242415</v>
      </c>
      <c r="H31" s="166">
        <f>G22*'ABP Future Assumptions'!$B$93</f>
        <v>12255600.78881203</v>
      </c>
      <c r="I31" s="166">
        <f>H22*'ABP Future Assumptions'!$B$93</f>
        <v>12194322.78486797</v>
      </c>
      <c r="J31" s="166">
        <f>I22*'ABP Future Assumptions'!$B$93</f>
        <v>12133351.170943629</v>
      </c>
      <c r="K31" s="166">
        <f>J22*'ABP Future Assumptions'!$B$93</f>
        <v>12072684.415088911</v>
      </c>
      <c r="L31" s="166">
        <f>K22*'ABP Future Assumptions'!$B$93</f>
        <v>12012320.993013468</v>
      </c>
      <c r="M31" s="166">
        <f>L22*'ABP Future Assumptions'!$B$93</f>
        <v>11952259.388048401</v>
      </c>
      <c r="N31" s="166">
        <f>M22*'ABP Future Assumptions'!$B$93</f>
        <v>11892498.091108158</v>
      </c>
      <c r="O31" s="166">
        <f>N22*'ABP Future Assumptions'!$B$93</f>
        <v>11833035.600652616</v>
      </c>
      <c r="P31" s="166">
        <f>O22*'ABP Future Assumptions'!$B$93</f>
        <v>11773870.422649354</v>
      </c>
      <c r="Q31" s="166">
        <f>P22*'ABP Future Assumptions'!$B$93</f>
        <v>11715001.070536105</v>
      </c>
      <c r="R31" s="166">
        <f>Q22*'ABP Future Assumptions'!$B$93</f>
        <v>11656426.065183425</v>
      </c>
      <c r="S31" s="166">
        <f>R22*'ABP Future Assumptions'!$B$93</f>
        <v>11598143.934857508</v>
      </c>
      <c r="T31" s="166">
        <f>S22*'ABP Future Assumptions'!$B$93</f>
        <v>11540153.215183221</v>
      </c>
      <c r="U31" s="166">
        <f>T22*'ABP Future Assumptions'!$B$93</f>
        <v>11482452.449107302</v>
      </c>
    </row>
    <row r="32" spans="1:21" x14ac:dyDescent="0.35">
      <c r="A32" s="164" t="s">
        <v>151</v>
      </c>
      <c r="B32" s="164"/>
      <c r="C32" s="166"/>
      <c r="D32" s="166">
        <f>C23*'ABP Future Assumptions'!$B$93</f>
        <v>0</v>
      </c>
      <c r="E32" s="166">
        <f>D23*'ABP Future Assumptions'!$B$93</f>
        <v>7580955.0384344449</v>
      </c>
      <c r="F32" s="166">
        <f>E23*'ABP Future Assumptions'!$B$93</f>
        <v>7543050.2632422727</v>
      </c>
      <c r="G32" s="166">
        <f>F23*'ABP Future Assumptions'!$B$93</f>
        <v>7505335.0119260615</v>
      </c>
      <c r="H32" s="166">
        <f>G23*'ABP Future Assumptions'!$B$93</f>
        <v>7467808.3368664309</v>
      </c>
      <c r="I32" s="166">
        <f>H23*'ABP Future Assumptions'!$B$93</f>
        <v>7430469.2951820977</v>
      </c>
      <c r="J32" s="166">
        <f>I23*'ABP Future Assumptions'!$B$93</f>
        <v>7393316.9487061892</v>
      </c>
      <c r="K32" s="166">
        <f>J23*'ABP Future Assumptions'!$B$93</f>
        <v>7356350.3639626568</v>
      </c>
      <c r="L32" s="166">
        <f>K23*'ABP Future Assumptions'!$B$93</f>
        <v>7319568.6121428441</v>
      </c>
      <c r="M32" s="166">
        <f>L23*'ABP Future Assumptions'!$B$93</f>
        <v>7282970.769082129</v>
      </c>
      <c r="N32" s="166">
        <f>M23*'ABP Future Assumptions'!$B$93</f>
        <v>7246555.9152367199</v>
      </c>
      <c r="O32" s="166">
        <f>N23*'ABP Future Assumptions'!$B$93</f>
        <v>7210323.1356605357</v>
      </c>
      <c r="P32" s="166">
        <f>O23*'ABP Future Assumptions'!$B$93</f>
        <v>7174271.5199822346</v>
      </c>
      <c r="Q32" s="166">
        <f>P23*'ABP Future Assumptions'!$B$93</f>
        <v>7138400.1623823205</v>
      </c>
      <c r="R32" s="166">
        <f>Q23*'ABP Future Assumptions'!$B$93</f>
        <v>7102708.1615704093</v>
      </c>
      <c r="S32" s="166">
        <f>R23*'ABP Future Assumptions'!$B$93</f>
        <v>7067194.6207625568</v>
      </c>
      <c r="T32" s="166">
        <f>S23*'ABP Future Assumptions'!$B$93</f>
        <v>7031858.6476587458</v>
      </c>
      <c r="U32" s="166">
        <f>T23*'ABP Future Assumptions'!$B$93</f>
        <v>6996699.3544204514</v>
      </c>
    </row>
    <row r="33" spans="1:21" x14ac:dyDescent="0.35">
      <c r="A33" s="164" t="s">
        <v>155</v>
      </c>
      <c r="B33" s="164"/>
      <c r="C33" s="166"/>
      <c r="D33" s="166">
        <f>C24*'ABP Future Assumptions'!$B$93</f>
        <v>0</v>
      </c>
      <c r="E33" s="166">
        <f>D24*'ABP Future Assumptions'!$B$93</f>
        <v>0</v>
      </c>
      <c r="F33" s="166">
        <f>E24*'ABP Future Assumptions'!$B$93</f>
        <v>5032710.9611926414</v>
      </c>
      <c r="G33" s="166">
        <f>F24*'ABP Future Assumptions'!$B$93</f>
        <v>4753115.9077930497</v>
      </c>
      <c r="H33" s="166">
        <f>G24*'ABP Future Assumptions'!$B$93</f>
        <v>4753115.9077930497</v>
      </c>
      <c r="I33" s="166">
        <f>H24*'ABP Future Assumptions'!$B$93</f>
        <v>4753115.9077930497</v>
      </c>
      <c r="J33" s="166">
        <f>I24*'ABP Future Assumptions'!$B$93</f>
        <v>4753115.9077930497</v>
      </c>
      <c r="K33" s="166">
        <f>J24*'ABP Future Assumptions'!$B$93</f>
        <v>4753115.9077930497</v>
      </c>
      <c r="L33" s="166">
        <f>K24*'ABP Future Assumptions'!$B$93</f>
        <v>4753115.9077930497</v>
      </c>
      <c r="M33" s="166">
        <f>L24*'ABP Future Assumptions'!$B$93</f>
        <v>0</v>
      </c>
      <c r="N33" s="166">
        <f>M24*'ABP Future Assumptions'!$B$93</f>
        <v>0</v>
      </c>
      <c r="O33" s="166">
        <f>N24*'ABP Future Assumptions'!$B$93</f>
        <v>0</v>
      </c>
      <c r="P33" s="166">
        <f>O24*'ABP Future Assumptions'!$B$93</f>
        <v>0</v>
      </c>
      <c r="Q33" s="166">
        <f>P24*'ABP Future Assumptions'!$B$93</f>
        <v>0</v>
      </c>
      <c r="R33" s="166">
        <f>Q24*'ABP Future Assumptions'!$B$93</f>
        <v>0</v>
      </c>
      <c r="S33" s="166">
        <f>R24*'ABP Future Assumptions'!$B$93</f>
        <v>0</v>
      </c>
      <c r="T33" s="166">
        <f>S24*'ABP Future Assumptions'!$B$93</f>
        <v>0</v>
      </c>
      <c r="U33" s="166">
        <f>T24*'ABP Future Assumptions'!$B$93</f>
        <v>0</v>
      </c>
    </row>
    <row r="34" spans="1:21" x14ac:dyDescent="0.35">
      <c r="A34" s="164" t="s">
        <v>158</v>
      </c>
      <c r="B34" s="164"/>
      <c r="C34" s="166"/>
      <c r="D34" s="166">
        <f>C25*'ABP Future Assumptions'!$B$93</f>
        <v>0</v>
      </c>
      <c r="E34" s="166">
        <f>D25*'ABP Future Assumptions'!$B$93</f>
        <v>16360001.283880727</v>
      </c>
      <c r="F34" s="166">
        <f>E25*'ABP Future Assumptions'!$B$93</f>
        <v>15451112.323665133</v>
      </c>
      <c r="G34" s="166">
        <f>F25*'ABP Future Assumptions'!$B$93</f>
        <v>15451112.323665133</v>
      </c>
      <c r="H34" s="166">
        <f>G25*'ABP Future Assumptions'!$B$93</f>
        <v>15451112.323665133</v>
      </c>
      <c r="I34" s="166">
        <f>H25*'ABP Future Assumptions'!$B$93</f>
        <v>15451112.323665133</v>
      </c>
      <c r="J34" s="166">
        <f>I25*'ABP Future Assumptions'!$B$93</f>
        <v>15451112.323665133</v>
      </c>
      <c r="K34" s="166">
        <f>J25*'ABP Future Assumptions'!$B$93</f>
        <v>15451112.323665133</v>
      </c>
      <c r="L34" s="166">
        <f>K25*'ABP Future Assumptions'!$B$93</f>
        <v>0</v>
      </c>
      <c r="M34" s="166">
        <f>L25*'ABP Future Assumptions'!$B$93</f>
        <v>0</v>
      </c>
      <c r="N34" s="166">
        <f>M25*'ABP Future Assumptions'!$B$93</f>
        <v>0</v>
      </c>
      <c r="O34" s="166">
        <f>N25*'ABP Future Assumptions'!$B$93</f>
        <v>0</v>
      </c>
      <c r="P34" s="166">
        <f>O25*'ABP Future Assumptions'!$B$93</f>
        <v>0</v>
      </c>
      <c r="Q34" s="166">
        <f>P25*'ABP Future Assumptions'!$B$93</f>
        <v>0</v>
      </c>
      <c r="R34" s="166">
        <f>Q25*'ABP Future Assumptions'!$B$93</f>
        <v>0</v>
      </c>
      <c r="S34" s="166">
        <f>R25*'ABP Future Assumptions'!$B$93</f>
        <v>0</v>
      </c>
      <c r="T34" s="166">
        <f>S25*'ABP Future Assumptions'!$B$93</f>
        <v>0</v>
      </c>
      <c r="U34" s="166">
        <f>T25*'ABP Future Assumptions'!$B$93</f>
        <v>0</v>
      </c>
    </row>
    <row r="35" spans="1:21" x14ac:dyDescent="0.35">
      <c r="A35" s="163" t="s">
        <v>104</v>
      </c>
      <c r="B35" s="163"/>
      <c r="C35" s="18">
        <f t="shared" ref="C35:T35" si="9">SUM(C29:C34)</f>
        <v>0</v>
      </c>
      <c r="D35" s="18">
        <f t="shared" si="9"/>
        <v>0</v>
      </c>
      <c r="E35" s="18">
        <f t="shared" si="9"/>
        <v>182113048.49028987</v>
      </c>
      <c r="F35" s="18">
        <f t="shared" si="9"/>
        <v>54311956.772488274</v>
      </c>
      <c r="G35" s="18">
        <f t="shared" si="9"/>
        <v>53932751.057107016</v>
      </c>
      <c r="H35" s="18">
        <f t="shared" si="9"/>
        <v>53833638.448435269</v>
      </c>
      <c r="I35" s="18">
        <f t="shared" si="9"/>
        <v>53735021.402806871</v>
      </c>
      <c r="J35" s="18">
        <f t="shared" si="9"/>
        <v>53636897.442406625</v>
      </c>
      <c r="K35" s="18">
        <f t="shared" si="9"/>
        <v>53539264.101808377</v>
      </c>
      <c r="L35" s="18">
        <f t="shared" si="9"/>
        <v>24085005.512949359</v>
      </c>
      <c r="M35" s="18">
        <f t="shared" si="9"/>
        <v>19235230.157130532</v>
      </c>
      <c r="N35" s="18">
        <f t="shared" si="9"/>
        <v>19139054.006344877</v>
      </c>
      <c r="O35" s="18">
        <f t="shared" si="9"/>
        <v>19043358.736313153</v>
      </c>
      <c r="P35" s="18">
        <f t="shared" si="9"/>
        <v>18948141.942631587</v>
      </c>
      <c r="Q35" s="18">
        <f t="shared" si="9"/>
        <v>18853401.232918426</v>
      </c>
      <c r="R35" s="18">
        <f t="shared" si="9"/>
        <v>18759134.226753835</v>
      </c>
      <c r="S35" s="18">
        <f t="shared" si="9"/>
        <v>18665338.555620067</v>
      </c>
      <c r="T35" s="18">
        <f t="shared" si="9"/>
        <v>18572011.862841967</v>
      </c>
      <c r="U35" s="18">
        <f t="shared" ref="U35" si="10">SUM(U29:U34)</f>
        <v>18479151.803527754</v>
      </c>
    </row>
    <row r="37" spans="1:21" ht="15.5" x14ac:dyDescent="0.35">
      <c r="A37" s="77">
        <v>2027</v>
      </c>
      <c r="B37" s="220">
        <v>2024</v>
      </c>
      <c r="C37" s="220">
        <v>2025</v>
      </c>
      <c r="D37" s="220">
        <v>2026</v>
      </c>
      <c r="E37" s="220">
        <v>2027</v>
      </c>
      <c r="F37" s="220">
        <v>2028</v>
      </c>
      <c r="G37" s="220">
        <v>2029</v>
      </c>
      <c r="H37" s="220">
        <v>2030</v>
      </c>
      <c r="I37" s="220">
        <v>2031</v>
      </c>
      <c r="J37" s="220">
        <v>2032</v>
      </c>
      <c r="K37" s="220">
        <v>2033</v>
      </c>
      <c r="L37" s="220">
        <v>2034</v>
      </c>
      <c r="M37" s="220">
        <v>2035</v>
      </c>
      <c r="N37" s="220">
        <v>2036</v>
      </c>
      <c r="O37" s="220">
        <v>2037</v>
      </c>
      <c r="P37" s="220">
        <v>2038</v>
      </c>
      <c r="Q37" s="220">
        <v>2039</v>
      </c>
      <c r="R37" s="220">
        <v>2040</v>
      </c>
      <c r="S37" s="220">
        <v>2041</v>
      </c>
      <c r="T37" s="220">
        <v>2042</v>
      </c>
      <c r="U37" s="220">
        <v>2043</v>
      </c>
    </row>
    <row r="38" spans="1:21" x14ac:dyDescent="0.35">
      <c r="A38" s="164" t="s">
        <v>131</v>
      </c>
      <c r="B38" s="164"/>
      <c r="C38" s="166"/>
      <c r="D38" s="166"/>
      <c r="E38" s="166">
        <f>D29*'ABP Future Assumptions'!$B$93</f>
        <v>0</v>
      </c>
      <c r="F38" s="166">
        <f>E29*'ABP Future Assumptions'!$B$93</f>
        <v>137710167.37198272</v>
      </c>
      <c r="G38" s="166">
        <f>F29*'ABP Future Assumptions'!$B$93</f>
        <v>0</v>
      </c>
      <c r="H38" s="166">
        <f>G29*'ABP Future Assumptions'!$B$93</f>
        <v>0</v>
      </c>
      <c r="I38" s="166">
        <f>H29*'ABP Future Assumptions'!$B$93</f>
        <v>0</v>
      </c>
      <c r="J38" s="166">
        <f>I29*'ABP Future Assumptions'!$B$93</f>
        <v>0</v>
      </c>
      <c r="K38" s="166">
        <f>J29*'ABP Future Assumptions'!$B$93</f>
        <v>0</v>
      </c>
      <c r="L38" s="166">
        <f>K29*'ABP Future Assumptions'!$B$93</f>
        <v>0</v>
      </c>
      <c r="M38" s="166">
        <f>L29*'ABP Future Assumptions'!$B$93</f>
        <v>0</v>
      </c>
      <c r="N38" s="166">
        <f>M29*'ABP Future Assumptions'!$B$93</f>
        <v>0</v>
      </c>
      <c r="O38" s="166">
        <f>N29*'ABP Future Assumptions'!$B$93</f>
        <v>0</v>
      </c>
      <c r="P38" s="166">
        <f>O29*'ABP Future Assumptions'!$B$93</f>
        <v>0</v>
      </c>
      <c r="Q38" s="166">
        <f>P29*'ABP Future Assumptions'!$B$93</f>
        <v>0</v>
      </c>
      <c r="R38" s="166">
        <f>Q29*'ABP Future Assumptions'!$B$93</f>
        <v>0</v>
      </c>
      <c r="S38" s="166">
        <f>R29*'ABP Future Assumptions'!$B$93</f>
        <v>0</v>
      </c>
      <c r="T38" s="166">
        <f>S29*'ABP Future Assumptions'!$B$93</f>
        <v>0</v>
      </c>
      <c r="U38" s="166">
        <f>T29*'ABP Future Assumptions'!$B$93</f>
        <v>0</v>
      </c>
    </row>
    <row r="39" spans="1:21" x14ac:dyDescent="0.35">
      <c r="A39" s="164" t="s">
        <v>137</v>
      </c>
      <c r="B39" s="164"/>
      <c r="C39" s="166"/>
      <c r="D39" s="166"/>
      <c r="E39" s="166">
        <f>D30*'ABP Future Assumptions'!$B$93</f>
        <v>0</v>
      </c>
      <c r="F39" s="166">
        <f>E30*'ABP Future Assumptions'!$B$93</f>
        <v>14135041.109272949</v>
      </c>
      <c r="G39" s="166">
        <f>F30*'ABP Future Assumptions'!$B$93</f>
        <v>13349761.047646673</v>
      </c>
      <c r="H39" s="166">
        <f>G30*'ABP Future Assumptions'!$B$93</f>
        <v>13349761.047646673</v>
      </c>
      <c r="I39" s="166">
        <f>H30*'ABP Future Assumptions'!$B$93</f>
        <v>13349761.047646673</v>
      </c>
      <c r="J39" s="166">
        <f>I30*'ABP Future Assumptions'!$B$93</f>
        <v>13349761.047646673</v>
      </c>
      <c r="K39" s="166">
        <f>J30*'ABP Future Assumptions'!$B$93</f>
        <v>13349761.047646673</v>
      </c>
      <c r="L39" s="166">
        <f>K30*'ABP Future Assumptions'!$B$93</f>
        <v>13349761.047646673</v>
      </c>
      <c r="M39" s="166">
        <f>L30*'ABP Future Assumptions'!$B$93</f>
        <v>0</v>
      </c>
      <c r="N39" s="166">
        <f>M30*'ABP Future Assumptions'!$B$93</f>
        <v>0</v>
      </c>
      <c r="O39" s="166">
        <f>N30*'ABP Future Assumptions'!$B$93</f>
        <v>0</v>
      </c>
      <c r="P39" s="166">
        <f>O30*'ABP Future Assumptions'!$B$93</f>
        <v>0</v>
      </c>
      <c r="Q39" s="166">
        <f>P30*'ABP Future Assumptions'!$B$93</f>
        <v>0</v>
      </c>
      <c r="R39" s="166">
        <f>Q30*'ABP Future Assumptions'!$B$93</f>
        <v>0</v>
      </c>
      <c r="S39" s="166">
        <f>R30*'ABP Future Assumptions'!$B$93</f>
        <v>0</v>
      </c>
      <c r="T39" s="166">
        <f>S30*'ABP Future Assumptions'!$B$93</f>
        <v>0</v>
      </c>
      <c r="U39" s="166">
        <f>T30*'ABP Future Assumptions'!$B$93</f>
        <v>0</v>
      </c>
    </row>
    <row r="40" spans="1:21" x14ac:dyDescent="0.35">
      <c r="A40" s="164" t="s">
        <v>146</v>
      </c>
      <c r="B40" s="164"/>
      <c r="C40" s="166"/>
      <c r="D40" s="166"/>
      <c r="E40" s="166">
        <f>D31*'ABP Future Assumptions'!$B$93</f>
        <v>0</v>
      </c>
      <c r="F40" s="166">
        <f>E31*'ABP Future Assumptions'!$B$93</f>
        <v>0</v>
      </c>
      <c r="G40" s="166">
        <f>F31*'ABP Future Assumptions'!$B$93</f>
        <v>11883918.847766014</v>
      </c>
      <c r="H40" s="166">
        <f>G31*'ABP Future Assumptions'!$B$93</f>
        <v>11824499.253527183</v>
      </c>
      <c r="I40" s="166">
        <f>H31*'ABP Future Assumptions'!$B$93</f>
        <v>11765376.757259548</v>
      </c>
      <c r="J40" s="166">
        <f>I31*'ABP Future Assumptions'!$B$93</f>
        <v>11706549.873473251</v>
      </c>
      <c r="K40" s="166">
        <f>J31*'ABP Future Assumptions'!$B$93</f>
        <v>11648017.124105884</v>
      </c>
      <c r="L40" s="166">
        <f>K31*'ABP Future Assumptions'!$B$93</f>
        <v>11589777.038485354</v>
      </c>
      <c r="M40" s="166">
        <f>L31*'ABP Future Assumptions'!$B$93</f>
        <v>11531828.153292928</v>
      </c>
      <c r="N40" s="166">
        <f>M31*'ABP Future Assumptions'!$B$93</f>
        <v>11474169.012526464</v>
      </c>
      <c r="O40" s="166">
        <f>N31*'ABP Future Assumptions'!$B$93</f>
        <v>11416798.167463832</v>
      </c>
      <c r="P40" s="166">
        <f>O31*'ABP Future Assumptions'!$B$93</f>
        <v>11359714.176626511</v>
      </c>
      <c r="Q40" s="166">
        <f>P31*'ABP Future Assumptions'!$B$93</f>
        <v>11302915.605743378</v>
      </c>
      <c r="R40" s="166">
        <f>Q31*'ABP Future Assumptions'!$B$93</f>
        <v>11246401.02771466</v>
      </c>
      <c r="S40" s="166">
        <f>R31*'ABP Future Assumptions'!$B$93</f>
        <v>11190169.022576088</v>
      </c>
      <c r="T40" s="166">
        <f>S31*'ABP Future Assumptions'!$B$93</f>
        <v>11134218.177463207</v>
      </c>
      <c r="U40" s="166">
        <f>T31*'ABP Future Assumptions'!$B$93</f>
        <v>11078547.086575892</v>
      </c>
    </row>
    <row r="41" spans="1:21" x14ac:dyDescent="0.35">
      <c r="A41" s="164" t="s">
        <v>151</v>
      </c>
      <c r="B41" s="164"/>
      <c r="C41" s="166"/>
      <c r="D41" s="166"/>
      <c r="E41" s="166">
        <f>D32*'ABP Future Assumptions'!$B$93</f>
        <v>0</v>
      </c>
      <c r="F41" s="166">
        <f>E32*'ABP Future Assumptions'!$B$93</f>
        <v>7277716.8368970668</v>
      </c>
      <c r="G41" s="166">
        <f>F32*'ABP Future Assumptions'!$B$93</f>
        <v>7241328.2527125813</v>
      </c>
      <c r="H41" s="166">
        <f>G32*'ABP Future Assumptions'!$B$93</f>
        <v>7205121.6114490191</v>
      </c>
      <c r="I41" s="166">
        <f>H32*'ABP Future Assumptions'!$B$93</f>
        <v>7169096.0033917734</v>
      </c>
      <c r="J41" s="166">
        <f>I32*'ABP Future Assumptions'!$B$93</f>
        <v>7133250.5233748136</v>
      </c>
      <c r="K41" s="166">
        <f>J32*'ABP Future Assumptions'!$B$93</f>
        <v>7097584.2707579415</v>
      </c>
      <c r="L41" s="166">
        <f>K32*'ABP Future Assumptions'!$B$93</f>
        <v>7062096.3494041506</v>
      </c>
      <c r="M41" s="166">
        <f>L32*'ABP Future Assumptions'!$B$93</f>
        <v>7026785.8676571297</v>
      </c>
      <c r="N41" s="166">
        <f>M32*'ABP Future Assumptions'!$B$93</f>
        <v>6991651.938318844</v>
      </c>
      <c r="O41" s="166">
        <f>N32*'ABP Future Assumptions'!$B$93</f>
        <v>6956693.6786272507</v>
      </c>
      <c r="P41" s="166">
        <f>O32*'ABP Future Assumptions'!$B$93</f>
        <v>6921910.210234114</v>
      </c>
      <c r="Q41" s="166">
        <f>P32*'ABP Future Assumptions'!$B$93</f>
        <v>6887300.6591829453</v>
      </c>
      <c r="R41" s="166">
        <f>Q32*'ABP Future Assumptions'!$B$93</f>
        <v>6852864.1558870273</v>
      </c>
      <c r="S41" s="166">
        <f>R32*'ABP Future Assumptions'!$B$93</f>
        <v>6818599.8351075929</v>
      </c>
      <c r="T41" s="166">
        <f>S32*'ABP Future Assumptions'!$B$93</f>
        <v>6784506.8359320546</v>
      </c>
      <c r="U41" s="166">
        <f>T32*'ABP Future Assumptions'!$B$93</f>
        <v>6750584.3017523959</v>
      </c>
    </row>
    <row r="42" spans="1:21" x14ac:dyDescent="0.35">
      <c r="A42" s="164" t="s">
        <v>155</v>
      </c>
      <c r="B42" s="164"/>
      <c r="C42" s="166"/>
      <c r="D42" s="166"/>
      <c r="E42" s="166">
        <f>D33*'ABP Future Assumptions'!$B$93</f>
        <v>0</v>
      </c>
      <c r="F42" s="166">
        <f>E33*'ABP Future Assumptions'!$B$93</f>
        <v>0</v>
      </c>
      <c r="G42" s="166">
        <f>F33*'ABP Future Assumptions'!$B$93</f>
        <v>4831402.5227449359</v>
      </c>
      <c r="H42" s="166">
        <f>G33*'ABP Future Assumptions'!$B$93</f>
        <v>4562991.2714813277</v>
      </c>
      <c r="I42" s="166">
        <f>H33*'ABP Future Assumptions'!$B$93</f>
        <v>4562991.2714813277</v>
      </c>
      <c r="J42" s="166">
        <f>I33*'ABP Future Assumptions'!$B$93</f>
        <v>4562991.2714813277</v>
      </c>
      <c r="K42" s="166">
        <f>J33*'ABP Future Assumptions'!$B$93</f>
        <v>4562991.2714813277</v>
      </c>
      <c r="L42" s="166">
        <f>K33*'ABP Future Assumptions'!$B$93</f>
        <v>4562991.2714813277</v>
      </c>
      <c r="M42" s="166">
        <f>L33*'ABP Future Assumptions'!$B$93</f>
        <v>4562991.2714813277</v>
      </c>
      <c r="N42" s="166">
        <f>M33*'ABP Future Assumptions'!$B$93</f>
        <v>0</v>
      </c>
      <c r="O42" s="166">
        <f>N33*'ABP Future Assumptions'!$B$93</f>
        <v>0</v>
      </c>
      <c r="P42" s="166">
        <f>O33*'ABP Future Assumptions'!$B$93</f>
        <v>0</v>
      </c>
      <c r="Q42" s="166">
        <f>P33*'ABP Future Assumptions'!$B$93</f>
        <v>0</v>
      </c>
      <c r="R42" s="166">
        <f>Q33*'ABP Future Assumptions'!$B$93</f>
        <v>0</v>
      </c>
      <c r="S42" s="166">
        <f>R33*'ABP Future Assumptions'!$B$93</f>
        <v>0</v>
      </c>
      <c r="T42" s="166">
        <f>S33*'ABP Future Assumptions'!$B$93</f>
        <v>0</v>
      </c>
      <c r="U42" s="166">
        <f>T33*'ABP Future Assumptions'!$B$93</f>
        <v>0</v>
      </c>
    </row>
    <row r="43" spans="1:21" x14ac:dyDescent="0.35">
      <c r="A43" s="164" t="s">
        <v>158</v>
      </c>
      <c r="B43" s="164"/>
      <c r="C43" s="166"/>
      <c r="D43" s="166"/>
      <c r="E43" s="166">
        <f>D34*'ABP Future Assumptions'!$B$93</f>
        <v>0</v>
      </c>
      <c r="F43" s="166">
        <f>E34*'ABP Future Assumptions'!$B$93</f>
        <v>15705601.232525498</v>
      </c>
      <c r="G43" s="166">
        <f>F34*'ABP Future Assumptions'!$B$93</f>
        <v>14833067.830718527</v>
      </c>
      <c r="H43" s="166">
        <f>G34*'ABP Future Assumptions'!$B$93</f>
        <v>14833067.830718527</v>
      </c>
      <c r="I43" s="166">
        <f>H34*'ABP Future Assumptions'!$B$93</f>
        <v>14833067.830718527</v>
      </c>
      <c r="J43" s="166">
        <f>I34*'ABP Future Assumptions'!$B$93</f>
        <v>14833067.830718527</v>
      </c>
      <c r="K43" s="166">
        <f>J34*'ABP Future Assumptions'!$B$93</f>
        <v>14833067.830718527</v>
      </c>
      <c r="L43" s="166">
        <f>K34*'ABP Future Assumptions'!$B$93</f>
        <v>14833067.830718527</v>
      </c>
      <c r="M43" s="166">
        <f>L34*'ABP Future Assumptions'!$B$93</f>
        <v>0</v>
      </c>
      <c r="N43" s="166">
        <f>M34*'ABP Future Assumptions'!$B$93</f>
        <v>0</v>
      </c>
      <c r="O43" s="166">
        <f>N34*'ABP Future Assumptions'!$B$93</f>
        <v>0</v>
      </c>
      <c r="P43" s="166">
        <f>O34*'ABP Future Assumptions'!$B$93</f>
        <v>0</v>
      </c>
      <c r="Q43" s="166">
        <f>P34*'ABP Future Assumptions'!$B$93</f>
        <v>0</v>
      </c>
      <c r="R43" s="166">
        <f>Q34*'ABP Future Assumptions'!$B$93</f>
        <v>0</v>
      </c>
      <c r="S43" s="166">
        <f>R34*'ABP Future Assumptions'!$B$93</f>
        <v>0</v>
      </c>
      <c r="T43" s="166">
        <f>S34*'ABP Future Assumptions'!$B$93</f>
        <v>0</v>
      </c>
      <c r="U43" s="166">
        <f>T34*'ABP Future Assumptions'!$B$93</f>
        <v>0</v>
      </c>
    </row>
    <row r="44" spans="1:21" x14ac:dyDescent="0.35">
      <c r="A44" s="163" t="s">
        <v>104</v>
      </c>
      <c r="B44" s="163"/>
      <c r="C44" s="18">
        <f t="shared" ref="C44:T44" si="11">SUM(C38:C43)</f>
        <v>0</v>
      </c>
      <c r="D44" s="18">
        <f t="shared" si="11"/>
        <v>0</v>
      </c>
      <c r="E44" s="18">
        <f t="shared" si="11"/>
        <v>0</v>
      </c>
      <c r="F44" s="18">
        <f t="shared" si="11"/>
        <v>174828526.55067825</v>
      </c>
      <c r="G44" s="18">
        <f t="shared" si="11"/>
        <v>52139478.501588732</v>
      </c>
      <c r="H44" s="18">
        <f t="shared" si="11"/>
        <v>51775441.014822729</v>
      </c>
      <c r="I44" s="18">
        <f t="shared" si="11"/>
        <v>51680292.910497844</v>
      </c>
      <c r="J44" s="18">
        <f t="shared" si="11"/>
        <v>51585620.546694592</v>
      </c>
      <c r="K44" s="18">
        <f t="shared" si="11"/>
        <v>51491421.544710353</v>
      </c>
      <c r="L44" s="18">
        <f t="shared" si="11"/>
        <v>51397693.537736028</v>
      </c>
      <c r="M44" s="18">
        <f t="shared" si="11"/>
        <v>23121605.292431384</v>
      </c>
      <c r="N44" s="18">
        <f t="shared" si="11"/>
        <v>18465820.950845309</v>
      </c>
      <c r="O44" s="18">
        <f t="shared" si="11"/>
        <v>18373491.846091084</v>
      </c>
      <c r="P44" s="18">
        <f t="shared" si="11"/>
        <v>18281624.386860624</v>
      </c>
      <c r="Q44" s="18">
        <f t="shared" si="11"/>
        <v>18190216.264926322</v>
      </c>
      <c r="R44" s="18">
        <f t="shared" si="11"/>
        <v>18099265.183601689</v>
      </c>
      <c r="S44" s="18">
        <f t="shared" si="11"/>
        <v>18008768.857683681</v>
      </c>
      <c r="T44" s="18">
        <f t="shared" si="11"/>
        <v>17918725.013395261</v>
      </c>
      <c r="U44" s="18">
        <f t="shared" ref="U44" si="12">SUM(U38:U43)</f>
        <v>17829131.388328288</v>
      </c>
    </row>
    <row r="46" spans="1:21" ht="15.5" x14ac:dyDescent="0.35">
      <c r="A46" s="77">
        <v>2028</v>
      </c>
      <c r="B46" s="220">
        <v>2024</v>
      </c>
      <c r="C46" s="220">
        <v>2025</v>
      </c>
      <c r="D46" s="220">
        <v>2026</v>
      </c>
      <c r="E46" s="220">
        <v>2027</v>
      </c>
      <c r="F46" s="220">
        <v>2028</v>
      </c>
      <c r="G46" s="220">
        <v>2029</v>
      </c>
      <c r="H46" s="220">
        <v>2030</v>
      </c>
      <c r="I46" s="220">
        <v>2031</v>
      </c>
      <c r="J46" s="220">
        <v>2032</v>
      </c>
      <c r="K46" s="220">
        <v>2033</v>
      </c>
      <c r="L46" s="220">
        <v>2034</v>
      </c>
      <c r="M46" s="220">
        <v>2035</v>
      </c>
      <c r="N46" s="220">
        <v>2036</v>
      </c>
      <c r="O46" s="220">
        <v>2037</v>
      </c>
      <c r="P46" s="220">
        <v>2038</v>
      </c>
      <c r="Q46" s="220">
        <v>2039</v>
      </c>
      <c r="R46" s="220">
        <v>2040</v>
      </c>
      <c r="S46" s="220">
        <v>2041</v>
      </c>
      <c r="T46" s="220">
        <v>2042</v>
      </c>
      <c r="U46" s="220">
        <v>2043</v>
      </c>
    </row>
    <row r="47" spans="1:21" x14ac:dyDescent="0.35">
      <c r="A47" s="164" t="s">
        <v>131</v>
      </c>
      <c r="B47" s="164"/>
      <c r="C47" s="166"/>
      <c r="D47" s="166"/>
      <c r="E47" s="166"/>
      <c r="F47" s="166">
        <f>E38*'ABP Future Assumptions'!$B$93</f>
        <v>0</v>
      </c>
      <c r="G47" s="166">
        <f>F38*'ABP Future Assumptions'!$B$93</f>
        <v>132201760.67710342</v>
      </c>
      <c r="H47" s="166">
        <f>G38*'ABP Future Assumptions'!$B$93</f>
        <v>0</v>
      </c>
      <c r="I47" s="166">
        <f>H38*'ABP Future Assumptions'!$B$93</f>
        <v>0</v>
      </c>
      <c r="J47" s="166">
        <f>I38*'ABP Future Assumptions'!$B$93</f>
        <v>0</v>
      </c>
      <c r="K47" s="166">
        <f>J38*'ABP Future Assumptions'!$B$93</f>
        <v>0</v>
      </c>
      <c r="L47" s="166">
        <f>K38*'ABP Future Assumptions'!$B$93</f>
        <v>0</v>
      </c>
      <c r="M47" s="166">
        <f>L38*'ABP Future Assumptions'!$B$93</f>
        <v>0</v>
      </c>
      <c r="N47" s="166">
        <f>M38*'ABP Future Assumptions'!$B$93</f>
        <v>0</v>
      </c>
      <c r="O47" s="166">
        <f>N38*'ABP Future Assumptions'!$B$93</f>
        <v>0</v>
      </c>
      <c r="P47" s="166">
        <f>O38*'ABP Future Assumptions'!$B$93</f>
        <v>0</v>
      </c>
      <c r="Q47" s="166">
        <f>P38*'ABP Future Assumptions'!$B$93</f>
        <v>0</v>
      </c>
      <c r="R47" s="166">
        <f>Q38*'ABP Future Assumptions'!$B$93</f>
        <v>0</v>
      </c>
      <c r="S47" s="166">
        <f>R38*'ABP Future Assumptions'!$B$93</f>
        <v>0</v>
      </c>
      <c r="T47" s="166">
        <f>S38*'ABP Future Assumptions'!$B$93</f>
        <v>0</v>
      </c>
      <c r="U47" s="166">
        <f>T38*'ABP Future Assumptions'!$B$93</f>
        <v>0</v>
      </c>
    </row>
    <row r="48" spans="1:21" x14ac:dyDescent="0.35">
      <c r="A48" s="164" t="s">
        <v>137</v>
      </c>
      <c r="B48" s="164"/>
      <c r="C48" s="166"/>
      <c r="D48" s="166"/>
      <c r="E48" s="166"/>
      <c r="F48" s="166">
        <f>E39*'ABP Future Assumptions'!$B$93</f>
        <v>0</v>
      </c>
      <c r="G48" s="166">
        <f>F39*'ABP Future Assumptions'!$B$93</f>
        <v>13569639.46490203</v>
      </c>
      <c r="H48" s="166">
        <f>G39*'ABP Future Assumptions'!$B$93</f>
        <v>12815770.605740806</v>
      </c>
      <c r="I48" s="166">
        <f>H39*'ABP Future Assumptions'!$B$93</f>
        <v>12815770.605740806</v>
      </c>
      <c r="J48" s="166">
        <f>I39*'ABP Future Assumptions'!$B$93</f>
        <v>12815770.605740806</v>
      </c>
      <c r="K48" s="166">
        <f>J39*'ABP Future Assumptions'!$B$93</f>
        <v>12815770.605740806</v>
      </c>
      <c r="L48" s="166">
        <f>K39*'ABP Future Assumptions'!$B$93</f>
        <v>12815770.605740806</v>
      </c>
      <c r="M48" s="166">
        <f>L39*'ABP Future Assumptions'!$B$93</f>
        <v>12815770.605740806</v>
      </c>
      <c r="N48" s="166">
        <f>M39*'ABP Future Assumptions'!$B$93</f>
        <v>0</v>
      </c>
      <c r="O48" s="166">
        <f>N39*'ABP Future Assumptions'!$B$93</f>
        <v>0</v>
      </c>
      <c r="P48" s="166">
        <f>O39*'ABP Future Assumptions'!$B$93</f>
        <v>0</v>
      </c>
      <c r="Q48" s="166">
        <f>P39*'ABP Future Assumptions'!$B$93</f>
        <v>0</v>
      </c>
      <c r="R48" s="166">
        <f>Q39*'ABP Future Assumptions'!$B$93</f>
        <v>0</v>
      </c>
      <c r="S48" s="166">
        <f>R39*'ABP Future Assumptions'!$B$93</f>
        <v>0</v>
      </c>
      <c r="T48" s="166">
        <f>S39*'ABP Future Assumptions'!$B$93</f>
        <v>0</v>
      </c>
      <c r="U48" s="166">
        <f>T39*'ABP Future Assumptions'!$B$93</f>
        <v>0</v>
      </c>
    </row>
    <row r="49" spans="1:21" x14ac:dyDescent="0.35">
      <c r="A49" s="164" t="s">
        <v>146</v>
      </c>
      <c r="B49" s="164"/>
      <c r="C49" s="166"/>
      <c r="D49" s="166"/>
      <c r="E49" s="166"/>
      <c r="F49" s="166">
        <f>E40*'ABP Future Assumptions'!$B$93</f>
        <v>0</v>
      </c>
      <c r="G49" s="166">
        <f>F40*'ABP Future Assumptions'!$B$93</f>
        <v>0</v>
      </c>
      <c r="H49" s="166">
        <f>G40*'ABP Future Assumptions'!$B$93</f>
        <v>11408562.093855374</v>
      </c>
      <c r="I49" s="166">
        <f>H40*'ABP Future Assumptions'!$B$93</f>
        <v>11351519.283386094</v>
      </c>
      <c r="J49" s="166">
        <f>I40*'ABP Future Assumptions'!$B$93</f>
        <v>11294761.686969165</v>
      </c>
      <c r="K49" s="166">
        <f>J40*'ABP Future Assumptions'!$B$93</f>
        <v>11238287.878534321</v>
      </c>
      <c r="L49" s="166">
        <f>K40*'ABP Future Assumptions'!$B$93</f>
        <v>11182096.439141648</v>
      </c>
      <c r="M49" s="166">
        <f>L40*'ABP Future Assumptions'!$B$93</f>
        <v>11126185.956945939</v>
      </c>
      <c r="N49" s="166">
        <f>M40*'ABP Future Assumptions'!$B$93</f>
        <v>11070555.027161211</v>
      </c>
      <c r="O49" s="166">
        <f>N40*'ABP Future Assumptions'!$B$93</f>
        <v>11015202.252025405</v>
      </c>
      <c r="P49" s="166">
        <f>O40*'ABP Future Assumptions'!$B$93</f>
        <v>10960126.240765277</v>
      </c>
      <c r="Q49" s="166">
        <f>P40*'ABP Future Assumptions'!$B$93</f>
        <v>10905325.609561451</v>
      </c>
      <c r="R49" s="166">
        <f>Q40*'ABP Future Assumptions'!$B$93</f>
        <v>10850798.981513644</v>
      </c>
      <c r="S49" s="166">
        <f>R40*'ABP Future Assumptions'!$B$93</f>
        <v>10796544.986606074</v>
      </c>
      <c r="T49" s="166">
        <f>S40*'ABP Future Assumptions'!$B$93</f>
        <v>10742562.261673044</v>
      </c>
      <c r="U49" s="166">
        <f>T40*'ABP Future Assumptions'!$B$93</f>
        <v>10688849.450364679</v>
      </c>
    </row>
    <row r="50" spans="1:21" x14ac:dyDescent="0.35">
      <c r="A50" s="164" t="s">
        <v>151</v>
      </c>
      <c r="B50" s="164"/>
      <c r="C50" s="166"/>
      <c r="D50" s="166"/>
      <c r="E50" s="166"/>
      <c r="F50" s="166">
        <f>E41*'ABP Future Assumptions'!$B$93</f>
        <v>0</v>
      </c>
      <c r="G50" s="166">
        <f>F41*'ABP Future Assumptions'!$B$93</f>
        <v>6986608.1634211838</v>
      </c>
      <c r="H50" s="166">
        <f>G41*'ABP Future Assumptions'!$B$93</f>
        <v>6951675.1226040777</v>
      </c>
      <c r="I50" s="166">
        <f>H41*'ABP Future Assumptions'!$B$93</f>
        <v>6916916.7469910579</v>
      </c>
      <c r="J50" s="166">
        <f>I41*'ABP Future Assumptions'!$B$93</f>
        <v>6882332.1632561022</v>
      </c>
      <c r="K50" s="166">
        <f>J41*'ABP Future Assumptions'!$B$93</f>
        <v>6847920.5024398211</v>
      </c>
      <c r="L50" s="166">
        <f>K41*'ABP Future Assumptions'!$B$93</f>
        <v>6813680.8999276236</v>
      </c>
      <c r="M50" s="166">
        <f>L41*'ABP Future Assumptions'!$B$93</f>
        <v>6779612.4954279847</v>
      </c>
      <c r="N50" s="166">
        <f>M41*'ABP Future Assumptions'!$B$93</f>
        <v>6745714.4329508441</v>
      </c>
      <c r="O50" s="166">
        <f>N41*'ABP Future Assumptions'!$B$93</f>
        <v>6711985.8607860897</v>
      </c>
      <c r="P50" s="166">
        <f>O41*'ABP Future Assumptions'!$B$93</f>
        <v>6678425.9314821605</v>
      </c>
      <c r="Q50" s="166">
        <f>P41*'ABP Future Assumptions'!$B$93</f>
        <v>6645033.8018247494</v>
      </c>
      <c r="R50" s="166">
        <f>Q41*'ABP Future Assumptions'!$B$93</f>
        <v>6611808.6328156274</v>
      </c>
      <c r="S50" s="166">
        <f>R41*'ABP Future Assumptions'!$B$93</f>
        <v>6578749.5896515455</v>
      </c>
      <c r="T50" s="166">
        <f>S41*'ABP Future Assumptions'!$B$93</f>
        <v>6545855.8417032892</v>
      </c>
      <c r="U50" s="166">
        <f>T41*'ABP Future Assumptions'!$B$93</f>
        <v>6513126.5624947725</v>
      </c>
    </row>
    <row r="51" spans="1:21" x14ac:dyDescent="0.35">
      <c r="A51" s="164" t="s">
        <v>155</v>
      </c>
      <c r="B51" s="164"/>
      <c r="C51" s="166"/>
      <c r="D51" s="166"/>
      <c r="E51" s="166"/>
      <c r="F51" s="166">
        <f>E42*'ABP Future Assumptions'!$B$93</f>
        <v>0</v>
      </c>
      <c r="G51" s="166">
        <f>F42*'ABP Future Assumptions'!$B$93</f>
        <v>0</v>
      </c>
      <c r="H51" s="166">
        <f>G42*'ABP Future Assumptions'!$B$93</f>
        <v>4638146.4218351385</v>
      </c>
      <c r="I51" s="166">
        <f>H42*'ABP Future Assumptions'!$B$93</f>
        <v>4380471.6206220742</v>
      </c>
      <c r="J51" s="166">
        <f>I42*'ABP Future Assumptions'!$B$93</f>
        <v>4380471.6206220742</v>
      </c>
      <c r="K51" s="166">
        <f>J42*'ABP Future Assumptions'!$B$93</f>
        <v>4380471.6206220742</v>
      </c>
      <c r="L51" s="166">
        <f>K42*'ABP Future Assumptions'!$B$93</f>
        <v>4380471.6206220742</v>
      </c>
      <c r="M51" s="166">
        <f>L42*'ABP Future Assumptions'!$B$93</f>
        <v>4380471.6206220742</v>
      </c>
      <c r="N51" s="166">
        <f>M42*'ABP Future Assumptions'!$B$93</f>
        <v>4380471.6206220742</v>
      </c>
      <c r="O51" s="166">
        <f>N42*'ABP Future Assumptions'!$B$93</f>
        <v>0</v>
      </c>
      <c r="P51" s="166">
        <f>O42*'ABP Future Assumptions'!$B$93</f>
        <v>0</v>
      </c>
      <c r="Q51" s="166">
        <f>P42*'ABP Future Assumptions'!$B$93</f>
        <v>0</v>
      </c>
      <c r="R51" s="166">
        <f>Q42*'ABP Future Assumptions'!$B$93</f>
        <v>0</v>
      </c>
      <c r="S51" s="166">
        <f>R42*'ABP Future Assumptions'!$B$93</f>
        <v>0</v>
      </c>
      <c r="T51" s="166">
        <f>S42*'ABP Future Assumptions'!$B$93</f>
        <v>0</v>
      </c>
      <c r="U51" s="166">
        <f>T42*'ABP Future Assumptions'!$B$93</f>
        <v>0</v>
      </c>
    </row>
    <row r="52" spans="1:21" x14ac:dyDescent="0.35">
      <c r="A52" s="164" t="s">
        <v>158</v>
      </c>
      <c r="B52" s="164"/>
      <c r="C52" s="166"/>
      <c r="D52" s="166"/>
      <c r="E52" s="166"/>
      <c r="F52" s="166">
        <f>E43*'ABP Future Assumptions'!$B$93</f>
        <v>0</v>
      </c>
      <c r="G52" s="166">
        <f>F43*'ABP Future Assumptions'!$B$93</f>
        <v>15077377.183224477</v>
      </c>
      <c r="H52" s="166">
        <f>G43*'ABP Future Assumptions'!$B$93</f>
        <v>14239745.117489785</v>
      </c>
      <c r="I52" s="166">
        <f>H43*'ABP Future Assumptions'!$B$93</f>
        <v>14239745.117489785</v>
      </c>
      <c r="J52" s="166">
        <f>I43*'ABP Future Assumptions'!$B$93</f>
        <v>14239745.117489785</v>
      </c>
      <c r="K52" s="166">
        <f>J43*'ABP Future Assumptions'!$B$93</f>
        <v>14239745.117489785</v>
      </c>
      <c r="L52" s="166">
        <f>K43*'ABP Future Assumptions'!$B$93</f>
        <v>14239745.117489785</v>
      </c>
      <c r="M52" s="166">
        <f>L43*'ABP Future Assumptions'!$B$93</f>
        <v>14239745.117489785</v>
      </c>
      <c r="N52" s="166">
        <f>M43*'ABP Future Assumptions'!$B$93</f>
        <v>0</v>
      </c>
      <c r="O52" s="166">
        <f>N43*'ABP Future Assumptions'!$B$93</f>
        <v>0</v>
      </c>
      <c r="P52" s="166">
        <f>O43*'ABP Future Assumptions'!$B$93</f>
        <v>0</v>
      </c>
      <c r="Q52" s="166">
        <f>P43*'ABP Future Assumptions'!$B$93</f>
        <v>0</v>
      </c>
      <c r="R52" s="166">
        <f>Q43*'ABP Future Assumptions'!$B$93</f>
        <v>0</v>
      </c>
      <c r="S52" s="166">
        <f>R43*'ABP Future Assumptions'!$B$93</f>
        <v>0</v>
      </c>
      <c r="T52" s="166">
        <f>S43*'ABP Future Assumptions'!$B$93</f>
        <v>0</v>
      </c>
      <c r="U52" s="166">
        <f>T43*'ABP Future Assumptions'!$B$93</f>
        <v>0</v>
      </c>
    </row>
    <row r="53" spans="1:21" x14ac:dyDescent="0.35">
      <c r="A53" s="163" t="s">
        <v>104</v>
      </c>
      <c r="B53" s="163"/>
      <c r="C53" s="18">
        <f t="shared" ref="C53:T53" si="13">SUM(C47:C52)</f>
        <v>0</v>
      </c>
      <c r="D53" s="18">
        <f t="shared" si="13"/>
        <v>0</v>
      </c>
      <c r="E53" s="18">
        <f t="shared" si="13"/>
        <v>0</v>
      </c>
      <c r="F53" s="18">
        <f t="shared" si="13"/>
        <v>0</v>
      </c>
      <c r="G53" s="18">
        <f t="shared" si="13"/>
        <v>167835385.4886511</v>
      </c>
      <c r="H53" s="18">
        <f t="shared" si="13"/>
        <v>50053899.361525185</v>
      </c>
      <c r="I53" s="18">
        <f t="shared" si="13"/>
        <v>49704423.374229819</v>
      </c>
      <c r="J53" s="18">
        <f t="shared" si="13"/>
        <v>49613081.194077931</v>
      </c>
      <c r="K53" s="18">
        <f t="shared" si="13"/>
        <v>49522195.724826805</v>
      </c>
      <c r="L53" s="18">
        <f t="shared" si="13"/>
        <v>49431764.682921939</v>
      </c>
      <c r="M53" s="18">
        <f t="shared" si="13"/>
        <v>49341785.796226591</v>
      </c>
      <c r="N53" s="18">
        <f t="shared" si="13"/>
        <v>22196741.080734126</v>
      </c>
      <c r="O53" s="18">
        <f t="shared" si="13"/>
        <v>17727188.112811495</v>
      </c>
      <c r="P53" s="18">
        <f t="shared" si="13"/>
        <v>17638552.17224744</v>
      </c>
      <c r="Q53" s="18">
        <f t="shared" si="13"/>
        <v>17550359.411386199</v>
      </c>
      <c r="R53" s="18">
        <f t="shared" si="13"/>
        <v>17462607.614329271</v>
      </c>
      <c r="S53" s="18">
        <f t="shared" si="13"/>
        <v>17375294.57625762</v>
      </c>
      <c r="T53" s="18">
        <f t="shared" si="13"/>
        <v>17288418.103376333</v>
      </c>
      <c r="U53" s="18">
        <f t="shared" ref="U53" si="14">SUM(U47:U52)</f>
        <v>17201976.012859453</v>
      </c>
    </row>
    <row r="55" spans="1:21" ht="15.5" x14ac:dyDescent="0.35">
      <c r="A55" s="77">
        <v>2029</v>
      </c>
      <c r="B55" s="220">
        <v>2024</v>
      </c>
      <c r="C55" s="220">
        <v>2025</v>
      </c>
      <c r="D55" s="220">
        <v>2026</v>
      </c>
      <c r="E55" s="220">
        <v>2027</v>
      </c>
      <c r="F55" s="220">
        <v>2028</v>
      </c>
      <c r="G55" s="220">
        <v>2029</v>
      </c>
      <c r="H55" s="220">
        <v>2030</v>
      </c>
      <c r="I55" s="220">
        <v>2031</v>
      </c>
      <c r="J55" s="220">
        <v>2032</v>
      </c>
      <c r="K55" s="220">
        <v>2033</v>
      </c>
      <c r="L55" s="220">
        <v>2034</v>
      </c>
      <c r="M55" s="220">
        <v>2035</v>
      </c>
      <c r="N55" s="220">
        <v>2036</v>
      </c>
      <c r="O55" s="220">
        <v>2037</v>
      </c>
      <c r="P55" s="220">
        <v>2038</v>
      </c>
      <c r="Q55" s="220">
        <v>2039</v>
      </c>
      <c r="R55" s="220">
        <v>2040</v>
      </c>
      <c r="S55" s="220">
        <v>2041</v>
      </c>
      <c r="T55" s="220">
        <v>2042</v>
      </c>
      <c r="U55" s="220">
        <v>2043</v>
      </c>
    </row>
    <row r="56" spans="1:21" x14ac:dyDescent="0.35">
      <c r="A56" s="164" t="s">
        <v>131</v>
      </c>
      <c r="B56" s="164"/>
      <c r="C56" s="166"/>
      <c r="D56" s="166"/>
      <c r="E56" s="166"/>
      <c r="F56" s="166"/>
      <c r="G56" s="166">
        <f>F47*'ABP Future Assumptions'!$B$93</f>
        <v>0</v>
      </c>
      <c r="H56" s="166">
        <f>G47*'ABP Future Assumptions'!$B$93</f>
        <v>126913690.25001927</v>
      </c>
      <c r="I56" s="166">
        <f>H47*'ABP Future Assumptions'!$B$93</f>
        <v>0</v>
      </c>
      <c r="J56" s="166">
        <f>I47*'ABP Future Assumptions'!$B$93</f>
        <v>0</v>
      </c>
      <c r="K56" s="166">
        <f>J47*'ABP Future Assumptions'!$B$93</f>
        <v>0</v>
      </c>
      <c r="L56" s="166">
        <f>K47*'ABP Future Assumptions'!$B$93</f>
        <v>0</v>
      </c>
      <c r="M56" s="166">
        <f>L47*'ABP Future Assumptions'!$B$93</f>
        <v>0</v>
      </c>
      <c r="N56" s="166">
        <f>M47*'ABP Future Assumptions'!$B$93</f>
        <v>0</v>
      </c>
      <c r="O56" s="166">
        <f>N47*'ABP Future Assumptions'!$B$93</f>
        <v>0</v>
      </c>
      <c r="P56" s="166">
        <f>O47*'ABP Future Assumptions'!$B$93</f>
        <v>0</v>
      </c>
      <c r="Q56" s="166">
        <f>P47*'ABP Future Assumptions'!$B$93</f>
        <v>0</v>
      </c>
      <c r="R56" s="166">
        <f>Q47*'ABP Future Assumptions'!$B$93</f>
        <v>0</v>
      </c>
      <c r="S56" s="166">
        <f>R47*'ABP Future Assumptions'!$B$93</f>
        <v>0</v>
      </c>
      <c r="T56" s="166">
        <f>S47*'ABP Future Assumptions'!$B$93</f>
        <v>0</v>
      </c>
      <c r="U56" s="166">
        <f>T47*'ABP Future Assumptions'!$B$93</f>
        <v>0</v>
      </c>
    </row>
    <row r="57" spans="1:21" x14ac:dyDescent="0.35">
      <c r="A57" s="164" t="s">
        <v>137</v>
      </c>
      <c r="B57" s="164"/>
      <c r="C57" s="166"/>
      <c r="D57" s="166"/>
      <c r="E57" s="166"/>
      <c r="F57" s="166"/>
      <c r="G57" s="166">
        <f>F48*'ABP Future Assumptions'!$B$93</f>
        <v>0</v>
      </c>
      <c r="H57" s="166">
        <f>G48*'ABP Future Assumptions'!$B$93</f>
        <v>13026853.886305949</v>
      </c>
      <c r="I57" s="166">
        <f>H48*'ABP Future Assumptions'!$B$93</f>
        <v>12303139.781511173</v>
      </c>
      <c r="J57" s="166">
        <f>I48*'ABP Future Assumptions'!$B$93</f>
        <v>12303139.781511173</v>
      </c>
      <c r="K57" s="166">
        <f>J48*'ABP Future Assumptions'!$B$93</f>
        <v>12303139.781511173</v>
      </c>
      <c r="L57" s="166">
        <f>K48*'ABP Future Assumptions'!$B$93</f>
        <v>12303139.781511173</v>
      </c>
      <c r="M57" s="166">
        <f>L48*'ABP Future Assumptions'!$B$93</f>
        <v>12303139.781511173</v>
      </c>
      <c r="N57" s="166">
        <f>M48*'ABP Future Assumptions'!$B$93</f>
        <v>12303139.781511173</v>
      </c>
      <c r="O57" s="166">
        <f>N48*'ABP Future Assumptions'!$B$93</f>
        <v>0</v>
      </c>
      <c r="P57" s="166">
        <f>O48*'ABP Future Assumptions'!$B$93</f>
        <v>0</v>
      </c>
      <c r="Q57" s="166">
        <f>P48*'ABP Future Assumptions'!$B$93</f>
        <v>0</v>
      </c>
      <c r="R57" s="166">
        <f>Q48*'ABP Future Assumptions'!$B$93</f>
        <v>0</v>
      </c>
      <c r="S57" s="166">
        <f>R48*'ABP Future Assumptions'!$B$93</f>
        <v>0</v>
      </c>
      <c r="T57" s="166">
        <f>S48*'ABP Future Assumptions'!$B$93</f>
        <v>0</v>
      </c>
      <c r="U57" s="166">
        <f>T48*'ABP Future Assumptions'!$B$93</f>
        <v>0</v>
      </c>
    </row>
    <row r="58" spans="1:21" x14ac:dyDescent="0.35">
      <c r="A58" s="164" t="s">
        <v>146</v>
      </c>
      <c r="B58" s="164"/>
      <c r="C58" s="166"/>
      <c r="D58" s="166"/>
      <c r="E58" s="166"/>
      <c r="F58" s="166"/>
      <c r="G58" s="166">
        <f>F49*'ABP Future Assumptions'!$B$93</f>
        <v>0</v>
      </c>
      <c r="H58" s="166">
        <f>G49*'ABP Future Assumptions'!$B$93</f>
        <v>0</v>
      </c>
      <c r="I58" s="166">
        <f>H49*'ABP Future Assumptions'!$B$93</f>
        <v>10952219.610101158</v>
      </c>
      <c r="J58" s="166">
        <f>I49*'ABP Future Assumptions'!$B$93</f>
        <v>10897458.512050651</v>
      </c>
      <c r="K58" s="166">
        <f>J49*'ABP Future Assumptions'!$B$93</f>
        <v>10842971.219490398</v>
      </c>
      <c r="L58" s="166">
        <f>K49*'ABP Future Assumptions'!$B$93</f>
        <v>10788756.363392947</v>
      </c>
      <c r="M58" s="166">
        <f>L49*'ABP Future Assumptions'!$B$93</f>
        <v>10734812.581575982</v>
      </c>
      <c r="N58" s="166">
        <f>M49*'ABP Future Assumptions'!$B$93</f>
        <v>10681138.5186681</v>
      </c>
      <c r="O58" s="166">
        <f>N49*'ABP Future Assumptions'!$B$93</f>
        <v>10627732.826074762</v>
      </c>
      <c r="P58" s="166">
        <f>O49*'ABP Future Assumptions'!$B$93</f>
        <v>10574594.161944387</v>
      </c>
      <c r="Q58" s="166">
        <f>P49*'ABP Future Assumptions'!$B$93</f>
        <v>10521721.191134665</v>
      </c>
      <c r="R58" s="166">
        <f>Q49*'ABP Future Assumptions'!$B$93</f>
        <v>10469112.585178992</v>
      </c>
      <c r="S58" s="166">
        <f>R49*'ABP Future Assumptions'!$B$93</f>
        <v>10416767.022253098</v>
      </c>
      <c r="T58" s="166">
        <f>S49*'ABP Future Assumptions'!$B$93</f>
        <v>10364683.187141832</v>
      </c>
      <c r="U58" s="166">
        <f>T49*'ABP Future Assumptions'!$B$93</f>
        <v>10312859.771206122</v>
      </c>
    </row>
    <row r="59" spans="1:21" x14ac:dyDescent="0.35">
      <c r="A59" s="164" t="s">
        <v>151</v>
      </c>
      <c r="B59" s="164"/>
      <c r="C59" s="166"/>
      <c r="D59" s="166"/>
      <c r="E59" s="166"/>
      <c r="F59" s="166"/>
      <c r="G59" s="166">
        <f>F50*'ABP Future Assumptions'!$B$93</f>
        <v>0</v>
      </c>
      <c r="H59" s="166">
        <f>G50*'ABP Future Assumptions'!$B$93</f>
        <v>6707143.8368843365</v>
      </c>
      <c r="I59" s="166">
        <f>H50*'ABP Future Assumptions'!$B$93</f>
        <v>6673608.1176999146</v>
      </c>
      <c r="J59" s="166">
        <f>I50*'ABP Future Assumptions'!$B$93</f>
        <v>6640240.0771114156</v>
      </c>
      <c r="K59" s="166">
        <f>J50*'ABP Future Assumptions'!$B$93</f>
        <v>6607038.8767258581</v>
      </c>
      <c r="L59" s="166">
        <f>K50*'ABP Future Assumptions'!$B$93</f>
        <v>6574003.6823422285</v>
      </c>
      <c r="M59" s="166">
        <f>L50*'ABP Future Assumptions'!$B$93</f>
        <v>6541133.6639305186</v>
      </c>
      <c r="N59" s="166">
        <f>M50*'ABP Future Assumptions'!$B$93</f>
        <v>6508427.9956108648</v>
      </c>
      <c r="O59" s="166">
        <f>N50*'ABP Future Assumptions'!$B$93</f>
        <v>6475885.8556328099</v>
      </c>
      <c r="P59" s="166">
        <f>O50*'ABP Future Assumptions'!$B$93</f>
        <v>6443506.4263546458</v>
      </c>
      <c r="Q59" s="166">
        <f>P50*'ABP Future Assumptions'!$B$93</f>
        <v>6411288.8942228742</v>
      </c>
      <c r="R59" s="166">
        <f>Q50*'ABP Future Assumptions'!$B$93</f>
        <v>6379232.4497517589</v>
      </c>
      <c r="S59" s="166">
        <f>R50*'ABP Future Assumptions'!$B$93</f>
        <v>6347336.2875030022</v>
      </c>
      <c r="T59" s="166">
        <f>S50*'ABP Future Assumptions'!$B$93</f>
        <v>6315599.6060654838</v>
      </c>
      <c r="U59" s="166">
        <f>T50*'ABP Future Assumptions'!$B$93</f>
        <v>6284021.6080351574</v>
      </c>
    </row>
    <row r="60" spans="1:21" x14ac:dyDescent="0.35">
      <c r="A60" s="164" t="s">
        <v>155</v>
      </c>
      <c r="B60" s="164"/>
      <c r="C60" s="166"/>
      <c r="D60" s="166"/>
      <c r="E60" s="166"/>
      <c r="F60" s="166"/>
      <c r="G60" s="166">
        <f>F51*'ABP Future Assumptions'!$B$93</f>
        <v>0</v>
      </c>
      <c r="H60" s="166">
        <f>G51*'ABP Future Assumptions'!$B$93</f>
        <v>0</v>
      </c>
      <c r="I60" s="166">
        <f>H51*'ABP Future Assumptions'!$B$93</f>
        <v>4452620.5649617324</v>
      </c>
      <c r="J60" s="166">
        <f>I51*'ABP Future Assumptions'!$B$93</f>
        <v>4205252.7557971915</v>
      </c>
      <c r="K60" s="166">
        <f>J51*'ABP Future Assumptions'!$B$93</f>
        <v>4205252.7557971915</v>
      </c>
      <c r="L60" s="166">
        <f>K51*'ABP Future Assumptions'!$B$93</f>
        <v>4205252.7557971915</v>
      </c>
      <c r="M60" s="166">
        <f>L51*'ABP Future Assumptions'!$B$93</f>
        <v>4205252.7557971915</v>
      </c>
      <c r="N60" s="166">
        <f>M51*'ABP Future Assumptions'!$B$93</f>
        <v>4205252.7557971915</v>
      </c>
      <c r="O60" s="166">
        <f>N51*'ABP Future Assumptions'!$B$93</f>
        <v>4205252.7557971915</v>
      </c>
      <c r="P60" s="166">
        <f>O51*'ABP Future Assumptions'!$B$93</f>
        <v>0</v>
      </c>
      <c r="Q60" s="166">
        <f>P51*'ABP Future Assumptions'!$B$93</f>
        <v>0</v>
      </c>
      <c r="R60" s="166">
        <f>Q51*'ABP Future Assumptions'!$B$93</f>
        <v>0</v>
      </c>
      <c r="S60" s="166">
        <f>R51*'ABP Future Assumptions'!$B$93</f>
        <v>0</v>
      </c>
      <c r="T60" s="166">
        <f>S51*'ABP Future Assumptions'!$B$93</f>
        <v>0</v>
      </c>
      <c r="U60" s="166">
        <f>T51*'ABP Future Assumptions'!$B$93</f>
        <v>0</v>
      </c>
    </row>
    <row r="61" spans="1:21" x14ac:dyDescent="0.35">
      <c r="A61" s="164" t="s">
        <v>158</v>
      </c>
      <c r="B61" s="164"/>
      <c r="C61" s="166"/>
      <c r="D61" s="166"/>
      <c r="E61" s="166"/>
      <c r="F61" s="166"/>
      <c r="G61" s="166">
        <f>F52*'ABP Future Assumptions'!$B$93</f>
        <v>0</v>
      </c>
      <c r="H61" s="166">
        <f>G52*'ABP Future Assumptions'!$B$93</f>
        <v>14474282.095895497</v>
      </c>
      <c r="I61" s="166">
        <f>H52*'ABP Future Assumptions'!$B$93</f>
        <v>13670155.312790193</v>
      </c>
      <c r="J61" s="166">
        <f>I52*'ABP Future Assumptions'!$B$93</f>
        <v>13670155.312790193</v>
      </c>
      <c r="K61" s="166">
        <f>J52*'ABP Future Assumptions'!$B$93</f>
        <v>13670155.312790193</v>
      </c>
      <c r="L61" s="166">
        <f>K52*'ABP Future Assumptions'!$B$93</f>
        <v>13670155.312790193</v>
      </c>
      <c r="M61" s="166">
        <f>L52*'ABP Future Assumptions'!$B$93</f>
        <v>13670155.312790193</v>
      </c>
      <c r="N61" s="166">
        <f>M52*'ABP Future Assumptions'!$B$93</f>
        <v>13670155.312790193</v>
      </c>
      <c r="O61" s="166">
        <f>N52*'ABP Future Assumptions'!$B$93</f>
        <v>0</v>
      </c>
      <c r="P61" s="166">
        <f>O52*'ABP Future Assumptions'!$B$93</f>
        <v>0</v>
      </c>
      <c r="Q61" s="166">
        <f>P52*'ABP Future Assumptions'!$B$93</f>
        <v>0</v>
      </c>
      <c r="R61" s="166">
        <f>Q52*'ABP Future Assumptions'!$B$93</f>
        <v>0</v>
      </c>
      <c r="S61" s="166">
        <f>R52*'ABP Future Assumptions'!$B$93</f>
        <v>0</v>
      </c>
      <c r="T61" s="166">
        <f>S52*'ABP Future Assumptions'!$B$93</f>
        <v>0</v>
      </c>
      <c r="U61" s="166">
        <f>T52*'ABP Future Assumptions'!$B$93</f>
        <v>0</v>
      </c>
    </row>
    <row r="62" spans="1:21" x14ac:dyDescent="0.35">
      <c r="A62" s="163" t="s">
        <v>104</v>
      </c>
      <c r="B62" s="163"/>
      <c r="C62" s="18">
        <f t="shared" ref="C62:T62" si="15">SUM(C56:C61)</f>
        <v>0</v>
      </c>
      <c r="D62" s="18">
        <f t="shared" si="15"/>
        <v>0</v>
      </c>
      <c r="E62" s="18">
        <f t="shared" si="15"/>
        <v>0</v>
      </c>
      <c r="F62" s="18">
        <f t="shared" si="15"/>
        <v>0</v>
      </c>
      <c r="G62" s="18">
        <f t="shared" si="15"/>
        <v>0</v>
      </c>
      <c r="H62" s="18">
        <f t="shared" si="15"/>
        <v>161121970.06910506</v>
      </c>
      <c r="I62" s="18">
        <f t="shared" si="15"/>
        <v>48051743.387064166</v>
      </c>
      <c r="J62" s="18">
        <f t="shared" si="15"/>
        <v>47716246.439260624</v>
      </c>
      <c r="K62" s="18">
        <f t="shared" si="15"/>
        <v>47628557.946314812</v>
      </c>
      <c r="L62" s="18">
        <f t="shared" si="15"/>
        <v>47541307.895833731</v>
      </c>
      <c r="M62" s="18">
        <f t="shared" si="15"/>
        <v>47454494.09560506</v>
      </c>
      <c r="N62" s="18">
        <f t="shared" si="15"/>
        <v>47368114.364377521</v>
      </c>
      <c r="O62" s="18">
        <f t="shared" si="15"/>
        <v>21308871.437504765</v>
      </c>
      <c r="P62" s="18">
        <f t="shared" si="15"/>
        <v>17018100.588299032</v>
      </c>
      <c r="Q62" s="18">
        <f t="shared" si="15"/>
        <v>16933010.085357539</v>
      </c>
      <c r="R62" s="18">
        <f t="shared" si="15"/>
        <v>16848345.034930751</v>
      </c>
      <c r="S62" s="18">
        <f t="shared" si="15"/>
        <v>16764103.3097561</v>
      </c>
      <c r="T62" s="18">
        <f t="shared" si="15"/>
        <v>16680282.793207316</v>
      </c>
      <c r="U62" s="18">
        <f t="shared" ref="U62" si="16">SUM(U56:U61)</f>
        <v>16596881.37924128</v>
      </c>
    </row>
    <row r="64" spans="1:21" ht="15.5" x14ac:dyDescent="0.35">
      <c r="A64" s="77">
        <v>2030</v>
      </c>
      <c r="B64" s="220">
        <v>2024</v>
      </c>
      <c r="C64" s="220">
        <v>2025</v>
      </c>
      <c r="D64" s="220">
        <v>2026</v>
      </c>
      <c r="E64" s="220">
        <v>2027</v>
      </c>
      <c r="F64" s="220">
        <v>2028</v>
      </c>
      <c r="G64" s="220">
        <v>2029</v>
      </c>
      <c r="H64" s="220">
        <v>2030</v>
      </c>
      <c r="I64" s="220">
        <v>2031</v>
      </c>
      <c r="J64" s="220">
        <v>2032</v>
      </c>
      <c r="K64" s="220">
        <v>2033</v>
      </c>
      <c r="L64" s="220">
        <v>2034</v>
      </c>
      <c r="M64" s="220">
        <v>2035</v>
      </c>
      <c r="N64" s="220">
        <v>2036</v>
      </c>
      <c r="O64" s="220">
        <v>2037</v>
      </c>
      <c r="P64" s="220">
        <v>2038</v>
      </c>
      <c r="Q64" s="220">
        <v>2039</v>
      </c>
      <c r="R64" s="220">
        <v>2040</v>
      </c>
      <c r="S64" s="220">
        <v>2041</v>
      </c>
      <c r="T64" s="220">
        <v>2042</v>
      </c>
      <c r="U64" s="220">
        <v>2043</v>
      </c>
    </row>
    <row r="65" spans="1:21" x14ac:dyDescent="0.35">
      <c r="A65" s="164" t="s">
        <v>131</v>
      </c>
      <c r="B65" s="164"/>
      <c r="C65" s="166"/>
      <c r="D65" s="166"/>
      <c r="E65" s="166"/>
      <c r="F65" s="166"/>
      <c r="G65" s="166"/>
      <c r="H65" s="166">
        <f>G56*'ABP Future Assumptions'!$B$93</f>
        <v>0</v>
      </c>
      <c r="I65" s="166">
        <f>H56*'ABP Future Assumptions'!$B$93</f>
        <v>121837142.64001849</v>
      </c>
      <c r="J65" s="166">
        <f>I56*'ABP Future Assumptions'!$B$93</f>
        <v>0</v>
      </c>
      <c r="K65" s="166">
        <f>J56*'ABP Future Assumptions'!$B$93</f>
        <v>0</v>
      </c>
      <c r="L65" s="166">
        <f>K56*'ABP Future Assumptions'!$B$93</f>
        <v>0</v>
      </c>
      <c r="M65" s="166">
        <f>L56*'ABP Future Assumptions'!$B$93</f>
        <v>0</v>
      </c>
      <c r="N65" s="166">
        <f>M56*'ABP Future Assumptions'!$B$93</f>
        <v>0</v>
      </c>
      <c r="O65" s="166">
        <f>N56*'ABP Future Assumptions'!$B$93</f>
        <v>0</v>
      </c>
      <c r="P65" s="166">
        <f>O56*'ABP Future Assumptions'!$B$93</f>
        <v>0</v>
      </c>
      <c r="Q65" s="166">
        <f>P56*'ABP Future Assumptions'!$B$93</f>
        <v>0</v>
      </c>
      <c r="R65" s="166">
        <f>Q56*'ABP Future Assumptions'!$B$93</f>
        <v>0</v>
      </c>
      <c r="S65" s="166">
        <f>R56*'ABP Future Assumptions'!$B$93</f>
        <v>0</v>
      </c>
      <c r="T65" s="166">
        <f>S56*'ABP Future Assumptions'!$B$93</f>
        <v>0</v>
      </c>
      <c r="U65" s="166">
        <f>T56*'ABP Future Assumptions'!$B$93</f>
        <v>0</v>
      </c>
    </row>
    <row r="66" spans="1:21" x14ac:dyDescent="0.35">
      <c r="A66" s="164" t="s">
        <v>137</v>
      </c>
      <c r="B66" s="164"/>
      <c r="C66" s="166"/>
      <c r="D66" s="166"/>
      <c r="E66" s="166"/>
      <c r="F66" s="166"/>
      <c r="G66" s="166"/>
      <c r="H66" s="166">
        <f>G57*'ABP Future Assumptions'!$B$93</f>
        <v>0</v>
      </c>
      <c r="I66" s="166">
        <f>H57*'ABP Future Assumptions'!$B$93</f>
        <v>12505779.73085371</v>
      </c>
      <c r="J66" s="166">
        <f>I57*'ABP Future Assumptions'!$B$93</f>
        <v>11811014.190250725</v>
      </c>
      <c r="K66" s="166">
        <f>J57*'ABP Future Assumptions'!$B$93</f>
        <v>11811014.190250725</v>
      </c>
      <c r="L66" s="166">
        <f>K57*'ABP Future Assumptions'!$B$93</f>
        <v>11811014.190250725</v>
      </c>
      <c r="M66" s="166">
        <f>L57*'ABP Future Assumptions'!$B$93</f>
        <v>11811014.190250725</v>
      </c>
      <c r="N66" s="166">
        <f>M57*'ABP Future Assumptions'!$B$93</f>
        <v>11811014.190250725</v>
      </c>
      <c r="O66" s="166">
        <f>N57*'ABP Future Assumptions'!$B$93</f>
        <v>11811014.190250725</v>
      </c>
      <c r="P66" s="166">
        <f>O57*'ABP Future Assumptions'!$B$93</f>
        <v>0</v>
      </c>
      <c r="Q66" s="166">
        <f>P57*'ABP Future Assumptions'!$B$93</f>
        <v>0</v>
      </c>
      <c r="R66" s="166">
        <f>Q57*'ABP Future Assumptions'!$B$93</f>
        <v>0</v>
      </c>
      <c r="S66" s="166">
        <f>R57*'ABP Future Assumptions'!$B$93</f>
        <v>0</v>
      </c>
      <c r="T66" s="166">
        <f>S57*'ABP Future Assumptions'!$B$93</f>
        <v>0</v>
      </c>
      <c r="U66" s="166">
        <f>T57*'ABP Future Assumptions'!$B$93</f>
        <v>0</v>
      </c>
    </row>
    <row r="67" spans="1:21" x14ac:dyDescent="0.35">
      <c r="A67" s="164" t="s">
        <v>146</v>
      </c>
      <c r="B67" s="164"/>
      <c r="C67" s="166"/>
      <c r="D67" s="166"/>
      <c r="E67" s="166"/>
      <c r="F67" s="166"/>
      <c r="G67" s="166"/>
      <c r="H67" s="166">
        <f>G58*'ABP Future Assumptions'!$B$93</f>
        <v>0</v>
      </c>
      <c r="I67" s="166">
        <f>H58*'ABP Future Assumptions'!$B$93</f>
        <v>0</v>
      </c>
      <c r="J67" s="166">
        <f>I58*'ABP Future Assumptions'!$B$93</f>
        <v>10514130.825697111</v>
      </c>
      <c r="K67" s="166">
        <f>J58*'ABP Future Assumptions'!$B$93</f>
        <v>10461560.171568625</v>
      </c>
      <c r="L67" s="166">
        <f>K58*'ABP Future Assumptions'!$B$93</f>
        <v>10409252.370710781</v>
      </c>
      <c r="M67" s="166">
        <f>L58*'ABP Future Assumptions'!$B$93</f>
        <v>10357206.108857229</v>
      </c>
      <c r="N67" s="166">
        <f>M58*'ABP Future Assumptions'!$B$93</f>
        <v>10305420.078312943</v>
      </c>
      <c r="O67" s="166">
        <f>N58*'ABP Future Assumptions'!$B$93</f>
        <v>10253892.977921376</v>
      </c>
      <c r="P67" s="166">
        <f>O58*'ABP Future Assumptions'!$B$93</f>
        <v>10202623.513031771</v>
      </c>
      <c r="Q67" s="166">
        <f>P58*'ABP Future Assumptions'!$B$93</f>
        <v>10151610.395466611</v>
      </c>
      <c r="R67" s="166">
        <f>Q58*'ABP Future Assumptions'!$B$93</f>
        <v>10100852.343489278</v>
      </c>
      <c r="S67" s="166">
        <f>R58*'ABP Future Assumptions'!$B$93</f>
        <v>10050348.081771832</v>
      </c>
      <c r="T67" s="166">
        <f>S58*'ABP Future Assumptions'!$B$93</f>
        <v>10000096.341362974</v>
      </c>
      <c r="U67" s="166">
        <f>T58*'ABP Future Assumptions'!$B$93</f>
        <v>9950095.8596561588</v>
      </c>
    </row>
    <row r="68" spans="1:21" x14ac:dyDescent="0.35">
      <c r="A68" s="164" t="s">
        <v>151</v>
      </c>
      <c r="B68" s="164"/>
      <c r="C68" s="166"/>
      <c r="D68" s="166"/>
      <c r="E68" s="166"/>
      <c r="F68" s="166"/>
      <c r="G68" s="166"/>
      <c r="H68" s="166">
        <f>G59*'ABP Future Assumptions'!$B$93</f>
        <v>0</v>
      </c>
      <c r="I68" s="166">
        <f>H59*'ABP Future Assumptions'!$B$93</f>
        <v>6438858.0834089629</v>
      </c>
      <c r="J68" s="166">
        <f>I59*'ABP Future Assumptions'!$B$93</f>
        <v>6406663.7929919176</v>
      </c>
      <c r="K68" s="166">
        <f>J59*'ABP Future Assumptions'!$B$93</f>
        <v>6374630.4740269585</v>
      </c>
      <c r="L68" s="166">
        <f>K59*'ABP Future Assumptions'!$B$93</f>
        <v>6342757.3216568232</v>
      </c>
      <c r="M68" s="166">
        <f>L59*'ABP Future Assumptions'!$B$93</f>
        <v>6311043.5350485388</v>
      </c>
      <c r="N68" s="166">
        <f>M59*'ABP Future Assumptions'!$B$93</f>
        <v>6279488.3173732972</v>
      </c>
      <c r="O68" s="166">
        <f>N59*'ABP Future Assumptions'!$B$93</f>
        <v>6248090.8757864302</v>
      </c>
      <c r="P68" s="166">
        <f>O59*'ABP Future Assumptions'!$B$93</f>
        <v>6216850.4214074975</v>
      </c>
      <c r="Q68" s="166">
        <f>P59*'ABP Future Assumptions'!$B$93</f>
        <v>6185766.1693004593</v>
      </c>
      <c r="R68" s="166">
        <f>Q59*'ABP Future Assumptions'!$B$93</f>
        <v>6154837.3384539587</v>
      </c>
      <c r="S68" s="166">
        <f>R59*'ABP Future Assumptions'!$B$93</f>
        <v>6124063.1517616883</v>
      </c>
      <c r="T68" s="166">
        <f>S59*'ABP Future Assumptions'!$B$93</f>
        <v>6093442.8360028816</v>
      </c>
      <c r="U68" s="166">
        <f>T59*'ABP Future Assumptions'!$B$93</f>
        <v>6062975.6218228638</v>
      </c>
    </row>
    <row r="69" spans="1:21" x14ac:dyDescent="0.35">
      <c r="A69" s="164" t="s">
        <v>155</v>
      </c>
      <c r="B69" s="164"/>
      <c r="C69" s="166"/>
      <c r="D69" s="166"/>
      <c r="E69" s="166"/>
      <c r="F69" s="166"/>
      <c r="G69" s="166"/>
      <c r="H69" s="166">
        <f>G60*'ABP Future Assumptions'!$B$93</f>
        <v>0</v>
      </c>
      <c r="I69" s="166">
        <f>H60*'ABP Future Assumptions'!$B$93</f>
        <v>0</v>
      </c>
      <c r="J69" s="166">
        <f>I60*'ABP Future Assumptions'!$B$93</f>
        <v>4274515.7423632629</v>
      </c>
      <c r="K69" s="166">
        <f>J60*'ABP Future Assumptions'!$B$93</f>
        <v>4037042.6455653035</v>
      </c>
      <c r="L69" s="166">
        <f>K60*'ABP Future Assumptions'!$B$93</f>
        <v>4037042.6455653035</v>
      </c>
      <c r="M69" s="166">
        <f>L60*'ABP Future Assumptions'!$B$93</f>
        <v>4037042.6455653035</v>
      </c>
      <c r="N69" s="166">
        <f>M60*'ABP Future Assumptions'!$B$93</f>
        <v>4037042.6455653035</v>
      </c>
      <c r="O69" s="166">
        <f>N60*'ABP Future Assumptions'!$B$93</f>
        <v>4037042.6455653035</v>
      </c>
      <c r="P69" s="166">
        <f>O60*'ABP Future Assumptions'!$B$93</f>
        <v>4037042.6455653035</v>
      </c>
      <c r="Q69" s="166">
        <f>P60*'ABP Future Assumptions'!$B$93</f>
        <v>0</v>
      </c>
      <c r="R69" s="166">
        <f>Q60*'ABP Future Assumptions'!$B$93</f>
        <v>0</v>
      </c>
      <c r="S69" s="166">
        <f>R60*'ABP Future Assumptions'!$B$93</f>
        <v>0</v>
      </c>
      <c r="T69" s="166">
        <f>S60*'ABP Future Assumptions'!$B$93</f>
        <v>0</v>
      </c>
      <c r="U69" s="166">
        <f>T60*'ABP Future Assumptions'!$B$93</f>
        <v>0</v>
      </c>
    </row>
    <row r="70" spans="1:21" x14ac:dyDescent="0.35">
      <c r="A70" s="164" t="s">
        <v>158</v>
      </c>
      <c r="B70" s="164"/>
      <c r="C70" s="166"/>
      <c r="D70" s="166"/>
      <c r="E70" s="166"/>
      <c r="F70" s="166"/>
      <c r="G70" s="166"/>
      <c r="H70" s="166">
        <f>G61*'ABP Future Assumptions'!$B$93</f>
        <v>0</v>
      </c>
      <c r="I70" s="166">
        <f>H61*'ABP Future Assumptions'!$B$93</f>
        <v>13895310.812059676</v>
      </c>
      <c r="J70" s="166">
        <f>I61*'ABP Future Assumptions'!$B$93</f>
        <v>13123349.100278584</v>
      </c>
      <c r="K70" s="166">
        <f>J61*'ABP Future Assumptions'!$B$93</f>
        <v>13123349.100278584</v>
      </c>
      <c r="L70" s="166">
        <f>K61*'ABP Future Assumptions'!$B$93</f>
        <v>13123349.100278584</v>
      </c>
      <c r="M70" s="166">
        <f>L61*'ABP Future Assumptions'!$B$93</f>
        <v>13123349.100278584</v>
      </c>
      <c r="N70" s="166">
        <f>M61*'ABP Future Assumptions'!$B$93</f>
        <v>13123349.100278584</v>
      </c>
      <c r="O70" s="166">
        <f>N61*'ABP Future Assumptions'!$B$93</f>
        <v>13123349.100278584</v>
      </c>
      <c r="P70" s="166">
        <f>O61*'ABP Future Assumptions'!$B$93</f>
        <v>0</v>
      </c>
      <c r="Q70" s="166">
        <f>P61*'ABP Future Assumptions'!$B$93</f>
        <v>0</v>
      </c>
      <c r="R70" s="166">
        <f>Q61*'ABP Future Assumptions'!$B$93</f>
        <v>0</v>
      </c>
      <c r="S70" s="166">
        <f>R61*'ABP Future Assumptions'!$B$93</f>
        <v>0</v>
      </c>
      <c r="T70" s="166">
        <f>S61*'ABP Future Assumptions'!$B$93</f>
        <v>0</v>
      </c>
      <c r="U70" s="166">
        <f>T61*'ABP Future Assumptions'!$B$93</f>
        <v>0</v>
      </c>
    </row>
    <row r="71" spans="1:21" x14ac:dyDescent="0.35">
      <c r="A71" s="163" t="s">
        <v>104</v>
      </c>
      <c r="B71" s="163"/>
      <c r="C71" s="18">
        <f t="shared" ref="C71:T71" si="17">SUM(C65:C70)</f>
        <v>0</v>
      </c>
      <c r="D71" s="18">
        <f t="shared" si="17"/>
        <v>0</v>
      </c>
      <c r="E71" s="18">
        <f t="shared" si="17"/>
        <v>0</v>
      </c>
      <c r="F71" s="18">
        <f t="shared" si="17"/>
        <v>0</v>
      </c>
      <c r="G71" s="18">
        <f t="shared" si="17"/>
        <v>0</v>
      </c>
      <c r="H71" s="18">
        <f t="shared" si="17"/>
        <v>0</v>
      </c>
      <c r="I71" s="18">
        <f t="shared" si="17"/>
        <v>154677091.26634082</v>
      </c>
      <c r="J71" s="18">
        <f t="shared" si="17"/>
        <v>46129673.6515816</v>
      </c>
      <c r="K71" s="18">
        <f t="shared" si="17"/>
        <v>45807596.5816902</v>
      </c>
      <c r="L71" s="18">
        <f t="shared" si="17"/>
        <v>45723415.628462218</v>
      </c>
      <c r="M71" s="18">
        <f t="shared" si="17"/>
        <v>45639655.580000378</v>
      </c>
      <c r="N71" s="18">
        <f t="shared" si="17"/>
        <v>45556314.331780851</v>
      </c>
      <c r="O71" s="18">
        <f t="shared" si="17"/>
        <v>45473389.789802417</v>
      </c>
      <c r="P71" s="18">
        <f t="shared" si="17"/>
        <v>20456516.580004573</v>
      </c>
      <c r="Q71" s="18">
        <f t="shared" si="17"/>
        <v>16337376.56476707</v>
      </c>
      <c r="R71" s="18">
        <f t="shared" si="17"/>
        <v>16255689.681943238</v>
      </c>
      <c r="S71" s="18">
        <f t="shared" si="17"/>
        <v>16174411.23353352</v>
      </c>
      <c r="T71" s="18">
        <f t="shared" si="17"/>
        <v>16093539.177365854</v>
      </c>
      <c r="U71" s="18">
        <f t="shared" ref="U71" si="18">SUM(U65:U70)</f>
        <v>16013071.481479023</v>
      </c>
    </row>
    <row r="73" spans="1:21" ht="15.5" x14ac:dyDescent="0.35">
      <c r="A73" s="77">
        <v>2031</v>
      </c>
      <c r="B73" s="220">
        <v>2024</v>
      </c>
      <c r="C73" s="220">
        <v>2025</v>
      </c>
      <c r="D73" s="220">
        <v>2026</v>
      </c>
      <c r="E73" s="220">
        <v>2027</v>
      </c>
      <c r="F73" s="220">
        <v>2028</v>
      </c>
      <c r="G73" s="220">
        <v>2029</v>
      </c>
      <c r="H73" s="220">
        <v>2030</v>
      </c>
      <c r="I73" s="220">
        <v>2031</v>
      </c>
      <c r="J73" s="220">
        <v>2032</v>
      </c>
      <c r="K73" s="220">
        <v>2033</v>
      </c>
      <c r="L73" s="220">
        <v>2034</v>
      </c>
      <c r="M73" s="220">
        <v>2035</v>
      </c>
      <c r="N73" s="220">
        <v>2036</v>
      </c>
      <c r="O73" s="220">
        <v>2037</v>
      </c>
      <c r="P73" s="220">
        <v>2038</v>
      </c>
      <c r="Q73" s="220">
        <v>2039</v>
      </c>
      <c r="R73" s="220">
        <v>2040</v>
      </c>
      <c r="S73" s="220">
        <v>2041</v>
      </c>
      <c r="T73" s="220">
        <v>2042</v>
      </c>
      <c r="U73" s="220">
        <v>2043</v>
      </c>
    </row>
    <row r="74" spans="1:21" x14ac:dyDescent="0.35">
      <c r="A74" s="164" t="s">
        <v>131</v>
      </c>
      <c r="B74" s="164"/>
      <c r="C74" s="166"/>
      <c r="D74" s="166"/>
      <c r="E74" s="166"/>
      <c r="F74" s="166"/>
      <c r="G74" s="166"/>
      <c r="H74" s="166"/>
      <c r="I74" s="166">
        <f>H65*'ABP Future Assumptions'!$B$93</f>
        <v>0</v>
      </c>
      <c r="J74" s="166">
        <f>I65*'ABP Future Assumptions'!$B$93</f>
        <v>116963656.93441775</v>
      </c>
      <c r="K74" s="166">
        <f>J65*'ABP Future Assumptions'!$B$93</f>
        <v>0</v>
      </c>
      <c r="L74" s="166">
        <f>K65*'ABP Future Assumptions'!$B$93</f>
        <v>0</v>
      </c>
      <c r="M74" s="166">
        <f>L65*'ABP Future Assumptions'!$B$93</f>
        <v>0</v>
      </c>
      <c r="N74" s="166">
        <f>M65*'ABP Future Assumptions'!$B$93</f>
        <v>0</v>
      </c>
      <c r="O74" s="166">
        <f>N65*'ABP Future Assumptions'!$B$93</f>
        <v>0</v>
      </c>
      <c r="P74" s="166">
        <f>O65*'ABP Future Assumptions'!$B$93</f>
        <v>0</v>
      </c>
      <c r="Q74" s="166">
        <f>P65*'ABP Future Assumptions'!$B$93</f>
        <v>0</v>
      </c>
      <c r="R74" s="166">
        <f>Q65*'ABP Future Assumptions'!$B$93</f>
        <v>0</v>
      </c>
      <c r="S74" s="166">
        <f>R65*'ABP Future Assumptions'!$B$93</f>
        <v>0</v>
      </c>
      <c r="T74" s="166">
        <f>S65*'ABP Future Assumptions'!$B$93</f>
        <v>0</v>
      </c>
      <c r="U74" s="166">
        <f>T65*'ABP Future Assumptions'!$B$93</f>
        <v>0</v>
      </c>
    </row>
    <row r="75" spans="1:21" x14ac:dyDescent="0.35">
      <c r="A75" s="164" t="s">
        <v>137</v>
      </c>
      <c r="B75" s="164"/>
      <c r="C75" s="166"/>
      <c r="D75" s="166"/>
      <c r="E75" s="166"/>
      <c r="F75" s="166"/>
      <c r="G75" s="166"/>
      <c r="H75" s="166"/>
      <c r="I75" s="166">
        <f>H66*'ABP Future Assumptions'!$B$93</f>
        <v>0</v>
      </c>
      <c r="J75" s="166">
        <f>I66*'ABP Future Assumptions'!$B$93</f>
        <v>12005548.541619562</v>
      </c>
      <c r="K75" s="166">
        <f>J66*'ABP Future Assumptions'!$B$93</f>
        <v>11338573.622640695</v>
      </c>
      <c r="L75" s="166">
        <f>K66*'ABP Future Assumptions'!$B$93</f>
        <v>11338573.622640695</v>
      </c>
      <c r="M75" s="166">
        <f>L66*'ABP Future Assumptions'!$B$93</f>
        <v>11338573.622640695</v>
      </c>
      <c r="N75" s="166">
        <f>M66*'ABP Future Assumptions'!$B$93</f>
        <v>11338573.622640695</v>
      </c>
      <c r="O75" s="166">
        <f>N66*'ABP Future Assumptions'!$B$93</f>
        <v>11338573.622640695</v>
      </c>
      <c r="P75" s="166">
        <f>O66*'ABP Future Assumptions'!$B$93</f>
        <v>11338573.622640695</v>
      </c>
      <c r="Q75" s="166">
        <f>P66*'ABP Future Assumptions'!$B$93</f>
        <v>0</v>
      </c>
      <c r="R75" s="166">
        <f>Q66*'ABP Future Assumptions'!$B$93</f>
        <v>0</v>
      </c>
      <c r="S75" s="166">
        <f>R66*'ABP Future Assumptions'!$B$93</f>
        <v>0</v>
      </c>
      <c r="T75" s="166">
        <f>S66*'ABP Future Assumptions'!$B$93</f>
        <v>0</v>
      </c>
      <c r="U75" s="166">
        <f>T66*'ABP Future Assumptions'!$B$93</f>
        <v>0</v>
      </c>
    </row>
    <row r="76" spans="1:21" x14ac:dyDescent="0.35">
      <c r="A76" s="164" t="s">
        <v>146</v>
      </c>
      <c r="B76" s="164"/>
      <c r="C76" s="166"/>
      <c r="D76" s="166"/>
      <c r="E76" s="166"/>
      <c r="F76" s="166"/>
      <c r="G76" s="166"/>
      <c r="H76" s="166"/>
      <c r="I76" s="166">
        <f>H67*'ABP Future Assumptions'!$B$93</f>
        <v>0</v>
      </c>
      <c r="J76" s="166">
        <f>I67*'ABP Future Assumptions'!$B$93</f>
        <v>0</v>
      </c>
      <c r="K76" s="166">
        <f>J67*'ABP Future Assumptions'!$B$93</f>
        <v>10093565.592669226</v>
      </c>
      <c r="L76" s="166">
        <f>K67*'ABP Future Assumptions'!$B$93</f>
        <v>10043097.76470588</v>
      </c>
      <c r="M76" s="166">
        <f>L67*'ABP Future Assumptions'!$B$93</f>
        <v>9992882.2758823484</v>
      </c>
      <c r="N76" s="166">
        <f>M67*'ABP Future Assumptions'!$B$93</f>
        <v>9942917.8645029403</v>
      </c>
      <c r="O76" s="166">
        <f>N67*'ABP Future Assumptions'!$B$93</f>
        <v>9893203.2751804255</v>
      </c>
      <c r="P76" s="166">
        <f>O67*'ABP Future Assumptions'!$B$93</f>
        <v>9843737.2588045206</v>
      </c>
      <c r="Q76" s="166">
        <f>P67*'ABP Future Assumptions'!$B$93</f>
        <v>9794518.5725104995</v>
      </c>
      <c r="R76" s="166">
        <f>Q67*'ABP Future Assumptions'!$B$93</f>
        <v>9745545.9796479456</v>
      </c>
      <c r="S76" s="166">
        <f>R67*'ABP Future Assumptions'!$B$93</f>
        <v>9696818.2497497071</v>
      </c>
      <c r="T76" s="166">
        <f>S67*'ABP Future Assumptions'!$B$93</f>
        <v>9648334.1585009582</v>
      </c>
      <c r="U76" s="166">
        <f>T67*'ABP Future Assumptions'!$B$93</f>
        <v>9600092.487708455</v>
      </c>
    </row>
    <row r="77" spans="1:21" x14ac:dyDescent="0.35">
      <c r="A77" s="164" t="s">
        <v>151</v>
      </c>
      <c r="B77" s="164"/>
      <c r="C77" s="166"/>
      <c r="D77" s="166"/>
      <c r="E77" s="166"/>
      <c r="F77" s="166"/>
      <c r="G77" s="166"/>
      <c r="H77" s="166"/>
      <c r="I77" s="166">
        <f>H68*'ABP Future Assumptions'!$B$93</f>
        <v>0</v>
      </c>
      <c r="J77" s="166">
        <f>I68*'ABP Future Assumptions'!$B$93</f>
        <v>6181303.7600726038</v>
      </c>
      <c r="K77" s="166">
        <f>J68*'ABP Future Assumptions'!$B$93</f>
        <v>6150397.2412722409</v>
      </c>
      <c r="L77" s="166">
        <f>K68*'ABP Future Assumptions'!$B$93</f>
        <v>6119645.2550658798</v>
      </c>
      <c r="M77" s="166">
        <f>L68*'ABP Future Assumptions'!$B$93</f>
        <v>6089047.0287905503</v>
      </c>
      <c r="N77" s="166">
        <f>M68*'ABP Future Assumptions'!$B$93</f>
        <v>6058601.7936465973</v>
      </c>
      <c r="O77" s="166">
        <f>N68*'ABP Future Assumptions'!$B$93</f>
        <v>6028308.7846783651</v>
      </c>
      <c r="P77" s="166">
        <f>O68*'ABP Future Assumptions'!$B$93</f>
        <v>5998167.2407549731</v>
      </c>
      <c r="Q77" s="166">
        <f>P68*'ABP Future Assumptions'!$B$93</f>
        <v>5968176.4045511978</v>
      </c>
      <c r="R77" s="166">
        <f>Q68*'ABP Future Assumptions'!$B$93</f>
        <v>5938335.5225284407</v>
      </c>
      <c r="S77" s="166">
        <f>R68*'ABP Future Assumptions'!$B$93</f>
        <v>5908643.8449157998</v>
      </c>
      <c r="T77" s="166">
        <f>S68*'ABP Future Assumptions'!$B$93</f>
        <v>5879100.6256912202</v>
      </c>
      <c r="U77" s="166">
        <f>T68*'ABP Future Assumptions'!$B$93</f>
        <v>5849705.1225627661</v>
      </c>
    </row>
    <row r="78" spans="1:21" x14ac:dyDescent="0.35">
      <c r="A78" s="164" t="s">
        <v>155</v>
      </c>
      <c r="B78" s="164"/>
      <c r="C78" s="166"/>
      <c r="D78" s="166"/>
      <c r="E78" s="166"/>
      <c r="F78" s="166"/>
      <c r="G78" s="166"/>
      <c r="H78" s="166"/>
      <c r="I78" s="166">
        <f>H69*'ABP Future Assumptions'!$B$93</f>
        <v>0</v>
      </c>
      <c r="J78" s="166">
        <f>I69*'ABP Future Assumptions'!$B$93</f>
        <v>0</v>
      </c>
      <c r="K78" s="166">
        <f>J69*'ABP Future Assumptions'!$B$93</f>
        <v>4103535.1126687322</v>
      </c>
      <c r="L78" s="166">
        <f>K69*'ABP Future Assumptions'!$B$93</f>
        <v>3875560.9397426913</v>
      </c>
      <c r="M78" s="166">
        <f>L69*'ABP Future Assumptions'!$B$93</f>
        <v>3875560.9397426913</v>
      </c>
      <c r="N78" s="166">
        <f>M69*'ABP Future Assumptions'!$B$93</f>
        <v>3875560.9397426913</v>
      </c>
      <c r="O78" s="166">
        <f>N69*'ABP Future Assumptions'!$B$93</f>
        <v>3875560.9397426913</v>
      </c>
      <c r="P78" s="166">
        <f>O69*'ABP Future Assumptions'!$B$93</f>
        <v>3875560.9397426913</v>
      </c>
      <c r="Q78" s="166">
        <f>P69*'ABP Future Assumptions'!$B$93</f>
        <v>3875560.9397426913</v>
      </c>
      <c r="R78" s="166">
        <f>Q69*'ABP Future Assumptions'!$B$93</f>
        <v>0</v>
      </c>
      <c r="S78" s="166">
        <f>R69*'ABP Future Assumptions'!$B$93</f>
        <v>0</v>
      </c>
      <c r="T78" s="166">
        <f>S69*'ABP Future Assumptions'!$B$93</f>
        <v>0</v>
      </c>
      <c r="U78" s="166">
        <f>T69*'ABP Future Assumptions'!$B$93</f>
        <v>0</v>
      </c>
    </row>
    <row r="79" spans="1:21" x14ac:dyDescent="0.35">
      <c r="A79" s="164" t="s">
        <v>158</v>
      </c>
      <c r="B79" s="164"/>
      <c r="C79" s="166"/>
      <c r="D79" s="166"/>
      <c r="E79" s="166"/>
      <c r="F79" s="166"/>
      <c r="G79" s="166"/>
      <c r="H79" s="166"/>
      <c r="I79" s="166">
        <f>H70*'ABP Future Assumptions'!$B$93</f>
        <v>0</v>
      </c>
      <c r="J79" s="166">
        <f>I70*'ABP Future Assumptions'!$B$93</f>
        <v>13339498.379577288</v>
      </c>
      <c r="K79" s="166">
        <f>J70*'ABP Future Assumptions'!$B$93</f>
        <v>12598415.13626744</v>
      </c>
      <c r="L79" s="166">
        <f>K70*'ABP Future Assumptions'!$B$93</f>
        <v>12598415.13626744</v>
      </c>
      <c r="M79" s="166">
        <f>L70*'ABP Future Assumptions'!$B$93</f>
        <v>12598415.13626744</v>
      </c>
      <c r="N79" s="166">
        <f>M70*'ABP Future Assumptions'!$B$93</f>
        <v>12598415.13626744</v>
      </c>
      <c r="O79" s="166">
        <f>N70*'ABP Future Assumptions'!$B$93</f>
        <v>12598415.13626744</v>
      </c>
      <c r="P79" s="166">
        <f>O70*'ABP Future Assumptions'!$B$93</f>
        <v>12598415.13626744</v>
      </c>
      <c r="Q79" s="166">
        <f>P70*'ABP Future Assumptions'!$B$93</f>
        <v>0</v>
      </c>
      <c r="R79" s="166">
        <f>Q70*'ABP Future Assumptions'!$B$93</f>
        <v>0</v>
      </c>
      <c r="S79" s="166">
        <f>R70*'ABP Future Assumptions'!$B$93</f>
        <v>0</v>
      </c>
      <c r="T79" s="166">
        <f>S70*'ABP Future Assumptions'!$B$93</f>
        <v>0</v>
      </c>
      <c r="U79" s="166">
        <f>T70*'ABP Future Assumptions'!$B$93</f>
        <v>0</v>
      </c>
    </row>
    <row r="80" spans="1:21" x14ac:dyDescent="0.35">
      <c r="A80" s="163" t="s">
        <v>104</v>
      </c>
      <c r="B80" s="163"/>
      <c r="C80" s="18">
        <f t="shared" ref="C80:T80" si="19">SUM(C74:C79)</f>
        <v>0</v>
      </c>
      <c r="D80" s="18">
        <f t="shared" si="19"/>
        <v>0</v>
      </c>
      <c r="E80" s="18">
        <f t="shared" si="19"/>
        <v>0</v>
      </c>
      <c r="F80" s="18">
        <f t="shared" si="19"/>
        <v>0</v>
      </c>
      <c r="G80" s="18">
        <f t="shared" si="19"/>
        <v>0</v>
      </c>
      <c r="H80" s="18">
        <f t="shared" si="19"/>
        <v>0</v>
      </c>
      <c r="I80" s="18">
        <f t="shared" si="19"/>
        <v>0</v>
      </c>
      <c r="J80" s="18">
        <f t="shared" si="19"/>
        <v>148490007.61568719</v>
      </c>
      <c r="K80" s="18">
        <f t="shared" si="19"/>
        <v>44284486.705518335</v>
      </c>
      <c r="L80" s="18">
        <f t="shared" si="19"/>
        <v>43975292.718422584</v>
      </c>
      <c r="M80" s="18">
        <f t="shared" si="19"/>
        <v>43894479.003323726</v>
      </c>
      <c r="N80" s="18">
        <f t="shared" si="19"/>
        <v>43814069.356800362</v>
      </c>
      <c r="O80" s="18">
        <f t="shared" si="19"/>
        <v>43734061.758509621</v>
      </c>
      <c r="P80" s="18">
        <f t="shared" si="19"/>
        <v>43654454.198210321</v>
      </c>
      <c r="Q80" s="18">
        <f t="shared" si="19"/>
        <v>19638255.916804388</v>
      </c>
      <c r="R80" s="18">
        <f t="shared" si="19"/>
        <v>15683881.502176385</v>
      </c>
      <c r="S80" s="18">
        <f t="shared" si="19"/>
        <v>15605462.094665507</v>
      </c>
      <c r="T80" s="18">
        <f t="shared" si="19"/>
        <v>15527434.784192178</v>
      </c>
      <c r="U80" s="18">
        <f t="shared" ref="U80" si="20">SUM(U74:U79)</f>
        <v>15449797.610271221</v>
      </c>
    </row>
    <row r="82" spans="1:21" ht="15.5" x14ac:dyDescent="0.35">
      <c r="A82" s="77">
        <v>2032</v>
      </c>
      <c r="B82" s="220">
        <v>2024</v>
      </c>
      <c r="C82" s="220">
        <v>2025</v>
      </c>
      <c r="D82" s="220">
        <v>2026</v>
      </c>
      <c r="E82" s="220">
        <v>2027</v>
      </c>
      <c r="F82" s="220">
        <v>2028</v>
      </c>
      <c r="G82" s="220">
        <v>2029</v>
      </c>
      <c r="H82" s="220">
        <v>2030</v>
      </c>
      <c r="I82" s="220">
        <v>2031</v>
      </c>
      <c r="J82" s="220">
        <v>2032</v>
      </c>
      <c r="K82" s="220">
        <v>2033</v>
      </c>
      <c r="L82" s="220">
        <v>2034</v>
      </c>
      <c r="M82" s="220">
        <v>2035</v>
      </c>
      <c r="N82" s="220">
        <v>2036</v>
      </c>
      <c r="O82" s="220">
        <v>2037</v>
      </c>
      <c r="P82" s="220">
        <v>2038</v>
      </c>
      <c r="Q82" s="220">
        <v>2039</v>
      </c>
      <c r="R82" s="220">
        <v>2040</v>
      </c>
      <c r="S82" s="220">
        <v>2041</v>
      </c>
      <c r="T82" s="220">
        <v>2042</v>
      </c>
      <c r="U82" s="220">
        <v>2043</v>
      </c>
    </row>
    <row r="83" spans="1:21" x14ac:dyDescent="0.35">
      <c r="A83" s="164" t="s">
        <v>131</v>
      </c>
      <c r="B83" s="164"/>
      <c r="C83" s="166"/>
      <c r="D83" s="166"/>
      <c r="E83" s="166"/>
      <c r="F83" s="166"/>
      <c r="G83" s="166"/>
      <c r="H83" s="166"/>
      <c r="I83" s="166"/>
      <c r="J83" s="166">
        <f>I74*'ABP Future Assumptions'!$B$93</f>
        <v>0</v>
      </c>
      <c r="K83" s="166">
        <f>J74*'ABP Future Assumptions'!$B$93</f>
        <v>112285110.65704104</v>
      </c>
      <c r="L83" s="166">
        <f>K74*'ABP Future Assumptions'!$B$93</f>
        <v>0</v>
      </c>
      <c r="M83" s="166">
        <f>L74*'ABP Future Assumptions'!$B$93</f>
        <v>0</v>
      </c>
      <c r="N83" s="166">
        <f>M74*'ABP Future Assumptions'!$B$93</f>
        <v>0</v>
      </c>
      <c r="O83" s="166">
        <f>N74*'ABP Future Assumptions'!$B$93</f>
        <v>0</v>
      </c>
      <c r="P83" s="166">
        <f>O74*'ABP Future Assumptions'!$B$93</f>
        <v>0</v>
      </c>
      <c r="Q83" s="166">
        <f>P74*'ABP Future Assumptions'!$B$93</f>
        <v>0</v>
      </c>
      <c r="R83" s="166">
        <f>Q74*'ABP Future Assumptions'!$B$93</f>
        <v>0</v>
      </c>
      <c r="S83" s="166">
        <f>R74*'ABP Future Assumptions'!$B$93</f>
        <v>0</v>
      </c>
      <c r="T83" s="166">
        <f>S74*'ABP Future Assumptions'!$B$93</f>
        <v>0</v>
      </c>
      <c r="U83" s="166">
        <f>T74*'ABP Future Assumptions'!$B$93</f>
        <v>0</v>
      </c>
    </row>
    <row r="84" spans="1:21" x14ac:dyDescent="0.35">
      <c r="A84" s="164" t="s">
        <v>137</v>
      </c>
      <c r="B84" s="164"/>
      <c r="C84" s="166"/>
      <c r="D84" s="166"/>
      <c r="E84" s="166"/>
      <c r="F84" s="166"/>
      <c r="G84" s="166"/>
      <c r="H84" s="166"/>
      <c r="I84" s="166"/>
      <c r="J84" s="166">
        <f>I75*'ABP Future Assumptions'!$B$93</f>
        <v>0</v>
      </c>
      <c r="K84" s="166">
        <f>J75*'ABP Future Assumptions'!$B$93</f>
        <v>11525326.599954778</v>
      </c>
      <c r="L84" s="166">
        <f>K75*'ABP Future Assumptions'!$B$93</f>
        <v>10885030.677735068</v>
      </c>
      <c r="M84" s="166">
        <f>L75*'ABP Future Assumptions'!$B$93</f>
        <v>10885030.677735068</v>
      </c>
      <c r="N84" s="166">
        <f>M75*'ABP Future Assumptions'!$B$93</f>
        <v>10885030.677735068</v>
      </c>
      <c r="O84" s="166">
        <f>N75*'ABP Future Assumptions'!$B$93</f>
        <v>10885030.677735068</v>
      </c>
      <c r="P84" s="166">
        <f>O75*'ABP Future Assumptions'!$B$93</f>
        <v>10885030.677735068</v>
      </c>
      <c r="Q84" s="166">
        <f>P75*'ABP Future Assumptions'!$B$93</f>
        <v>10885030.677735068</v>
      </c>
      <c r="R84" s="166">
        <f>Q75*'ABP Future Assumptions'!$B$93</f>
        <v>0</v>
      </c>
      <c r="S84" s="166">
        <f>R75*'ABP Future Assumptions'!$B$93</f>
        <v>0</v>
      </c>
      <c r="T84" s="166">
        <f>S75*'ABP Future Assumptions'!$B$93</f>
        <v>0</v>
      </c>
      <c r="U84" s="166">
        <f>T75*'ABP Future Assumptions'!$B$93</f>
        <v>0</v>
      </c>
    </row>
    <row r="85" spans="1:21" x14ac:dyDescent="0.35">
      <c r="A85" s="164" t="s">
        <v>146</v>
      </c>
      <c r="B85" s="164"/>
      <c r="C85" s="166"/>
      <c r="D85" s="166"/>
      <c r="E85" s="166"/>
      <c r="F85" s="166"/>
      <c r="G85" s="166"/>
      <c r="H85" s="166"/>
      <c r="I85" s="166"/>
      <c r="J85" s="166">
        <f>I76*'ABP Future Assumptions'!$B$93</f>
        <v>0</v>
      </c>
      <c r="K85" s="166">
        <f>J76*'ABP Future Assumptions'!$B$93</f>
        <v>0</v>
      </c>
      <c r="L85" s="166">
        <f>K76*'ABP Future Assumptions'!$B$93</f>
        <v>9689822.968962457</v>
      </c>
      <c r="M85" s="166">
        <f>L76*'ABP Future Assumptions'!$B$93</f>
        <v>9641373.854117645</v>
      </c>
      <c r="N85" s="166">
        <f>M76*'ABP Future Assumptions'!$B$93</f>
        <v>9593166.9848470539</v>
      </c>
      <c r="O85" s="166">
        <f>N76*'ABP Future Assumptions'!$B$93</f>
        <v>9545201.1499228217</v>
      </c>
      <c r="P85" s="166">
        <f>O76*'ABP Future Assumptions'!$B$93</f>
        <v>9497475.1441732086</v>
      </c>
      <c r="Q85" s="166">
        <f>P76*'ABP Future Assumptions'!$B$93</f>
        <v>9449987.7684523389</v>
      </c>
      <c r="R85" s="166">
        <f>Q76*'ABP Future Assumptions'!$B$93</f>
        <v>9402737.8296100795</v>
      </c>
      <c r="S85" s="166">
        <f>R76*'ABP Future Assumptions'!$B$93</f>
        <v>9355724.1404620279</v>
      </c>
      <c r="T85" s="166">
        <f>S76*'ABP Future Assumptions'!$B$93</f>
        <v>9308945.5197597183</v>
      </c>
      <c r="U85" s="166">
        <f>T76*'ABP Future Assumptions'!$B$93</f>
        <v>9262400.7921609189</v>
      </c>
    </row>
    <row r="86" spans="1:21" x14ac:dyDescent="0.35">
      <c r="A86" s="164" t="s">
        <v>151</v>
      </c>
      <c r="B86" s="164"/>
      <c r="C86" s="166"/>
      <c r="D86" s="166"/>
      <c r="E86" s="166"/>
      <c r="F86" s="166"/>
      <c r="G86" s="166"/>
      <c r="H86" s="166"/>
      <c r="I86" s="166"/>
      <c r="J86" s="166">
        <f>I77*'ABP Future Assumptions'!$B$93</f>
        <v>0</v>
      </c>
      <c r="K86" s="166">
        <f>J77*'ABP Future Assumptions'!$B$93</f>
        <v>5934051.6096696993</v>
      </c>
      <c r="L86" s="166">
        <f>K77*'ABP Future Assumptions'!$B$93</f>
        <v>5904381.3516213512</v>
      </c>
      <c r="M86" s="166">
        <f>L77*'ABP Future Assumptions'!$B$93</f>
        <v>5874859.444863244</v>
      </c>
      <c r="N86" s="166">
        <f>M77*'ABP Future Assumptions'!$B$93</f>
        <v>5845485.1476389281</v>
      </c>
      <c r="O86" s="166">
        <f>N77*'ABP Future Assumptions'!$B$93</f>
        <v>5816257.7219007332</v>
      </c>
      <c r="P86" s="166">
        <f>O77*'ABP Future Assumptions'!$B$93</f>
        <v>5787176.4332912304</v>
      </c>
      <c r="Q86" s="166">
        <f>P77*'ABP Future Assumptions'!$B$93</f>
        <v>5758240.5511247739</v>
      </c>
      <c r="R86" s="166">
        <f>Q77*'ABP Future Assumptions'!$B$93</f>
        <v>5729449.3483691495</v>
      </c>
      <c r="S86" s="166">
        <f>R77*'ABP Future Assumptions'!$B$93</f>
        <v>5700802.1016273033</v>
      </c>
      <c r="T86" s="166">
        <f>S77*'ABP Future Assumptions'!$B$93</f>
        <v>5672298.0911191674</v>
      </c>
      <c r="U86" s="166">
        <f>T77*'ABP Future Assumptions'!$B$93</f>
        <v>5643936.6006635707</v>
      </c>
    </row>
    <row r="87" spans="1:21" x14ac:dyDescent="0.35">
      <c r="A87" s="164" t="s">
        <v>155</v>
      </c>
      <c r="B87" s="164"/>
      <c r="C87" s="166"/>
      <c r="D87" s="166"/>
      <c r="E87" s="166"/>
      <c r="F87" s="166"/>
      <c r="G87" s="166"/>
      <c r="H87" s="166"/>
      <c r="I87" s="166"/>
      <c r="J87" s="166">
        <f>I78*'ABP Future Assumptions'!$B$93</f>
        <v>0</v>
      </c>
      <c r="K87" s="166">
        <f>J78*'ABP Future Assumptions'!$B$93</f>
        <v>0</v>
      </c>
      <c r="L87" s="166">
        <f>K78*'ABP Future Assumptions'!$B$93</f>
        <v>3939393.7081619827</v>
      </c>
      <c r="M87" s="166">
        <f>L78*'ABP Future Assumptions'!$B$93</f>
        <v>3720538.5021529836</v>
      </c>
      <c r="N87" s="166">
        <f>M78*'ABP Future Assumptions'!$B$93</f>
        <v>3720538.5021529836</v>
      </c>
      <c r="O87" s="166">
        <f>N78*'ABP Future Assumptions'!$B$93</f>
        <v>3720538.5021529836</v>
      </c>
      <c r="P87" s="166">
        <f>O78*'ABP Future Assumptions'!$B$93</f>
        <v>3720538.5021529836</v>
      </c>
      <c r="Q87" s="166">
        <f>P78*'ABP Future Assumptions'!$B$93</f>
        <v>3720538.5021529836</v>
      </c>
      <c r="R87" s="166">
        <f>Q78*'ABP Future Assumptions'!$B$93</f>
        <v>3720538.5021529836</v>
      </c>
      <c r="S87" s="166">
        <f>R78*'ABP Future Assumptions'!$B$93</f>
        <v>0</v>
      </c>
      <c r="T87" s="166">
        <f>S78*'ABP Future Assumptions'!$B$93</f>
        <v>0</v>
      </c>
      <c r="U87" s="166">
        <f>T78*'ABP Future Assumptions'!$B$93</f>
        <v>0</v>
      </c>
    </row>
    <row r="88" spans="1:21" x14ac:dyDescent="0.35">
      <c r="A88" s="164" t="s">
        <v>158</v>
      </c>
      <c r="B88" s="164"/>
      <c r="C88" s="166"/>
      <c r="D88" s="166"/>
      <c r="E88" s="166"/>
      <c r="F88" s="166"/>
      <c r="G88" s="166"/>
      <c r="H88" s="166"/>
      <c r="I88" s="166"/>
      <c r="J88" s="166">
        <f>I79*'ABP Future Assumptions'!$B$93</f>
        <v>0</v>
      </c>
      <c r="K88" s="166">
        <f>J79*'ABP Future Assumptions'!$B$93</f>
        <v>12805918.444394197</v>
      </c>
      <c r="L88" s="166">
        <f>K79*'ABP Future Assumptions'!$B$93</f>
        <v>12094478.530816743</v>
      </c>
      <c r="M88" s="166">
        <f>L79*'ABP Future Assumptions'!$B$93</f>
        <v>12094478.530816743</v>
      </c>
      <c r="N88" s="166">
        <f>M79*'ABP Future Assumptions'!$B$93</f>
        <v>12094478.530816743</v>
      </c>
      <c r="O88" s="166">
        <f>N79*'ABP Future Assumptions'!$B$93</f>
        <v>12094478.530816743</v>
      </c>
      <c r="P88" s="166">
        <f>O79*'ABP Future Assumptions'!$B$93</f>
        <v>12094478.530816743</v>
      </c>
      <c r="Q88" s="166">
        <f>P79*'ABP Future Assumptions'!$B$93</f>
        <v>12094478.530816743</v>
      </c>
      <c r="R88" s="166">
        <f>Q79*'ABP Future Assumptions'!$B$93</f>
        <v>0</v>
      </c>
      <c r="S88" s="166">
        <f>R79*'ABP Future Assumptions'!$B$93</f>
        <v>0</v>
      </c>
      <c r="T88" s="166">
        <f>S79*'ABP Future Assumptions'!$B$93</f>
        <v>0</v>
      </c>
      <c r="U88" s="166">
        <f>T79*'ABP Future Assumptions'!$B$93</f>
        <v>0</v>
      </c>
    </row>
    <row r="89" spans="1:21" x14ac:dyDescent="0.35">
      <c r="A89" s="163" t="s">
        <v>104</v>
      </c>
      <c r="B89" s="163"/>
      <c r="C89" s="18">
        <f t="shared" ref="C89:T89" si="21">SUM(C83:C88)</f>
        <v>0</v>
      </c>
      <c r="D89" s="18">
        <f t="shared" si="21"/>
        <v>0</v>
      </c>
      <c r="E89" s="18">
        <f t="shared" si="21"/>
        <v>0</v>
      </c>
      <c r="F89" s="18">
        <f t="shared" si="21"/>
        <v>0</v>
      </c>
      <c r="G89" s="18">
        <f t="shared" si="21"/>
        <v>0</v>
      </c>
      <c r="H89" s="18">
        <f t="shared" si="21"/>
        <v>0</v>
      </c>
      <c r="I89" s="18">
        <f t="shared" si="21"/>
        <v>0</v>
      </c>
      <c r="J89" s="18">
        <f t="shared" si="21"/>
        <v>0</v>
      </c>
      <c r="K89" s="18">
        <f t="shared" si="21"/>
        <v>142550407.31105971</v>
      </c>
      <c r="L89" s="18">
        <f t="shared" si="21"/>
        <v>42513107.237297602</v>
      </c>
      <c r="M89" s="18">
        <f t="shared" si="21"/>
        <v>42216281.009685688</v>
      </c>
      <c r="N89" s="18">
        <f t="shared" si="21"/>
        <v>42138699.843190774</v>
      </c>
      <c r="O89" s="18">
        <f t="shared" si="21"/>
        <v>42061506.582528353</v>
      </c>
      <c r="P89" s="18">
        <f t="shared" si="21"/>
        <v>41984699.288169235</v>
      </c>
      <c r="Q89" s="18">
        <f t="shared" si="21"/>
        <v>41908276.030281909</v>
      </c>
      <c r="R89" s="18">
        <f t="shared" si="21"/>
        <v>18852725.680132214</v>
      </c>
      <c r="S89" s="18">
        <f t="shared" si="21"/>
        <v>15056526.242089331</v>
      </c>
      <c r="T89" s="18">
        <f t="shared" si="21"/>
        <v>14981243.610878885</v>
      </c>
      <c r="U89" s="18">
        <f t="shared" ref="U89" si="22">SUM(U83:U88)</f>
        <v>14906337.39282449</v>
      </c>
    </row>
    <row r="91" spans="1:21" ht="15.5" x14ac:dyDescent="0.35">
      <c r="A91" s="77">
        <v>2033</v>
      </c>
      <c r="B91" s="220">
        <v>2024</v>
      </c>
      <c r="C91" s="220">
        <v>2025</v>
      </c>
      <c r="D91" s="220">
        <v>2026</v>
      </c>
      <c r="E91" s="220">
        <v>2027</v>
      </c>
      <c r="F91" s="220">
        <v>2028</v>
      </c>
      <c r="G91" s="220">
        <v>2029</v>
      </c>
      <c r="H91" s="220">
        <v>2030</v>
      </c>
      <c r="I91" s="220">
        <v>2031</v>
      </c>
      <c r="J91" s="220">
        <v>2032</v>
      </c>
      <c r="K91" s="220">
        <v>2033</v>
      </c>
      <c r="L91" s="220">
        <v>2034</v>
      </c>
      <c r="M91" s="220">
        <v>2035</v>
      </c>
      <c r="N91" s="220">
        <v>2036</v>
      </c>
      <c r="O91" s="220">
        <v>2037</v>
      </c>
      <c r="P91" s="220">
        <v>2038</v>
      </c>
      <c r="Q91" s="220">
        <v>2039</v>
      </c>
      <c r="R91" s="220">
        <v>2040</v>
      </c>
      <c r="S91" s="220">
        <v>2041</v>
      </c>
      <c r="T91" s="220">
        <v>2042</v>
      </c>
      <c r="U91" s="220">
        <v>2043</v>
      </c>
    </row>
    <row r="92" spans="1:21" x14ac:dyDescent="0.35">
      <c r="A92" s="164" t="s">
        <v>131</v>
      </c>
      <c r="B92" s="164"/>
      <c r="C92" s="166"/>
      <c r="D92" s="166"/>
      <c r="E92" s="166"/>
      <c r="F92" s="166"/>
      <c r="G92" s="166"/>
      <c r="H92" s="166"/>
      <c r="I92" s="166"/>
      <c r="J92" s="166"/>
      <c r="K92" s="166">
        <f>J83*'ABP Future Assumptions'!$B$93/2</f>
        <v>0</v>
      </c>
      <c r="L92" s="166">
        <f>K83*'ABP Future Assumptions'!$B$93/2</f>
        <v>53896853.115379699</v>
      </c>
      <c r="M92" s="166">
        <f>L83*'ABP Future Assumptions'!$B$93/2</f>
        <v>0</v>
      </c>
      <c r="N92" s="166">
        <f>M83*'ABP Future Assumptions'!$B$93/2</f>
        <v>0</v>
      </c>
      <c r="O92" s="166">
        <f>N83*'ABP Future Assumptions'!$B$93/2</f>
        <v>0</v>
      </c>
      <c r="P92" s="166">
        <f>O83*'ABP Future Assumptions'!$B$93/2</f>
        <v>0</v>
      </c>
      <c r="Q92" s="166">
        <f>P83*'ABP Future Assumptions'!$B$93/2</f>
        <v>0</v>
      </c>
      <c r="R92" s="166">
        <f>Q83*'ABP Future Assumptions'!$B$93/2</f>
        <v>0</v>
      </c>
      <c r="S92" s="166">
        <f>R83*'ABP Future Assumptions'!$B$93/2</f>
        <v>0</v>
      </c>
      <c r="T92" s="166">
        <f>S83*'ABP Future Assumptions'!$B$93/2</f>
        <v>0</v>
      </c>
      <c r="U92" s="166">
        <f>T83*'ABP Future Assumptions'!$B$93/2</f>
        <v>0</v>
      </c>
    </row>
    <row r="93" spans="1:21" x14ac:dyDescent="0.35">
      <c r="A93" s="164" t="s">
        <v>137</v>
      </c>
      <c r="B93" s="164"/>
      <c r="C93" s="166"/>
      <c r="D93" s="166"/>
      <c r="E93" s="166"/>
      <c r="F93" s="166"/>
      <c r="G93" s="166"/>
      <c r="H93" s="166"/>
      <c r="I93" s="166"/>
      <c r="J93" s="166"/>
      <c r="K93" s="166">
        <f>J84*'ABP Future Assumptions'!$B$93/2</f>
        <v>0</v>
      </c>
      <c r="L93" s="166">
        <f>K84*'ABP Future Assumptions'!$B$93/2</f>
        <v>5532156.7679782938</v>
      </c>
      <c r="M93" s="166">
        <f>L84*'ABP Future Assumptions'!$B$93/2</f>
        <v>5224814.7253128327</v>
      </c>
      <c r="N93" s="166">
        <f>M84*'ABP Future Assumptions'!$B$93/2</f>
        <v>5224814.7253128327</v>
      </c>
      <c r="O93" s="166">
        <f>N84*'ABP Future Assumptions'!$B$93/2</f>
        <v>5224814.7253128327</v>
      </c>
      <c r="P93" s="166">
        <f>O84*'ABP Future Assumptions'!$B$93/2</f>
        <v>5224814.7253128327</v>
      </c>
      <c r="Q93" s="166">
        <f>P84*'ABP Future Assumptions'!$B$93/2</f>
        <v>5224814.7253128327</v>
      </c>
      <c r="R93" s="166">
        <f>Q84*'ABP Future Assumptions'!$B$93/2</f>
        <v>5224814.7253128327</v>
      </c>
      <c r="S93" s="166">
        <f>R84*'ABP Future Assumptions'!$B$93/2</f>
        <v>0</v>
      </c>
      <c r="T93" s="166">
        <f>S84*'ABP Future Assumptions'!$B$93/2</f>
        <v>0</v>
      </c>
      <c r="U93" s="166">
        <f>T84*'ABP Future Assumptions'!$B$93/2</f>
        <v>0</v>
      </c>
    </row>
    <row r="94" spans="1:21" x14ac:dyDescent="0.35">
      <c r="A94" s="164" t="s">
        <v>146</v>
      </c>
      <c r="B94" s="164"/>
      <c r="C94" s="166"/>
      <c r="D94" s="166"/>
      <c r="E94" s="166"/>
      <c r="F94" s="166"/>
      <c r="G94" s="166"/>
      <c r="H94" s="166"/>
      <c r="I94" s="166"/>
      <c r="J94" s="166"/>
      <c r="K94" s="166">
        <f>J85*'ABP Future Assumptions'!$B$93/2</f>
        <v>0</v>
      </c>
      <c r="L94" s="166">
        <f>K85*'ABP Future Assumptions'!$B$93/2</f>
        <v>0</v>
      </c>
      <c r="M94" s="166">
        <f>L85*'ABP Future Assumptions'!$B$93/2</f>
        <v>4651115.0251019793</v>
      </c>
      <c r="N94" s="166">
        <f>M85*'ABP Future Assumptions'!$B$93/2</f>
        <v>4627859.4499764694</v>
      </c>
      <c r="O94" s="166">
        <f>N85*'ABP Future Assumptions'!$B$93/2</f>
        <v>4604720.152726586</v>
      </c>
      <c r="P94" s="166">
        <f>O85*'ABP Future Assumptions'!$B$93/2</f>
        <v>4581696.551962954</v>
      </c>
      <c r="Q94" s="166">
        <f>P85*'ABP Future Assumptions'!$B$93/2</f>
        <v>4558788.0692031402</v>
      </c>
      <c r="R94" s="166">
        <f>Q85*'ABP Future Assumptions'!$B$93/2</f>
        <v>4535994.1288571227</v>
      </c>
      <c r="S94" s="166">
        <f>R85*'ABP Future Assumptions'!$B$93/2</f>
        <v>4513314.1582128378</v>
      </c>
      <c r="T94" s="166">
        <f>S85*'ABP Future Assumptions'!$B$93/2</f>
        <v>4490747.587421773</v>
      </c>
      <c r="U94" s="166">
        <f>T85*'ABP Future Assumptions'!$B$93/2</f>
        <v>4468293.8494846644</v>
      </c>
    </row>
    <row r="95" spans="1:21" x14ac:dyDescent="0.35">
      <c r="A95" s="164" t="s">
        <v>151</v>
      </c>
      <c r="B95" s="164"/>
      <c r="C95" s="166"/>
      <c r="D95" s="166"/>
      <c r="E95" s="166"/>
      <c r="F95" s="166"/>
      <c r="G95" s="166"/>
      <c r="H95" s="166"/>
      <c r="I95" s="166"/>
      <c r="J95" s="166"/>
      <c r="K95" s="166">
        <f>J86*'ABP Future Assumptions'!$B$93/2</f>
        <v>0</v>
      </c>
      <c r="L95" s="166">
        <f>K86*'ABP Future Assumptions'!$B$93/2</f>
        <v>2848344.7726414558</v>
      </c>
      <c r="M95" s="166">
        <f>L86*'ABP Future Assumptions'!$B$93/2</f>
        <v>2834103.0487782485</v>
      </c>
      <c r="N95" s="166">
        <f>M86*'ABP Future Assumptions'!$B$93/2</f>
        <v>2819932.5335343569</v>
      </c>
      <c r="O95" s="166">
        <f>N86*'ABP Future Assumptions'!$B$93/2</f>
        <v>2805832.8708666852</v>
      </c>
      <c r="P95" s="166">
        <f>O86*'ABP Future Assumptions'!$B$93/2</f>
        <v>2791803.706512352</v>
      </c>
      <c r="Q95" s="166">
        <f>P86*'ABP Future Assumptions'!$B$93/2</f>
        <v>2777844.6879797904</v>
      </c>
      <c r="R95" s="166">
        <f>Q86*'ABP Future Assumptions'!$B$93/2</f>
        <v>2763955.4645398916</v>
      </c>
      <c r="S95" s="166">
        <f>R86*'ABP Future Assumptions'!$B$93/2</f>
        <v>2750135.6872171918</v>
      </c>
      <c r="T95" s="166">
        <f>S86*'ABP Future Assumptions'!$B$93/2</f>
        <v>2736385.0087811053</v>
      </c>
      <c r="U95" s="166">
        <f>T86*'ABP Future Assumptions'!$B$93/2</f>
        <v>2722703.0837372001</v>
      </c>
    </row>
    <row r="96" spans="1:21" x14ac:dyDescent="0.35">
      <c r="A96" s="164" t="s">
        <v>155</v>
      </c>
      <c r="B96" s="164"/>
      <c r="C96" s="166"/>
      <c r="D96" s="166"/>
      <c r="E96" s="166"/>
      <c r="F96" s="166"/>
      <c r="G96" s="166"/>
      <c r="H96" s="166"/>
      <c r="I96" s="166"/>
      <c r="J96" s="166"/>
      <c r="K96" s="166">
        <f>J87*'ABP Future Assumptions'!$B$93/2</f>
        <v>0</v>
      </c>
      <c r="L96" s="166">
        <f>K87*'ABP Future Assumptions'!$B$93/2</f>
        <v>0</v>
      </c>
      <c r="M96" s="166">
        <f>L87*'ABP Future Assumptions'!$B$93/2</f>
        <v>1890908.9799177516</v>
      </c>
      <c r="N96" s="166">
        <f>M87*'ABP Future Assumptions'!$B$93/2</f>
        <v>1785858.4810334321</v>
      </c>
      <c r="O96" s="166">
        <f>N87*'ABP Future Assumptions'!$B$93/2</f>
        <v>1785858.4810334321</v>
      </c>
      <c r="P96" s="166">
        <f>O87*'ABP Future Assumptions'!$B$93/2</f>
        <v>1785858.4810334321</v>
      </c>
      <c r="Q96" s="166">
        <f>P87*'ABP Future Assumptions'!$B$93/2</f>
        <v>1785858.4810334321</v>
      </c>
      <c r="R96" s="166">
        <f>Q87*'ABP Future Assumptions'!$B$93/2</f>
        <v>1785858.4810334321</v>
      </c>
      <c r="S96" s="166">
        <f>R87*'ABP Future Assumptions'!$B$93/2</f>
        <v>1785858.4810334321</v>
      </c>
      <c r="T96" s="166">
        <f>S87*'ABP Future Assumptions'!$B$93/2</f>
        <v>0</v>
      </c>
      <c r="U96" s="166">
        <f>T87*'ABP Future Assumptions'!$B$93/2</f>
        <v>0</v>
      </c>
    </row>
    <row r="97" spans="1:21" x14ac:dyDescent="0.35">
      <c r="A97" s="164" t="s">
        <v>158</v>
      </c>
      <c r="B97" s="164"/>
      <c r="C97" s="166"/>
      <c r="D97" s="166"/>
      <c r="E97" s="166"/>
      <c r="F97" s="166"/>
      <c r="G97" s="166"/>
      <c r="H97" s="166"/>
      <c r="I97" s="166"/>
      <c r="J97" s="166"/>
      <c r="K97" s="166">
        <f>J88*'ABP Future Assumptions'!$B$93/2</f>
        <v>0</v>
      </c>
      <c r="L97" s="166">
        <f>K88*'ABP Future Assumptions'!$B$93/2</f>
        <v>6146840.8533092141</v>
      </c>
      <c r="M97" s="166">
        <f>L88*'ABP Future Assumptions'!$B$93/2</f>
        <v>5805349.6947920369</v>
      </c>
      <c r="N97" s="166">
        <f>M88*'ABP Future Assumptions'!$B$93/2</f>
        <v>5805349.6947920369</v>
      </c>
      <c r="O97" s="166">
        <f>N88*'ABP Future Assumptions'!$B$93/2</f>
        <v>5805349.6947920369</v>
      </c>
      <c r="P97" s="166">
        <f>O88*'ABP Future Assumptions'!$B$93/2</f>
        <v>5805349.6947920369</v>
      </c>
      <c r="Q97" s="166">
        <f>P88*'ABP Future Assumptions'!$B$93/2</f>
        <v>5805349.6947920369</v>
      </c>
      <c r="R97" s="166">
        <f>Q88*'ABP Future Assumptions'!$B$93/2</f>
        <v>5805349.6947920369</v>
      </c>
      <c r="S97" s="166">
        <f>R88*'ABP Future Assumptions'!$B$93/2</f>
        <v>0</v>
      </c>
      <c r="T97" s="166">
        <f>S88*'ABP Future Assumptions'!$B$93/2</f>
        <v>0</v>
      </c>
      <c r="U97" s="166">
        <f>T88*'ABP Future Assumptions'!$B$93/2</f>
        <v>0</v>
      </c>
    </row>
    <row r="98" spans="1:21" x14ac:dyDescent="0.35">
      <c r="A98" s="163" t="s">
        <v>104</v>
      </c>
      <c r="B98" s="163"/>
      <c r="C98" s="18">
        <f t="shared" ref="C98:T98" si="23">SUM(C92:C97)</f>
        <v>0</v>
      </c>
      <c r="D98" s="18">
        <f t="shared" si="23"/>
        <v>0</v>
      </c>
      <c r="E98" s="18">
        <f t="shared" si="23"/>
        <v>0</v>
      </c>
      <c r="F98" s="18">
        <f t="shared" si="23"/>
        <v>0</v>
      </c>
      <c r="G98" s="18">
        <f t="shared" si="23"/>
        <v>0</v>
      </c>
      <c r="H98" s="18">
        <f t="shared" si="23"/>
        <v>0</v>
      </c>
      <c r="I98" s="18">
        <f t="shared" si="23"/>
        <v>0</v>
      </c>
      <c r="J98" s="18">
        <f t="shared" si="23"/>
        <v>0</v>
      </c>
      <c r="K98" s="18">
        <f t="shared" si="23"/>
        <v>0</v>
      </c>
      <c r="L98" s="18">
        <f t="shared" si="23"/>
        <v>68424195.509308666</v>
      </c>
      <c r="M98" s="18">
        <f t="shared" si="23"/>
        <v>20406291.473902848</v>
      </c>
      <c r="N98" s="18">
        <f t="shared" si="23"/>
        <v>20263814.884649128</v>
      </c>
      <c r="O98" s="18">
        <f t="shared" si="23"/>
        <v>20226575.924731575</v>
      </c>
      <c r="P98" s="18">
        <f t="shared" si="23"/>
        <v>20189523.159613606</v>
      </c>
      <c r="Q98" s="18">
        <f t="shared" si="23"/>
        <v>20152655.658321232</v>
      </c>
      <c r="R98" s="18">
        <f t="shared" si="23"/>
        <v>20115972.494535316</v>
      </c>
      <c r="S98" s="18">
        <f t="shared" si="23"/>
        <v>9049308.3264634609</v>
      </c>
      <c r="T98" s="18">
        <f t="shared" si="23"/>
        <v>7227132.5962028783</v>
      </c>
      <c r="U98" s="18">
        <f t="shared" ref="U98" si="24">SUM(U92:U97)</f>
        <v>7190996.9332218645</v>
      </c>
    </row>
    <row r="100" spans="1:21" ht="15.5" x14ac:dyDescent="0.35">
      <c r="A100" s="77">
        <v>2034</v>
      </c>
      <c r="B100" s="220">
        <v>2024</v>
      </c>
      <c r="C100" s="220">
        <v>2025</v>
      </c>
      <c r="D100" s="220">
        <v>2026</v>
      </c>
      <c r="E100" s="220">
        <v>2027</v>
      </c>
      <c r="F100" s="220">
        <v>2028</v>
      </c>
      <c r="G100" s="220">
        <v>2029</v>
      </c>
      <c r="H100" s="220">
        <v>2030</v>
      </c>
      <c r="I100" s="220">
        <v>2031</v>
      </c>
      <c r="J100" s="220">
        <v>2032</v>
      </c>
      <c r="K100" s="220">
        <v>2033</v>
      </c>
      <c r="L100" s="220">
        <v>2034</v>
      </c>
      <c r="M100" s="220">
        <v>2035</v>
      </c>
      <c r="N100" s="220">
        <v>2036</v>
      </c>
      <c r="O100" s="220">
        <v>2037</v>
      </c>
      <c r="P100" s="220">
        <v>2038</v>
      </c>
      <c r="Q100" s="220">
        <v>2039</v>
      </c>
      <c r="R100" s="220">
        <v>2040</v>
      </c>
      <c r="S100" s="220">
        <v>2041</v>
      </c>
      <c r="T100" s="220">
        <v>2042</v>
      </c>
      <c r="U100" s="220">
        <v>2043</v>
      </c>
    </row>
    <row r="101" spans="1:21" x14ac:dyDescent="0.35">
      <c r="A101" s="164" t="s">
        <v>131</v>
      </c>
      <c r="B101" s="164"/>
      <c r="C101" s="166"/>
      <c r="D101" s="166"/>
      <c r="E101" s="166"/>
      <c r="F101" s="166"/>
      <c r="G101" s="166"/>
      <c r="H101" s="166"/>
      <c r="I101" s="166"/>
      <c r="J101" s="166"/>
      <c r="K101" s="166"/>
      <c r="L101" s="166">
        <f>K92*'ABP Future Assumptions'!$B$93</f>
        <v>0</v>
      </c>
      <c r="M101" s="166">
        <f>L92*'ABP Future Assumptions'!$B$93</f>
        <v>51740978.990764506</v>
      </c>
      <c r="N101" s="166">
        <f>M92*'ABP Future Assumptions'!$B$93</f>
        <v>0</v>
      </c>
      <c r="O101" s="166">
        <f>N92*'ABP Future Assumptions'!$B$93</f>
        <v>0</v>
      </c>
      <c r="P101" s="166">
        <f>O92*'ABP Future Assumptions'!$B$93</f>
        <v>0</v>
      </c>
      <c r="Q101" s="166">
        <f>P92*'ABP Future Assumptions'!$B$93</f>
        <v>0</v>
      </c>
      <c r="R101" s="166">
        <f>Q92*'ABP Future Assumptions'!$B$93</f>
        <v>0</v>
      </c>
      <c r="S101" s="166">
        <f>R92*'ABP Future Assumptions'!$B$93</f>
        <v>0</v>
      </c>
      <c r="T101" s="166">
        <f>S92*'ABP Future Assumptions'!$B$93</f>
        <v>0</v>
      </c>
      <c r="U101" s="166">
        <f>T92*'ABP Future Assumptions'!$B$93</f>
        <v>0</v>
      </c>
    </row>
    <row r="102" spans="1:21" x14ac:dyDescent="0.35">
      <c r="A102" s="164" t="s">
        <v>137</v>
      </c>
      <c r="B102" s="164"/>
      <c r="C102" s="166"/>
      <c r="D102" s="166"/>
      <c r="E102" s="166"/>
      <c r="F102" s="166"/>
      <c r="G102" s="166"/>
      <c r="H102" s="166"/>
      <c r="I102" s="166"/>
      <c r="J102" s="166"/>
      <c r="K102" s="166"/>
      <c r="L102" s="166">
        <f>K93*'ABP Future Assumptions'!$B$93</f>
        <v>0</v>
      </c>
      <c r="M102" s="166">
        <f>L93*'ABP Future Assumptions'!$B$93</f>
        <v>5310870.4972591614</v>
      </c>
      <c r="N102" s="166">
        <f>M93*'ABP Future Assumptions'!$B$93</f>
        <v>5015822.1363003189</v>
      </c>
      <c r="O102" s="166">
        <f>N93*'ABP Future Assumptions'!$B$93</f>
        <v>5015822.1363003189</v>
      </c>
      <c r="P102" s="166">
        <f>O93*'ABP Future Assumptions'!$B$93</f>
        <v>5015822.1363003189</v>
      </c>
      <c r="Q102" s="166">
        <f>P93*'ABP Future Assumptions'!$B$93</f>
        <v>5015822.1363003189</v>
      </c>
      <c r="R102" s="166">
        <f>Q93*'ABP Future Assumptions'!$B$93</f>
        <v>5015822.1363003189</v>
      </c>
      <c r="S102" s="166">
        <f>R93*'ABP Future Assumptions'!$B$93</f>
        <v>5015822.1363003189</v>
      </c>
      <c r="T102" s="166">
        <f>S93*'ABP Future Assumptions'!$B$93</f>
        <v>0</v>
      </c>
      <c r="U102" s="166">
        <f>T93*'ABP Future Assumptions'!$B$93</f>
        <v>0</v>
      </c>
    </row>
    <row r="103" spans="1:21" x14ac:dyDescent="0.35">
      <c r="A103" s="164" t="s">
        <v>146</v>
      </c>
      <c r="B103" s="164"/>
      <c r="C103" s="166"/>
      <c r="D103" s="166"/>
      <c r="E103" s="166"/>
      <c r="F103" s="166"/>
      <c r="G103" s="166"/>
      <c r="H103" s="166"/>
      <c r="I103" s="166"/>
      <c r="J103" s="166"/>
      <c r="K103" s="166"/>
      <c r="L103" s="166">
        <f>K94*'ABP Future Assumptions'!$B$93</f>
        <v>0</v>
      </c>
      <c r="M103" s="166">
        <f>L94*'ABP Future Assumptions'!$B$93</f>
        <v>0</v>
      </c>
      <c r="N103" s="166">
        <f>M94*'ABP Future Assumptions'!$B$93</f>
        <v>4465070.4240979003</v>
      </c>
      <c r="O103" s="166">
        <f>N94*'ABP Future Assumptions'!$B$93</f>
        <v>4442745.0719774105</v>
      </c>
      <c r="P103" s="166">
        <f>O94*'ABP Future Assumptions'!$B$93</f>
        <v>4420531.3466175226</v>
      </c>
      <c r="Q103" s="166">
        <f>P94*'ABP Future Assumptions'!$B$93</f>
        <v>4398428.6898844354</v>
      </c>
      <c r="R103" s="166">
        <f>Q94*'ABP Future Assumptions'!$B$93</f>
        <v>4376436.5464350143</v>
      </c>
      <c r="S103" s="166">
        <f>R94*'ABP Future Assumptions'!$B$93</f>
        <v>4354554.3637028374</v>
      </c>
      <c r="T103" s="166">
        <f>S94*'ABP Future Assumptions'!$B$93</f>
        <v>4332781.5918843243</v>
      </c>
      <c r="U103" s="166">
        <f>T94*'ABP Future Assumptions'!$B$93</f>
        <v>4311117.6839249022</v>
      </c>
    </row>
    <row r="104" spans="1:21" x14ac:dyDescent="0.35">
      <c r="A104" s="164" t="s">
        <v>151</v>
      </c>
      <c r="B104" s="164"/>
      <c r="C104" s="166"/>
      <c r="D104" s="166"/>
      <c r="E104" s="166"/>
      <c r="F104" s="166"/>
      <c r="G104" s="166"/>
      <c r="H104" s="166"/>
      <c r="I104" s="166"/>
      <c r="J104" s="166"/>
      <c r="K104" s="166"/>
      <c r="L104" s="166">
        <f>K95*'ABP Future Assumptions'!$B$93</f>
        <v>0</v>
      </c>
      <c r="M104" s="166">
        <f>L95*'ABP Future Assumptions'!$B$93</f>
        <v>2734410.9817357976</v>
      </c>
      <c r="N104" s="166">
        <f>M95*'ABP Future Assumptions'!$B$93</f>
        <v>2720738.9268271183</v>
      </c>
      <c r="O104" s="166">
        <f>N95*'ABP Future Assumptions'!$B$93</f>
        <v>2707135.2321929825</v>
      </c>
      <c r="P104" s="166">
        <f>O95*'ABP Future Assumptions'!$B$93</f>
        <v>2693599.5560320178</v>
      </c>
      <c r="Q104" s="166">
        <f>P95*'ABP Future Assumptions'!$B$93</f>
        <v>2680131.5582518578</v>
      </c>
      <c r="R104" s="166">
        <f>Q95*'ABP Future Assumptions'!$B$93</f>
        <v>2666730.9004605985</v>
      </c>
      <c r="S104" s="166">
        <f>R95*'ABP Future Assumptions'!$B$93</f>
        <v>2653397.2459582957</v>
      </c>
      <c r="T104" s="166">
        <f>S95*'ABP Future Assumptions'!$B$93</f>
        <v>2640130.2597285039</v>
      </c>
      <c r="U104" s="166">
        <f>T95*'ABP Future Assumptions'!$B$93</f>
        <v>2626929.6084298608</v>
      </c>
    </row>
    <row r="105" spans="1:21" x14ac:dyDescent="0.35">
      <c r="A105" s="164" t="s">
        <v>155</v>
      </c>
      <c r="B105" s="164"/>
      <c r="C105" s="166"/>
      <c r="D105" s="166"/>
      <c r="E105" s="166"/>
      <c r="F105" s="166"/>
      <c r="G105" s="166"/>
      <c r="H105" s="166"/>
      <c r="I105" s="166"/>
      <c r="J105" s="166"/>
      <c r="K105" s="166"/>
      <c r="L105" s="166">
        <f>K96*'ABP Future Assumptions'!$B$93</f>
        <v>0</v>
      </c>
      <c r="M105" s="166">
        <f>L96*'ABP Future Assumptions'!$B$93</f>
        <v>0</v>
      </c>
      <c r="N105" s="166">
        <f>M96*'ABP Future Assumptions'!$B$93</f>
        <v>1815272.6207210415</v>
      </c>
      <c r="O105" s="166">
        <f>N96*'ABP Future Assumptions'!$B$93</f>
        <v>1714424.1417920948</v>
      </c>
      <c r="P105" s="166">
        <f>O96*'ABP Future Assumptions'!$B$93</f>
        <v>1714424.1417920948</v>
      </c>
      <c r="Q105" s="166">
        <f>P96*'ABP Future Assumptions'!$B$93</f>
        <v>1714424.1417920948</v>
      </c>
      <c r="R105" s="166">
        <f>Q96*'ABP Future Assumptions'!$B$93</f>
        <v>1714424.1417920948</v>
      </c>
      <c r="S105" s="166">
        <f>R96*'ABP Future Assumptions'!$B$93</f>
        <v>1714424.1417920948</v>
      </c>
      <c r="T105" s="166">
        <f>S96*'ABP Future Assumptions'!$B$93</f>
        <v>1714424.1417920948</v>
      </c>
      <c r="U105" s="166">
        <f>T96*'ABP Future Assumptions'!$B$93</f>
        <v>0</v>
      </c>
    </row>
    <row r="106" spans="1:21" x14ac:dyDescent="0.35">
      <c r="A106" s="164" t="s">
        <v>158</v>
      </c>
      <c r="B106" s="164"/>
      <c r="C106" s="166"/>
      <c r="D106" s="166"/>
      <c r="E106" s="166"/>
      <c r="F106" s="166"/>
      <c r="G106" s="166"/>
      <c r="H106" s="166"/>
      <c r="I106" s="166"/>
      <c r="J106" s="166"/>
      <c r="K106" s="166"/>
      <c r="L106" s="166">
        <f>K97*'ABP Future Assumptions'!$B$93</f>
        <v>0</v>
      </c>
      <c r="M106" s="166">
        <f>L97*'ABP Future Assumptions'!$B$93</f>
        <v>5900967.2191768456</v>
      </c>
      <c r="N106" s="166">
        <f>M97*'ABP Future Assumptions'!$B$93</f>
        <v>5573135.7070003552</v>
      </c>
      <c r="O106" s="166">
        <f>N97*'ABP Future Assumptions'!$B$93</f>
        <v>5573135.7070003552</v>
      </c>
      <c r="P106" s="166">
        <f>O97*'ABP Future Assumptions'!$B$93</f>
        <v>5573135.7070003552</v>
      </c>
      <c r="Q106" s="166">
        <f>P97*'ABP Future Assumptions'!$B$93</f>
        <v>5573135.7070003552</v>
      </c>
      <c r="R106" s="166">
        <f>Q97*'ABP Future Assumptions'!$B$93</f>
        <v>5573135.7070003552</v>
      </c>
      <c r="S106" s="166">
        <f>R97*'ABP Future Assumptions'!$B$93</f>
        <v>5573135.7070003552</v>
      </c>
      <c r="T106" s="166">
        <f>S97*'ABP Future Assumptions'!$B$93</f>
        <v>0</v>
      </c>
      <c r="U106" s="166">
        <f>T97*'ABP Future Assumptions'!$B$93</f>
        <v>0</v>
      </c>
    </row>
    <row r="107" spans="1:21" x14ac:dyDescent="0.35">
      <c r="A107" s="163" t="s">
        <v>104</v>
      </c>
      <c r="B107" s="163"/>
      <c r="C107" s="18">
        <f t="shared" ref="C107:T107" si="25">SUM(C101:C106)</f>
        <v>0</v>
      </c>
      <c r="D107" s="18">
        <f t="shared" si="25"/>
        <v>0</v>
      </c>
      <c r="E107" s="18">
        <f t="shared" si="25"/>
        <v>0</v>
      </c>
      <c r="F107" s="18">
        <f t="shared" si="25"/>
        <v>0</v>
      </c>
      <c r="G107" s="18">
        <f t="shared" si="25"/>
        <v>0</v>
      </c>
      <c r="H107" s="18">
        <f t="shared" si="25"/>
        <v>0</v>
      </c>
      <c r="I107" s="18">
        <f t="shared" si="25"/>
        <v>0</v>
      </c>
      <c r="J107" s="18">
        <f t="shared" si="25"/>
        <v>0</v>
      </c>
      <c r="K107" s="18">
        <f t="shared" si="25"/>
        <v>0</v>
      </c>
      <c r="L107" s="18">
        <f t="shared" si="25"/>
        <v>0</v>
      </c>
      <c r="M107" s="18">
        <f t="shared" si="25"/>
        <v>65687227.688936308</v>
      </c>
      <c r="N107" s="18">
        <f t="shared" si="25"/>
        <v>19590039.814946733</v>
      </c>
      <c r="O107" s="18">
        <f t="shared" si="25"/>
        <v>19453262.289263159</v>
      </c>
      <c r="P107" s="18">
        <f t="shared" si="25"/>
        <v>19417512.887742307</v>
      </c>
      <c r="Q107" s="18">
        <f t="shared" si="25"/>
        <v>19381942.23322906</v>
      </c>
      <c r="R107" s="18">
        <f t="shared" si="25"/>
        <v>19346549.431988381</v>
      </c>
      <c r="S107" s="18">
        <f t="shared" si="25"/>
        <v>19311333.594753899</v>
      </c>
      <c r="T107" s="18">
        <f t="shared" si="25"/>
        <v>8687335.993404923</v>
      </c>
      <c r="U107" s="18">
        <f t="shared" ref="U107" si="26">SUM(U101:U106)</f>
        <v>6938047.2923547626</v>
      </c>
    </row>
    <row r="109" spans="1:21" ht="15.5" x14ac:dyDescent="0.35">
      <c r="A109" s="77">
        <v>2035</v>
      </c>
      <c r="B109" s="220">
        <v>2024</v>
      </c>
      <c r="C109" s="220">
        <v>2025</v>
      </c>
      <c r="D109" s="220">
        <v>2026</v>
      </c>
      <c r="E109" s="220">
        <v>2027</v>
      </c>
      <c r="F109" s="220">
        <v>2028</v>
      </c>
      <c r="G109" s="220">
        <v>2029</v>
      </c>
      <c r="H109" s="220">
        <v>2030</v>
      </c>
      <c r="I109" s="220">
        <v>2031</v>
      </c>
      <c r="J109" s="220">
        <v>2032</v>
      </c>
      <c r="K109" s="220">
        <v>2033</v>
      </c>
      <c r="L109" s="220">
        <v>2034</v>
      </c>
      <c r="M109" s="220">
        <v>2035</v>
      </c>
      <c r="N109" s="220">
        <v>2036</v>
      </c>
      <c r="O109" s="220">
        <v>2037</v>
      </c>
      <c r="P109" s="220">
        <v>2038</v>
      </c>
      <c r="Q109" s="220">
        <v>2039</v>
      </c>
      <c r="R109" s="220">
        <v>2040</v>
      </c>
      <c r="S109" s="220">
        <v>2041</v>
      </c>
      <c r="T109" s="220">
        <v>2042</v>
      </c>
      <c r="U109" s="220">
        <v>2043</v>
      </c>
    </row>
    <row r="110" spans="1:21" x14ac:dyDescent="0.35">
      <c r="A110" s="164" t="s">
        <v>131</v>
      </c>
      <c r="B110" s="164"/>
      <c r="C110" s="166"/>
      <c r="D110" s="166"/>
      <c r="E110" s="166"/>
      <c r="F110" s="166"/>
      <c r="G110" s="166"/>
      <c r="H110" s="166"/>
      <c r="I110" s="166"/>
      <c r="J110" s="166"/>
      <c r="K110" s="166"/>
      <c r="L110" s="166"/>
      <c r="M110" s="166">
        <f>L101*'ABP Future Assumptions'!$B$93</f>
        <v>0</v>
      </c>
      <c r="N110" s="166">
        <f>M101*'ABP Future Assumptions'!$B$93</f>
        <v>49671339.831133924</v>
      </c>
      <c r="O110" s="166">
        <f>N101*'ABP Future Assumptions'!$B$93</f>
        <v>0</v>
      </c>
      <c r="P110" s="166">
        <f>O101*'ABP Future Assumptions'!$B$93</f>
        <v>0</v>
      </c>
      <c r="Q110" s="166">
        <f>P101*'ABP Future Assumptions'!$B$93</f>
        <v>0</v>
      </c>
      <c r="R110" s="166">
        <f>Q101*'ABP Future Assumptions'!$B$93</f>
        <v>0</v>
      </c>
      <c r="S110" s="166">
        <f>R101*'ABP Future Assumptions'!$B$93</f>
        <v>0</v>
      </c>
      <c r="T110" s="166">
        <f>S101*'ABP Future Assumptions'!$B$93</f>
        <v>0</v>
      </c>
      <c r="U110" s="166">
        <f>T101*'ABP Future Assumptions'!$B$93</f>
        <v>0</v>
      </c>
    </row>
    <row r="111" spans="1:21" x14ac:dyDescent="0.35">
      <c r="A111" s="164" t="s">
        <v>137</v>
      </c>
      <c r="B111" s="164"/>
      <c r="C111" s="166"/>
      <c r="D111" s="166"/>
      <c r="E111" s="166"/>
      <c r="F111" s="166"/>
      <c r="G111" s="166"/>
      <c r="H111" s="166"/>
      <c r="I111" s="166"/>
      <c r="J111" s="166"/>
      <c r="K111" s="166"/>
      <c r="L111" s="166"/>
      <c r="M111" s="166">
        <f>L102*'ABP Future Assumptions'!$B$93</f>
        <v>0</v>
      </c>
      <c r="N111" s="166">
        <f>M102*'ABP Future Assumptions'!$B$93</f>
        <v>5098435.6773687946</v>
      </c>
      <c r="O111" s="166">
        <f>N102*'ABP Future Assumptions'!$B$93</f>
        <v>4815189.2508483063</v>
      </c>
      <c r="P111" s="166">
        <f>O102*'ABP Future Assumptions'!$B$93</f>
        <v>4815189.2508483063</v>
      </c>
      <c r="Q111" s="166">
        <f>P102*'ABP Future Assumptions'!$B$93</f>
        <v>4815189.2508483063</v>
      </c>
      <c r="R111" s="166">
        <f>Q102*'ABP Future Assumptions'!$B$93</f>
        <v>4815189.2508483063</v>
      </c>
      <c r="S111" s="166">
        <f>R102*'ABP Future Assumptions'!$B$93</f>
        <v>4815189.2508483063</v>
      </c>
      <c r="T111" s="166">
        <f>S102*'ABP Future Assumptions'!$B$93</f>
        <v>4815189.2508483063</v>
      </c>
      <c r="U111" s="166">
        <f>T102*'ABP Future Assumptions'!$B$93</f>
        <v>0</v>
      </c>
    </row>
    <row r="112" spans="1:21" x14ac:dyDescent="0.35">
      <c r="A112" s="164" t="s">
        <v>146</v>
      </c>
      <c r="B112" s="164"/>
      <c r="C112" s="166"/>
      <c r="D112" s="166"/>
      <c r="E112" s="166"/>
      <c r="F112" s="166"/>
      <c r="G112" s="166"/>
      <c r="H112" s="166"/>
      <c r="I112" s="166"/>
      <c r="J112" s="166"/>
      <c r="K112" s="166"/>
      <c r="L112" s="166"/>
      <c r="M112" s="166">
        <f>L103*'ABP Future Assumptions'!$B$93</f>
        <v>0</v>
      </c>
      <c r="N112" s="166">
        <f>M103*'ABP Future Assumptions'!$B$93</f>
        <v>0</v>
      </c>
      <c r="O112" s="166">
        <f>N103*'ABP Future Assumptions'!$B$93</f>
        <v>4286467.6071339846</v>
      </c>
      <c r="P112" s="166">
        <f>O103*'ABP Future Assumptions'!$B$93</f>
        <v>4265035.2690983135</v>
      </c>
      <c r="Q112" s="166">
        <f>P103*'ABP Future Assumptions'!$B$93</f>
        <v>4243710.0927528217</v>
      </c>
      <c r="R112" s="166">
        <f>Q103*'ABP Future Assumptions'!$B$93</f>
        <v>4222491.5422890577</v>
      </c>
      <c r="S112" s="166">
        <f>R103*'ABP Future Assumptions'!$B$93</f>
        <v>4201379.0845776135</v>
      </c>
      <c r="T112" s="166">
        <f>S103*'ABP Future Assumptions'!$B$93</f>
        <v>4180372.1891547237</v>
      </c>
      <c r="U112" s="166">
        <f>T103*'ABP Future Assumptions'!$B$93</f>
        <v>4159470.3282089513</v>
      </c>
    </row>
    <row r="113" spans="1:21" x14ac:dyDescent="0.35">
      <c r="A113" s="164" t="s">
        <v>151</v>
      </c>
      <c r="B113" s="164"/>
      <c r="C113" s="166"/>
      <c r="D113" s="166"/>
      <c r="E113" s="166"/>
      <c r="F113" s="166"/>
      <c r="G113" s="166"/>
      <c r="H113" s="166"/>
      <c r="I113" s="166"/>
      <c r="J113" s="166"/>
      <c r="K113" s="166"/>
      <c r="L113" s="166"/>
      <c r="M113" s="166">
        <f>L104*'ABP Future Assumptions'!$B$93</f>
        <v>0</v>
      </c>
      <c r="N113" s="166">
        <f>M104*'ABP Future Assumptions'!$B$93</f>
        <v>2625034.5424663657</v>
      </c>
      <c r="O113" s="166">
        <f>N104*'ABP Future Assumptions'!$B$93</f>
        <v>2611909.3697540336</v>
      </c>
      <c r="P113" s="166">
        <f>O104*'ABP Future Assumptions'!$B$93</f>
        <v>2598849.8229052629</v>
      </c>
      <c r="Q113" s="166">
        <f>P104*'ABP Future Assumptions'!$B$93</f>
        <v>2585855.573790737</v>
      </c>
      <c r="R113" s="166">
        <f>Q104*'ABP Future Assumptions'!$B$93</f>
        <v>2572926.2959217834</v>
      </c>
      <c r="S113" s="166">
        <f>R104*'ABP Future Assumptions'!$B$93</f>
        <v>2560061.6644421746</v>
      </c>
      <c r="T113" s="166">
        <f>S104*'ABP Future Assumptions'!$B$93</f>
        <v>2547261.3561199638</v>
      </c>
      <c r="U113" s="166">
        <f>T104*'ABP Future Assumptions'!$B$93</f>
        <v>2534525.0493393638</v>
      </c>
    </row>
    <row r="114" spans="1:21" x14ac:dyDescent="0.35">
      <c r="A114" s="164" t="s">
        <v>155</v>
      </c>
      <c r="B114" s="164"/>
      <c r="C114" s="166"/>
      <c r="D114" s="166"/>
      <c r="E114" s="166"/>
      <c r="F114" s="166"/>
      <c r="G114" s="166"/>
      <c r="H114" s="166"/>
      <c r="I114" s="166"/>
      <c r="J114" s="166"/>
      <c r="K114" s="166"/>
      <c r="L114" s="166"/>
      <c r="M114" s="166">
        <f>L105*'ABP Future Assumptions'!$B$93</f>
        <v>0</v>
      </c>
      <c r="N114" s="166">
        <f>M105*'ABP Future Assumptions'!$B$93</f>
        <v>0</v>
      </c>
      <c r="O114" s="166">
        <f>N105*'ABP Future Assumptions'!$B$93</f>
        <v>1742661.7158921997</v>
      </c>
      <c r="P114" s="166">
        <f>O105*'ABP Future Assumptions'!$B$93</f>
        <v>1645847.1761204109</v>
      </c>
      <c r="Q114" s="166">
        <f>P105*'ABP Future Assumptions'!$B$93</f>
        <v>1645847.1761204109</v>
      </c>
      <c r="R114" s="166">
        <f>Q105*'ABP Future Assumptions'!$B$93</f>
        <v>1645847.1761204109</v>
      </c>
      <c r="S114" s="166">
        <f>R105*'ABP Future Assumptions'!$B$93</f>
        <v>1645847.1761204109</v>
      </c>
      <c r="T114" s="166">
        <f>S105*'ABP Future Assumptions'!$B$93</f>
        <v>1645847.1761204109</v>
      </c>
      <c r="U114" s="166">
        <f>T105*'ABP Future Assumptions'!$B$93</f>
        <v>1645847.1761204109</v>
      </c>
    </row>
    <row r="115" spans="1:21" x14ac:dyDescent="0.35">
      <c r="A115" s="164" t="s">
        <v>158</v>
      </c>
      <c r="B115" s="164"/>
      <c r="C115" s="166"/>
      <c r="D115" s="166"/>
      <c r="E115" s="166"/>
      <c r="F115" s="166"/>
      <c r="G115" s="166"/>
      <c r="H115" s="166"/>
      <c r="I115" s="166"/>
      <c r="J115" s="166"/>
      <c r="K115" s="166"/>
      <c r="L115" s="166"/>
      <c r="M115" s="166">
        <f>L106*'ABP Future Assumptions'!$B$93</f>
        <v>0</v>
      </c>
      <c r="N115" s="166">
        <f>M106*'ABP Future Assumptions'!$B$93</f>
        <v>5664928.5304097719</v>
      </c>
      <c r="O115" s="166">
        <f>N106*'ABP Future Assumptions'!$B$93</f>
        <v>5350210.2787203407</v>
      </c>
      <c r="P115" s="166">
        <f>O106*'ABP Future Assumptions'!$B$93</f>
        <v>5350210.2787203407</v>
      </c>
      <c r="Q115" s="166">
        <f>P106*'ABP Future Assumptions'!$B$93</f>
        <v>5350210.2787203407</v>
      </c>
      <c r="R115" s="166">
        <f>Q106*'ABP Future Assumptions'!$B$93</f>
        <v>5350210.2787203407</v>
      </c>
      <c r="S115" s="166">
        <f>R106*'ABP Future Assumptions'!$B$93</f>
        <v>5350210.2787203407</v>
      </c>
      <c r="T115" s="166">
        <f>S106*'ABP Future Assumptions'!$B$93</f>
        <v>5350210.2787203407</v>
      </c>
      <c r="U115" s="166">
        <f>T106*'ABP Future Assumptions'!$B$93</f>
        <v>0</v>
      </c>
    </row>
    <row r="116" spans="1:21" x14ac:dyDescent="0.35">
      <c r="A116" s="163" t="s">
        <v>104</v>
      </c>
      <c r="B116" s="163"/>
      <c r="C116" s="18">
        <f t="shared" ref="C116:T116" si="27">SUM(C110:C115)</f>
        <v>0</v>
      </c>
      <c r="D116" s="18">
        <f t="shared" si="27"/>
        <v>0</v>
      </c>
      <c r="E116" s="18">
        <f t="shared" si="27"/>
        <v>0</v>
      </c>
      <c r="F116" s="18">
        <f t="shared" si="27"/>
        <v>0</v>
      </c>
      <c r="G116" s="18">
        <f t="shared" si="27"/>
        <v>0</v>
      </c>
      <c r="H116" s="18">
        <f t="shared" si="27"/>
        <v>0</v>
      </c>
      <c r="I116" s="18">
        <f t="shared" si="27"/>
        <v>0</v>
      </c>
      <c r="J116" s="18">
        <f t="shared" si="27"/>
        <v>0</v>
      </c>
      <c r="K116" s="18">
        <f t="shared" si="27"/>
        <v>0</v>
      </c>
      <c r="L116" s="18">
        <f t="shared" si="27"/>
        <v>0</v>
      </c>
      <c r="M116" s="18">
        <f t="shared" si="27"/>
        <v>0</v>
      </c>
      <c r="N116" s="18">
        <f t="shared" si="27"/>
        <v>63059738.581378862</v>
      </c>
      <c r="O116" s="18">
        <f t="shared" si="27"/>
        <v>18806438.222348865</v>
      </c>
      <c r="P116" s="18">
        <f t="shared" si="27"/>
        <v>18675131.797692634</v>
      </c>
      <c r="Q116" s="18">
        <f t="shared" si="27"/>
        <v>18640812.372232616</v>
      </c>
      <c r="R116" s="18">
        <f t="shared" si="27"/>
        <v>18606664.543899901</v>
      </c>
      <c r="S116" s="18">
        <f t="shared" si="27"/>
        <v>18572687.454708848</v>
      </c>
      <c r="T116" s="18">
        <f t="shared" si="27"/>
        <v>18538880.250963748</v>
      </c>
      <c r="U116" s="18">
        <f t="shared" ref="U116" si="28">SUM(U110:U115)</f>
        <v>8339842.5536687253</v>
      </c>
    </row>
    <row r="118" spans="1:21" ht="15.5" x14ac:dyDescent="0.35">
      <c r="A118" s="77">
        <v>2036</v>
      </c>
      <c r="B118" s="220">
        <v>2024</v>
      </c>
      <c r="C118" s="220">
        <v>2025</v>
      </c>
      <c r="D118" s="220">
        <v>2026</v>
      </c>
      <c r="E118" s="220">
        <v>2027</v>
      </c>
      <c r="F118" s="220">
        <v>2028</v>
      </c>
      <c r="G118" s="220">
        <v>2029</v>
      </c>
      <c r="H118" s="220">
        <v>2030</v>
      </c>
      <c r="I118" s="220">
        <v>2031</v>
      </c>
      <c r="J118" s="220">
        <v>2032</v>
      </c>
      <c r="K118" s="220">
        <v>2033</v>
      </c>
      <c r="L118" s="220">
        <v>2034</v>
      </c>
      <c r="M118" s="220">
        <v>2035</v>
      </c>
      <c r="N118" s="220">
        <v>2036</v>
      </c>
      <c r="O118" s="220">
        <v>2037</v>
      </c>
      <c r="P118" s="220">
        <v>2038</v>
      </c>
      <c r="Q118" s="220">
        <v>2039</v>
      </c>
      <c r="R118" s="220">
        <v>2040</v>
      </c>
      <c r="S118" s="220">
        <v>2041</v>
      </c>
      <c r="T118" s="220">
        <v>2042</v>
      </c>
      <c r="U118" s="220">
        <v>2043</v>
      </c>
    </row>
    <row r="119" spans="1:21" x14ac:dyDescent="0.35">
      <c r="A119" s="164" t="s">
        <v>131</v>
      </c>
      <c r="B119" s="164"/>
      <c r="C119" s="166"/>
      <c r="D119" s="166"/>
      <c r="E119" s="166"/>
      <c r="F119" s="166"/>
      <c r="G119" s="166"/>
      <c r="H119" s="166"/>
      <c r="I119" s="166"/>
      <c r="J119" s="166"/>
      <c r="K119" s="166"/>
      <c r="L119" s="166"/>
      <c r="M119" s="166"/>
      <c r="N119" s="166">
        <f>M110*'ABP Future Assumptions'!$B$93</f>
        <v>0</v>
      </c>
      <c r="O119" s="166">
        <f>N110*'ABP Future Assumptions'!$B$93</f>
        <v>47684486.237888567</v>
      </c>
      <c r="P119" s="166">
        <f>O110*'ABP Future Assumptions'!$B$93</f>
        <v>0</v>
      </c>
      <c r="Q119" s="166">
        <f>P110*'ABP Future Assumptions'!$B$93</f>
        <v>0</v>
      </c>
      <c r="R119" s="166">
        <f>Q110*'ABP Future Assumptions'!$B$93</f>
        <v>0</v>
      </c>
      <c r="S119" s="166">
        <f>R110*'ABP Future Assumptions'!$B$93</f>
        <v>0</v>
      </c>
      <c r="T119" s="166">
        <f>S110*'ABP Future Assumptions'!$B$93</f>
        <v>0</v>
      </c>
      <c r="U119" s="166">
        <f>T110*'ABP Future Assumptions'!$B$93</f>
        <v>0</v>
      </c>
    </row>
    <row r="120" spans="1:21" x14ac:dyDescent="0.35">
      <c r="A120" s="164" t="s">
        <v>137</v>
      </c>
      <c r="B120" s="164"/>
      <c r="C120" s="166"/>
      <c r="D120" s="166"/>
      <c r="E120" s="166"/>
      <c r="F120" s="166"/>
      <c r="G120" s="166"/>
      <c r="H120" s="166"/>
      <c r="I120" s="166"/>
      <c r="J120" s="166"/>
      <c r="K120" s="166"/>
      <c r="L120" s="166"/>
      <c r="M120" s="166"/>
      <c r="N120" s="166">
        <f>M111*'ABP Future Assumptions'!$B$93</f>
        <v>0</v>
      </c>
      <c r="O120" s="166">
        <f>N111*'ABP Future Assumptions'!$B$93</f>
        <v>4894498.2502740426</v>
      </c>
      <c r="P120" s="166">
        <f>O111*'ABP Future Assumptions'!$B$93</f>
        <v>4622581.6808143742</v>
      </c>
      <c r="Q120" s="166">
        <f>P111*'ABP Future Assumptions'!$B$93</f>
        <v>4622581.6808143742</v>
      </c>
      <c r="R120" s="166">
        <f>Q111*'ABP Future Assumptions'!$B$93</f>
        <v>4622581.6808143742</v>
      </c>
      <c r="S120" s="166">
        <f>R111*'ABP Future Assumptions'!$B$93</f>
        <v>4622581.6808143742</v>
      </c>
      <c r="T120" s="166">
        <f>S111*'ABP Future Assumptions'!$B$93</f>
        <v>4622581.6808143742</v>
      </c>
      <c r="U120" s="166">
        <f>T111*'ABP Future Assumptions'!$B$93</f>
        <v>4622581.6808143742</v>
      </c>
    </row>
    <row r="121" spans="1:21" x14ac:dyDescent="0.35">
      <c r="A121" s="164" t="s">
        <v>146</v>
      </c>
      <c r="B121" s="164"/>
      <c r="C121" s="166"/>
      <c r="D121" s="166"/>
      <c r="E121" s="166"/>
      <c r="F121" s="166"/>
      <c r="G121" s="166"/>
      <c r="H121" s="166"/>
      <c r="I121" s="166"/>
      <c r="J121" s="166"/>
      <c r="K121" s="166"/>
      <c r="L121" s="166"/>
      <c r="M121" s="166"/>
      <c r="N121" s="166">
        <f>M112*'ABP Future Assumptions'!$B$93</f>
        <v>0</v>
      </c>
      <c r="O121" s="166">
        <f>N112*'ABP Future Assumptions'!$B$93</f>
        <v>0</v>
      </c>
      <c r="P121" s="166">
        <f>O112*'ABP Future Assumptions'!$B$93</f>
        <v>4115008.9028486251</v>
      </c>
      <c r="Q121" s="166">
        <f>P112*'ABP Future Assumptions'!$B$93</f>
        <v>4094433.8583343807</v>
      </c>
      <c r="R121" s="166">
        <f>Q112*'ABP Future Assumptions'!$B$93</f>
        <v>4073961.6890427088</v>
      </c>
      <c r="S121" s="166">
        <f>R112*'ABP Future Assumptions'!$B$93</f>
        <v>4053591.8805974955</v>
      </c>
      <c r="T121" s="166">
        <f>S112*'ABP Future Assumptions'!$B$93</f>
        <v>4033323.9211945087</v>
      </c>
      <c r="U121" s="166">
        <f>T112*'ABP Future Assumptions'!$B$93</f>
        <v>4013157.3015885344</v>
      </c>
    </row>
    <row r="122" spans="1:21" x14ac:dyDescent="0.35">
      <c r="A122" s="164" t="s">
        <v>151</v>
      </c>
      <c r="B122" s="164"/>
      <c r="C122" s="166"/>
      <c r="D122" s="166"/>
      <c r="E122" s="166"/>
      <c r="F122" s="166"/>
      <c r="G122" s="166"/>
      <c r="H122" s="166"/>
      <c r="I122" s="166"/>
      <c r="J122" s="166"/>
      <c r="K122" s="166"/>
      <c r="L122" s="166"/>
      <c r="M122" s="166"/>
      <c r="N122" s="166">
        <f>M113*'ABP Future Assumptions'!$B$93</f>
        <v>0</v>
      </c>
      <c r="O122" s="166">
        <f>N113*'ABP Future Assumptions'!$B$93</f>
        <v>2520033.1607677112</v>
      </c>
      <c r="P122" s="166">
        <f>O113*'ABP Future Assumptions'!$B$93</f>
        <v>2507432.9949638722</v>
      </c>
      <c r="Q122" s="166">
        <f>P113*'ABP Future Assumptions'!$B$93</f>
        <v>2494895.8299890524</v>
      </c>
      <c r="R122" s="166">
        <f>Q113*'ABP Future Assumptions'!$B$93</f>
        <v>2482421.3508391073</v>
      </c>
      <c r="S122" s="166">
        <f>R113*'ABP Future Assumptions'!$B$93</f>
        <v>2470009.2440849119</v>
      </c>
      <c r="T122" s="166">
        <f>S113*'ABP Future Assumptions'!$B$93</f>
        <v>2457659.1978644873</v>
      </c>
      <c r="U122" s="166">
        <f>T113*'ABP Future Assumptions'!$B$93</f>
        <v>2445370.9018751653</v>
      </c>
    </row>
    <row r="123" spans="1:21" x14ac:dyDescent="0.35">
      <c r="A123" s="164" t="s">
        <v>155</v>
      </c>
      <c r="B123" s="164"/>
      <c r="C123" s="166"/>
      <c r="D123" s="166"/>
      <c r="E123" s="166"/>
      <c r="F123" s="166"/>
      <c r="G123" s="166"/>
      <c r="H123" s="166"/>
      <c r="I123" s="166"/>
      <c r="J123" s="166"/>
      <c r="K123" s="166"/>
      <c r="L123" s="166"/>
      <c r="M123" s="166"/>
      <c r="N123" s="166">
        <f>M114*'ABP Future Assumptions'!$B$93</f>
        <v>0</v>
      </c>
      <c r="O123" s="166">
        <f>N114*'ABP Future Assumptions'!$B$93</f>
        <v>0</v>
      </c>
      <c r="P123" s="166">
        <f>O114*'ABP Future Assumptions'!$B$93</f>
        <v>1672955.2472565116</v>
      </c>
      <c r="Q123" s="166">
        <f>P114*'ABP Future Assumptions'!$B$93</f>
        <v>1580013.2890755944</v>
      </c>
      <c r="R123" s="166">
        <f>Q114*'ABP Future Assumptions'!$B$93</f>
        <v>1580013.2890755944</v>
      </c>
      <c r="S123" s="166">
        <f>R114*'ABP Future Assumptions'!$B$93</f>
        <v>1580013.2890755944</v>
      </c>
      <c r="T123" s="166">
        <f>S114*'ABP Future Assumptions'!$B$93</f>
        <v>1580013.2890755944</v>
      </c>
      <c r="U123" s="166">
        <f>T114*'ABP Future Assumptions'!$B$93</f>
        <v>1580013.2890755944</v>
      </c>
    </row>
    <row r="124" spans="1:21" x14ac:dyDescent="0.35">
      <c r="A124" s="164" t="s">
        <v>158</v>
      </c>
      <c r="B124" s="164"/>
      <c r="C124" s="166"/>
      <c r="D124" s="166"/>
      <c r="E124" s="166"/>
      <c r="F124" s="166"/>
      <c r="G124" s="166"/>
      <c r="H124" s="166"/>
      <c r="I124" s="166"/>
      <c r="J124" s="166"/>
      <c r="K124" s="166"/>
      <c r="L124" s="166"/>
      <c r="M124" s="166"/>
      <c r="N124" s="166">
        <f>M115*'ABP Future Assumptions'!$B$93</f>
        <v>0</v>
      </c>
      <c r="O124" s="166">
        <f>N115*'ABP Future Assumptions'!$B$93</f>
        <v>5438331.3891933812</v>
      </c>
      <c r="P124" s="166">
        <f>O115*'ABP Future Assumptions'!$B$93</f>
        <v>5136201.8675715271</v>
      </c>
      <c r="Q124" s="166">
        <f>P115*'ABP Future Assumptions'!$B$93</f>
        <v>5136201.8675715271</v>
      </c>
      <c r="R124" s="166">
        <f>Q115*'ABP Future Assumptions'!$B$93</f>
        <v>5136201.8675715271</v>
      </c>
      <c r="S124" s="166">
        <f>R115*'ABP Future Assumptions'!$B$93</f>
        <v>5136201.8675715271</v>
      </c>
      <c r="T124" s="166">
        <f>S115*'ABP Future Assumptions'!$B$93</f>
        <v>5136201.8675715271</v>
      </c>
      <c r="U124" s="166">
        <f>T115*'ABP Future Assumptions'!$B$93</f>
        <v>5136201.8675715271</v>
      </c>
    </row>
    <row r="125" spans="1:21" x14ac:dyDescent="0.35">
      <c r="A125" s="163" t="s">
        <v>104</v>
      </c>
      <c r="B125" s="163"/>
      <c r="C125" s="18">
        <f t="shared" ref="C125:T125" si="29">SUM(C119:C124)</f>
        <v>0</v>
      </c>
      <c r="D125" s="18">
        <f t="shared" si="29"/>
        <v>0</v>
      </c>
      <c r="E125" s="18">
        <f t="shared" si="29"/>
        <v>0</v>
      </c>
      <c r="F125" s="18">
        <f t="shared" si="29"/>
        <v>0</v>
      </c>
      <c r="G125" s="18">
        <f t="shared" si="29"/>
        <v>0</v>
      </c>
      <c r="H125" s="18">
        <f t="shared" si="29"/>
        <v>0</v>
      </c>
      <c r="I125" s="18">
        <f t="shared" si="29"/>
        <v>0</v>
      </c>
      <c r="J125" s="18">
        <f t="shared" si="29"/>
        <v>0</v>
      </c>
      <c r="K125" s="18">
        <f t="shared" si="29"/>
        <v>0</v>
      </c>
      <c r="L125" s="18">
        <f t="shared" si="29"/>
        <v>0</v>
      </c>
      <c r="M125" s="18">
        <f t="shared" si="29"/>
        <v>0</v>
      </c>
      <c r="N125" s="18">
        <f t="shared" si="29"/>
        <v>0</v>
      </c>
      <c r="O125" s="18">
        <f t="shared" si="29"/>
        <v>60537349.038123697</v>
      </c>
      <c r="P125" s="18">
        <f t="shared" si="29"/>
        <v>18054180.69345491</v>
      </c>
      <c r="Q125" s="18">
        <f t="shared" si="29"/>
        <v>17928126.525784932</v>
      </c>
      <c r="R125" s="18">
        <f t="shared" si="29"/>
        <v>17895179.877343312</v>
      </c>
      <c r="S125" s="18">
        <f t="shared" si="29"/>
        <v>17862397.962143902</v>
      </c>
      <c r="T125" s="18">
        <f t="shared" si="29"/>
        <v>17829779.95652049</v>
      </c>
      <c r="U125" s="18">
        <f t="shared" ref="U125" si="30">SUM(U119:U124)</f>
        <v>17797325.040925197</v>
      </c>
    </row>
    <row r="127" spans="1:21" ht="15.5" x14ac:dyDescent="0.35">
      <c r="A127" s="77">
        <v>2037</v>
      </c>
      <c r="B127" s="220">
        <v>2024</v>
      </c>
      <c r="C127" s="220">
        <v>2025</v>
      </c>
      <c r="D127" s="220">
        <v>2026</v>
      </c>
      <c r="E127" s="220">
        <v>2027</v>
      </c>
      <c r="F127" s="220">
        <v>2028</v>
      </c>
      <c r="G127" s="220">
        <v>2029</v>
      </c>
      <c r="H127" s="220">
        <v>2030</v>
      </c>
      <c r="I127" s="220">
        <v>2031</v>
      </c>
      <c r="J127" s="220">
        <v>2032</v>
      </c>
      <c r="K127" s="220">
        <v>2033</v>
      </c>
      <c r="L127" s="220">
        <v>2034</v>
      </c>
      <c r="M127" s="220">
        <v>2035</v>
      </c>
      <c r="N127" s="220">
        <v>2036</v>
      </c>
      <c r="O127" s="220">
        <v>2037</v>
      </c>
      <c r="P127" s="220">
        <v>2038</v>
      </c>
      <c r="Q127" s="220">
        <v>2039</v>
      </c>
      <c r="R127" s="220">
        <v>2040</v>
      </c>
      <c r="S127" s="220">
        <v>2041</v>
      </c>
      <c r="T127" s="220">
        <v>2042</v>
      </c>
      <c r="U127" s="220">
        <v>2043</v>
      </c>
    </row>
    <row r="128" spans="1:21" x14ac:dyDescent="0.35">
      <c r="A128" s="164" t="s">
        <v>131</v>
      </c>
      <c r="B128" s="164"/>
      <c r="C128" s="166"/>
      <c r="D128" s="166"/>
      <c r="E128" s="166"/>
      <c r="F128" s="166"/>
      <c r="G128" s="166"/>
      <c r="H128" s="166"/>
      <c r="I128" s="166"/>
      <c r="J128" s="166"/>
      <c r="K128" s="166"/>
      <c r="L128" s="166"/>
      <c r="M128" s="166"/>
      <c r="N128" s="166"/>
      <c r="O128" s="166">
        <f>N119*'ABP Future Assumptions'!$B$93</f>
        <v>0</v>
      </c>
      <c r="P128" s="166">
        <f>O119*'ABP Future Assumptions'!$B$93</f>
        <v>45777106.788373023</v>
      </c>
      <c r="Q128" s="166">
        <f>P119*'ABP Future Assumptions'!$B$93</f>
        <v>0</v>
      </c>
      <c r="R128" s="166">
        <f>Q119*'ABP Future Assumptions'!$B$93</f>
        <v>0</v>
      </c>
      <c r="S128" s="166">
        <f>R119*'ABP Future Assumptions'!$B$93</f>
        <v>0</v>
      </c>
      <c r="T128" s="166">
        <f>S119*'ABP Future Assumptions'!$B$93</f>
        <v>0</v>
      </c>
      <c r="U128" s="166">
        <f>T119*'ABP Future Assumptions'!$B$93</f>
        <v>0</v>
      </c>
    </row>
    <row r="129" spans="1:21" x14ac:dyDescent="0.35">
      <c r="A129" s="164" t="s">
        <v>137</v>
      </c>
      <c r="B129" s="164"/>
      <c r="C129" s="166"/>
      <c r="D129" s="166"/>
      <c r="E129" s="166"/>
      <c r="F129" s="166"/>
      <c r="G129" s="166"/>
      <c r="H129" s="166"/>
      <c r="I129" s="166"/>
      <c r="J129" s="166"/>
      <c r="K129" s="166"/>
      <c r="L129" s="166"/>
      <c r="M129" s="166"/>
      <c r="N129" s="166"/>
      <c r="O129" s="166">
        <f>N120*'ABP Future Assumptions'!$B$93</f>
        <v>0</v>
      </c>
      <c r="P129" s="166">
        <f>O120*'ABP Future Assumptions'!$B$93</f>
        <v>4698718.3202630803</v>
      </c>
      <c r="Q129" s="166">
        <f>P120*'ABP Future Assumptions'!$B$93</f>
        <v>4437678.4135817988</v>
      </c>
      <c r="R129" s="166">
        <f>Q120*'ABP Future Assumptions'!$B$93</f>
        <v>4437678.4135817988</v>
      </c>
      <c r="S129" s="166">
        <f>R120*'ABP Future Assumptions'!$B$93</f>
        <v>4437678.4135817988</v>
      </c>
      <c r="T129" s="166">
        <f>S120*'ABP Future Assumptions'!$B$93</f>
        <v>4437678.4135817988</v>
      </c>
      <c r="U129" s="166">
        <f>T120*'ABP Future Assumptions'!$B$93</f>
        <v>4437678.4135817988</v>
      </c>
    </row>
    <row r="130" spans="1:21" x14ac:dyDescent="0.35">
      <c r="A130" s="164" t="s">
        <v>146</v>
      </c>
      <c r="B130" s="164"/>
      <c r="C130" s="166"/>
      <c r="D130" s="166"/>
      <c r="E130" s="166"/>
      <c r="F130" s="166"/>
      <c r="G130" s="166"/>
      <c r="H130" s="166"/>
      <c r="I130" s="166"/>
      <c r="J130" s="166"/>
      <c r="K130" s="166"/>
      <c r="L130" s="166"/>
      <c r="M130" s="166"/>
      <c r="N130" s="166"/>
      <c r="O130" s="166">
        <f>N121*'ABP Future Assumptions'!$B$93</f>
        <v>0</v>
      </c>
      <c r="P130" s="166">
        <f>O121*'ABP Future Assumptions'!$B$93</f>
        <v>0</v>
      </c>
      <c r="Q130" s="166">
        <f>P121*'ABP Future Assumptions'!$B$93</f>
        <v>3950408.54673468</v>
      </c>
      <c r="R130" s="166">
        <f>Q121*'ABP Future Assumptions'!$B$93</f>
        <v>3930656.5040010051</v>
      </c>
      <c r="S130" s="166">
        <f>R121*'ABP Future Assumptions'!$B$93</f>
        <v>3911003.2214810005</v>
      </c>
      <c r="T130" s="166">
        <f>S121*'ABP Future Assumptions'!$B$93</f>
        <v>3891448.2053735955</v>
      </c>
      <c r="U130" s="166">
        <f>T121*'ABP Future Assumptions'!$B$93</f>
        <v>3871990.9643467283</v>
      </c>
    </row>
    <row r="131" spans="1:21" x14ac:dyDescent="0.35">
      <c r="A131" s="164" t="s">
        <v>151</v>
      </c>
      <c r="B131" s="164"/>
      <c r="C131" s="166"/>
      <c r="D131" s="166"/>
      <c r="E131" s="166"/>
      <c r="F131" s="166"/>
      <c r="G131" s="166"/>
      <c r="H131" s="166"/>
      <c r="I131" s="166"/>
      <c r="J131" s="166"/>
      <c r="K131" s="166"/>
      <c r="L131" s="166"/>
      <c r="M131" s="166"/>
      <c r="N131" s="166"/>
      <c r="O131" s="166">
        <f>N122*'ABP Future Assumptions'!$B$93</f>
        <v>0</v>
      </c>
      <c r="P131" s="166">
        <f>O122*'ABP Future Assumptions'!$B$93</f>
        <v>2419231.8343370026</v>
      </c>
      <c r="Q131" s="166">
        <f>P122*'ABP Future Assumptions'!$B$93</f>
        <v>2407135.6751653175</v>
      </c>
      <c r="R131" s="166">
        <f>Q122*'ABP Future Assumptions'!$B$93</f>
        <v>2395099.9967894903</v>
      </c>
      <c r="S131" s="166">
        <f>R122*'ABP Future Assumptions'!$B$93</f>
        <v>2383124.4968055431</v>
      </c>
      <c r="T131" s="166">
        <f>S122*'ABP Future Assumptions'!$B$93</f>
        <v>2371208.8743215152</v>
      </c>
      <c r="U131" s="166">
        <f>T122*'ABP Future Assumptions'!$B$93</f>
        <v>2359352.8299499075</v>
      </c>
    </row>
    <row r="132" spans="1:21" x14ac:dyDescent="0.35">
      <c r="A132" s="164" t="s">
        <v>155</v>
      </c>
      <c r="B132" s="164"/>
      <c r="C132" s="166"/>
      <c r="D132" s="166"/>
      <c r="E132" s="166"/>
      <c r="F132" s="166"/>
      <c r="G132" s="166"/>
      <c r="H132" s="166"/>
      <c r="I132" s="166"/>
      <c r="J132" s="166"/>
      <c r="K132" s="166"/>
      <c r="L132" s="166"/>
      <c r="M132" s="166"/>
      <c r="N132" s="166"/>
      <c r="O132" s="166">
        <f>N123*'ABP Future Assumptions'!$B$93</f>
        <v>0</v>
      </c>
      <c r="P132" s="166">
        <f>O123*'ABP Future Assumptions'!$B$93</f>
        <v>0</v>
      </c>
      <c r="Q132" s="166">
        <f>P123*'ABP Future Assumptions'!$B$93</f>
        <v>1606037.037366251</v>
      </c>
      <c r="R132" s="166">
        <f>Q123*'ABP Future Assumptions'!$B$93</f>
        <v>1516812.7575125706</v>
      </c>
      <c r="S132" s="166">
        <f>R123*'ABP Future Assumptions'!$B$93</f>
        <v>1516812.7575125706</v>
      </c>
      <c r="T132" s="166">
        <f>S123*'ABP Future Assumptions'!$B$93</f>
        <v>1516812.7575125706</v>
      </c>
      <c r="U132" s="166">
        <f>T123*'ABP Future Assumptions'!$B$93</f>
        <v>1516812.7575125706</v>
      </c>
    </row>
    <row r="133" spans="1:21" x14ac:dyDescent="0.35">
      <c r="A133" s="164" t="s">
        <v>158</v>
      </c>
      <c r="B133" s="164"/>
      <c r="C133" s="166"/>
      <c r="D133" s="166"/>
      <c r="E133" s="166"/>
      <c r="F133" s="166"/>
      <c r="G133" s="166"/>
      <c r="H133" s="166"/>
      <c r="I133" s="166"/>
      <c r="J133" s="166"/>
      <c r="K133" s="166"/>
      <c r="L133" s="166"/>
      <c r="M133" s="166"/>
      <c r="N133" s="166"/>
      <c r="O133" s="166">
        <f>N124*'ABP Future Assumptions'!$B$93</f>
        <v>0</v>
      </c>
      <c r="P133" s="166">
        <f>O124*'ABP Future Assumptions'!$B$93</f>
        <v>5220798.1336256461</v>
      </c>
      <c r="Q133" s="166">
        <f>P124*'ABP Future Assumptions'!$B$93</f>
        <v>4930753.7928686654</v>
      </c>
      <c r="R133" s="166">
        <f>Q124*'ABP Future Assumptions'!$B$93</f>
        <v>4930753.7928686654</v>
      </c>
      <c r="S133" s="166">
        <f>R124*'ABP Future Assumptions'!$B$93</f>
        <v>4930753.7928686654</v>
      </c>
      <c r="T133" s="166">
        <f>S124*'ABP Future Assumptions'!$B$93</f>
        <v>4930753.7928686654</v>
      </c>
      <c r="U133" s="166">
        <f>T124*'ABP Future Assumptions'!$B$93</f>
        <v>4930753.7928686654</v>
      </c>
    </row>
    <row r="134" spans="1:21" x14ac:dyDescent="0.35">
      <c r="A134" s="163" t="s">
        <v>104</v>
      </c>
      <c r="B134" s="163"/>
      <c r="C134" s="18">
        <f t="shared" ref="C134:T134" si="31">SUM(C128:C133)</f>
        <v>0</v>
      </c>
      <c r="D134" s="18">
        <f t="shared" si="31"/>
        <v>0</v>
      </c>
      <c r="E134" s="18">
        <f t="shared" si="31"/>
        <v>0</v>
      </c>
      <c r="F134" s="18">
        <f t="shared" si="31"/>
        <v>0</v>
      </c>
      <c r="G134" s="18">
        <f t="shared" si="31"/>
        <v>0</v>
      </c>
      <c r="H134" s="18">
        <f t="shared" si="31"/>
        <v>0</v>
      </c>
      <c r="I134" s="18">
        <f t="shared" si="31"/>
        <v>0</v>
      </c>
      <c r="J134" s="18">
        <f t="shared" si="31"/>
        <v>0</v>
      </c>
      <c r="K134" s="18">
        <f t="shared" si="31"/>
        <v>0</v>
      </c>
      <c r="L134" s="18">
        <f t="shared" si="31"/>
        <v>0</v>
      </c>
      <c r="M134" s="18">
        <f t="shared" si="31"/>
        <v>0</v>
      </c>
      <c r="N134" s="18">
        <f t="shared" si="31"/>
        <v>0</v>
      </c>
      <c r="O134" s="18">
        <f t="shared" si="31"/>
        <v>0</v>
      </c>
      <c r="P134" s="18">
        <f t="shared" si="31"/>
        <v>58115855.076598756</v>
      </c>
      <c r="Q134" s="18">
        <f t="shared" si="31"/>
        <v>17332013.465716712</v>
      </c>
      <c r="R134" s="18">
        <f t="shared" si="31"/>
        <v>17211001.464753531</v>
      </c>
      <c r="S134" s="18">
        <f t="shared" si="31"/>
        <v>17179372.68224958</v>
      </c>
      <c r="T134" s="18">
        <f t="shared" si="31"/>
        <v>17147902.043658145</v>
      </c>
      <c r="U134" s="18">
        <f t="shared" ref="U134" si="32">SUM(U128:U133)</f>
        <v>17116588.758259673</v>
      </c>
    </row>
    <row r="136" spans="1:21" ht="15.5" x14ac:dyDescent="0.35">
      <c r="A136" s="77">
        <v>2038</v>
      </c>
      <c r="B136" s="220">
        <v>2024</v>
      </c>
      <c r="C136" s="220">
        <v>2025</v>
      </c>
      <c r="D136" s="220">
        <v>2026</v>
      </c>
      <c r="E136" s="220">
        <v>2027</v>
      </c>
      <c r="F136" s="220">
        <v>2028</v>
      </c>
      <c r="G136" s="220">
        <v>2029</v>
      </c>
      <c r="H136" s="220">
        <v>2030</v>
      </c>
      <c r="I136" s="220">
        <v>2031</v>
      </c>
      <c r="J136" s="220">
        <v>2032</v>
      </c>
      <c r="K136" s="220">
        <v>2033</v>
      </c>
      <c r="L136" s="220">
        <v>2034</v>
      </c>
      <c r="M136" s="220">
        <v>2035</v>
      </c>
      <c r="N136" s="220">
        <v>2036</v>
      </c>
      <c r="O136" s="220">
        <v>2037</v>
      </c>
      <c r="P136" s="220">
        <v>2038</v>
      </c>
      <c r="Q136" s="220">
        <v>2039</v>
      </c>
      <c r="R136" s="220">
        <v>2040</v>
      </c>
      <c r="S136" s="220">
        <v>2041</v>
      </c>
      <c r="T136" s="220">
        <v>2042</v>
      </c>
      <c r="U136" s="220">
        <v>2043</v>
      </c>
    </row>
    <row r="137" spans="1:21" x14ac:dyDescent="0.35">
      <c r="A137" s="164" t="s">
        <v>131</v>
      </c>
      <c r="B137" s="164"/>
      <c r="C137" s="166"/>
      <c r="D137" s="166"/>
      <c r="E137" s="166"/>
      <c r="F137" s="166"/>
      <c r="G137" s="166"/>
      <c r="H137" s="166"/>
      <c r="I137" s="166"/>
      <c r="J137" s="166"/>
      <c r="K137" s="166"/>
      <c r="L137" s="166"/>
      <c r="M137" s="166"/>
      <c r="N137" s="166"/>
      <c r="O137" s="166"/>
      <c r="P137" s="166">
        <f>O128*'ABP Future Assumptions'!$B$93</f>
        <v>0</v>
      </c>
      <c r="Q137" s="166">
        <f>P128*'ABP Future Assumptions'!$B$93</f>
        <v>43946022.516838104</v>
      </c>
      <c r="R137" s="166">
        <f>Q128*'ABP Future Assumptions'!$B$93</f>
        <v>0</v>
      </c>
      <c r="S137" s="166">
        <f>R128*'ABP Future Assumptions'!$B$93</f>
        <v>0</v>
      </c>
      <c r="T137" s="166">
        <f>S128*'ABP Future Assumptions'!$B$93</f>
        <v>0</v>
      </c>
      <c r="U137" s="166">
        <f>T128*'ABP Future Assumptions'!$B$93</f>
        <v>0</v>
      </c>
    </row>
    <row r="138" spans="1:21" x14ac:dyDescent="0.35">
      <c r="A138" s="164" t="s">
        <v>137</v>
      </c>
      <c r="B138" s="164"/>
      <c r="C138" s="166"/>
      <c r="D138" s="166"/>
      <c r="E138" s="166"/>
      <c r="F138" s="166"/>
      <c r="G138" s="166"/>
      <c r="H138" s="166"/>
      <c r="I138" s="166"/>
      <c r="J138" s="166"/>
      <c r="K138" s="166"/>
      <c r="L138" s="166"/>
      <c r="M138" s="166"/>
      <c r="N138" s="166"/>
      <c r="O138" s="166"/>
      <c r="P138" s="166">
        <f>O129*'ABP Future Assumptions'!$B$93</f>
        <v>0</v>
      </c>
      <c r="Q138" s="166">
        <f>P129*'ABP Future Assumptions'!$B$93</f>
        <v>4510769.5874525569</v>
      </c>
      <c r="R138" s="166">
        <f>Q129*'ABP Future Assumptions'!$B$93</f>
        <v>4260171.2770385267</v>
      </c>
      <c r="S138" s="166">
        <f>R129*'ABP Future Assumptions'!$B$93</f>
        <v>4260171.2770385267</v>
      </c>
      <c r="T138" s="166">
        <f>S129*'ABP Future Assumptions'!$B$93</f>
        <v>4260171.2770385267</v>
      </c>
      <c r="U138" s="166">
        <f>T129*'ABP Future Assumptions'!$B$93</f>
        <v>4260171.2770385267</v>
      </c>
    </row>
    <row r="139" spans="1:21" x14ac:dyDescent="0.35">
      <c r="A139" s="164" t="s">
        <v>146</v>
      </c>
      <c r="B139" s="164"/>
      <c r="C139" s="166"/>
      <c r="D139" s="166"/>
      <c r="E139" s="166"/>
      <c r="F139" s="166"/>
      <c r="G139" s="166"/>
      <c r="H139" s="166"/>
      <c r="I139" s="166"/>
      <c r="J139" s="166"/>
      <c r="K139" s="166"/>
      <c r="L139" s="166"/>
      <c r="M139" s="166"/>
      <c r="N139" s="166"/>
      <c r="O139" s="166"/>
      <c r="P139" s="166">
        <f>O130*'ABP Future Assumptions'!$B$93</f>
        <v>0</v>
      </c>
      <c r="Q139" s="166">
        <f>P130*'ABP Future Assumptions'!$B$93</f>
        <v>0</v>
      </c>
      <c r="R139" s="166">
        <f>Q130*'ABP Future Assumptions'!$B$93</f>
        <v>3792392.2048652926</v>
      </c>
      <c r="S139" s="166">
        <f>R130*'ABP Future Assumptions'!$B$93</f>
        <v>3773430.2438409645</v>
      </c>
      <c r="T139" s="166">
        <f>S130*'ABP Future Assumptions'!$B$93</f>
        <v>3754563.0926217604</v>
      </c>
      <c r="U139" s="166">
        <f>T130*'ABP Future Assumptions'!$B$93</f>
        <v>3735790.2771586515</v>
      </c>
    </row>
    <row r="140" spans="1:21" x14ac:dyDescent="0.35">
      <c r="A140" s="164" t="s">
        <v>151</v>
      </c>
      <c r="B140" s="164"/>
      <c r="C140" s="166"/>
      <c r="D140" s="166"/>
      <c r="E140" s="166"/>
      <c r="F140" s="166"/>
      <c r="G140" s="166"/>
      <c r="H140" s="166"/>
      <c r="I140" s="166"/>
      <c r="J140" s="166"/>
      <c r="K140" s="166"/>
      <c r="L140" s="166"/>
      <c r="M140" s="166"/>
      <c r="N140" s="166"/>
      <c r="O140" s="166"/>
      <c r="P140" s="166">
        <f>O131*'ABP Future Assumptions'!$B$93</f>
        <v>0</v>
      </c>
      <c r="Q140" s="166">
        <f>P131*'ABP Future Assumptions'!$B$93</f>
        <v>2322462.5609635222</v>
      </c>
      <c r="R140" s="166">
        <f>Q131*'ABP Future Assumptions'!$B$93</f>
        <v>2310850.2481587045</v>
      </c>
      <c r="S140" s="166">
        <f>R131*'ABP Future Assumptions'!$B$93</f>
        <v>2299295.9969179104</v>
      </c>
      <c r="T140" s="166">
        <f>S131*'ABP Future Assumptions'!$B$93</f>
        <v>2287799.5169333215</v>
      </c>
      <c r="U140" s="166">
        <f>T131*'ABP Future Assumptions'!$B$93</f>
        <v>2276360.5193486544</v>
      </c>
    </row>
    <row r="141" spans="1:21" x14ac:dyDescent="0.35">
      <c r="A141" s="164" t="s">
        <v>155</v>
      </c>
      <c r="B141" s="164"/>
      <c r="C141" s="166"/>
      <c r="D141" s="166"/>
      <c r="E141" s="166"/>
      <c r="F141" s="166"/>
      <c r="G141" s="166"/>
      <c r="H141" s="166"/>
      <c r="I141" s="166"/>
      <c r="J141" s="166"/>
      <c r="K141" s="166"/>
      <c r="L141" s="166"/>
      <c r="M141" s="166"/>
      <c r="N141" s="166"/>
      <c r="O141" s="166"/>
      <c r="P141" s="166">
        <f>O132*'ABP Future Assumptions'!$B$93</f>
        <v>0</v>
      </c>
      <c r="Q141" s="166">
        <f>P132*'ABP Future Assumptions'!$B$93</f>
        <v>0</v>
      </c>
      <c r="R141" s="166">
        <f>Q132*'ABP Future Assumptions'!$B$93</f>
        <v>1541795.555871601</v>
      </c>
      <c r="S141" s="166">
        <f>R132*'ABP Future Assumptions'!$B$93</f>
        <v>1456140.2472120677</v>
      </c>
      <c r="T141" s="166">
        <f>S132*'ABP Future Assumptions'!$B$93</f>
        <v>1456140.2472120677</v>
      </c>
      <c r="U141" s="166">
        <f>T132*'ABP Future Assumptions'!$B$93</f>
        <v>1456140.2472120677</v>
      </c>
    </row>
    <row r="142" spans="1:21" x14ac:dyDescent="0.35">
      <c r="A142" s="164" t="s">
        <v>158</v>
      </c>
      <c r="B142" s="164"/>
      <c r="C142" s="166"/>
      <c r="D142" s="166"/>
      <c r="E142" s="166"/>
      <c r="F142" s="166"/>
      <c r="G142" s="166"/>
      <c r="H142" s="166"/>
      <c r="I142" s="166"/>
      <c r="J142" s="166"/>
      <c r="K142" s="166"/>
      <c r="L142" s="166"/>
      <c r="M142" s="166"/>
      <c r="N142" s="166"/>
      <c r="O142" s="166"/>
      <c r="P142" s="166">
        <f>O133*'ABP Future Assumptions'!$B$93</f>
        <v>0</v>
      </c>
      <c r="Q142" s="166">
        <f>P133*'ABP Future Assumptions'!$B$93</f>
        <v>5011966.2082806202</v>
      </c>
      <c r="R142" s="166">
        <f>Q133*'ABP Future Assumptions'!$B$93</f>
        <v>4733523.6411539186</v>
      </c>
      <c r="S142" s="166">
        <f>R133*'ABP Future Assumptions'!$B$93</f>
        <v>4733523.6411539186</v>
      </c>
      <c r="T142" s="166">
        <f>S133*'ABP Future Assumptions'!$B$93</f>
        <v>4733523.6411539186</v>
      </c>
      <c r="U142" s="166">
        <f>T133*'ABP Future Assumptions'!$B$93</f>
        <v>4733523.6411539186</v>
      </c>
    </row>
    <row r="143" spans="1:21" x14ac:dyDescent="0.35">
      <c r="A143" s="163" t="s">
        <v>104</v>
      </c>
      <c r="B143" s="163"/>
      <c r="C143" s="18">
        <f t="shared" ref="C143:T143" si="33">SUM(C137:C142)</f>
        <v>0</v>
      </c>
      <c r="D143" s="18">
        <f t="shared" si="33"/>
        <v>0</v>
      </c>
      <c r="E143" s="18">
        <f t="shared" si="33"/>
        <v>0</v>
      </c>
      <c r="F143" s="18">
        <f t="shared" si="33"/>
        <v>0</v>
      </c>
      <c r="G143" s="18">
        <f t="shared" si="33"/>
        <v>0</v>
      </c>
      <c r="H143" s="18">
        <f t="shared" si="33"/>
        <v>0</v>
      </c>
      <c r="I143" s="18">
        <f t="shared" si="33"/>
        <v>0</v>
      </c>
      <c r="J143" s="18">
        <f t="shared" si="33"/>
        <v>0</v>
      </c>
      <c r="K143" s="18">
        <f t="shared" si="33"/>
        <v>0</v>
      </c>
      <c r="L143" s="18">
        <f t="shared" si="33"/>
        <v>0</v>
      </c>
      <c r="M143" s="18">
        <f t="shared" si="33"/>
        <v>0</v>
      </c>
      <c r="N143" s="18">
        <f t="shared" si="33"/>
        <v>0</v>
      </c>
      <c r="O143" s="18">
        <f t="shared" si="33"/>
        <v>0</v>
      </c>
      <c r="P143" s="18">
        <f t="shared" si="33"/>
        <v>0</v>
      </c>
      <c r="Q143" s="18">
        <f t="shared" si="33"/>
        <v>55791220.873534806</v>
      </c>
      <c r="R143" s="18">
        <f t="shared" si="33"/>
        <v>16638732.927088043</v>
      </c>
      <c r="S143" s="18">
        <f t="shared" si="33"/>
        <v>16522561.406163387</v>
      </c>
      <c r="T143" s="18">
        <f t="shared" si="33"/>
        <v>16492197.774959594</v>
      </c>
      <c r="U143" s="18">
        <f t="shared" ref="U143" si="34">SUM(U137:U142)</f>
        <v>16461985.961911818</v>
      </c>
    </row>
    <row r="145" spans="1:21" ht="15.5" x14ac:dyDescent="0.35">
      <c r="A145" s="77">
        <v>2039</v>
      </c>
      <c r="B145" s="220">
        <v>2024</v>
      </c>
      <c r="C145" s="220">
        <v>2025</v>
      </c>
      <c r="D145" s="220">
        <v>2026</v>
      </c>
      <c r="E145" s="220">
        <v>2027</v>
      </c>
      <c r="F145" s="220">
        <v>2028</v>
      </c>
      <c r="G145" s="220">
        <v>2029</v>
      </c>
      <c r="H145" s="220">
        <v>2030</v>
      </c>
      <c r="I145" s="220">
        <v>2031</v>
      </c>
      <c r="J145" s="220">
        <v>2032</v>
      </c>
      <c r="K145" s="220">
        <v>2033</v>
      </c>
      <c r="L145" s="220">
        <v>2034</v>
      </c>
      <c r="M145" s="220">
        <v>2035</v>
      </c>
      <c r="N145" s="220">
        <v>2036</v>
      </c>
      <c r="O145" s="220">
        <v>2037</v>
      </c>
      <c r="P145" s="220">
        <v>2038</v>
      </c>
      <c r="Q145" s="220">
        <v>2039</v>
      </c>
      <c r="R145" s="220">
        <v>2040</v>
      </c>
      <c r="S145" s="220">
        <v>2041</v>
      </c>
      <c r="T145" s="220">
        <v>2042</v>
      </c>
      <c r="U145" s="220">
        <v>2043</v>
      </c>
    </row>
    <row r="146" spans="1:21" x14ac:dyDescent="0.35">
      <c r="A146" s="164" t="s">
        <v>131</v>
      </c>
      <c r="B146" s="164"/>
      <c r="C146" s="166"/>
      <c r="D146" s="166"/>
      <c r="E146" s="166"/>
      <c r="F146" s="166"/>
      <c r="G146" s="166"/>
      <c r="H146" s="166"/>
      <c r="I146" s="166"/>
      <c r="J146" s="166"/>
      <c r="K146" s="166"/>
      <c r="L146" s="166"/>
      <c r="M146" s="166"/>
      <c r="N146" s="166"/>
      <c r="O146" s="166"/>
      <c r="P146" s="166"/>
      <c r="Q146" s="166">
        <f>P137*'ABP Future Assumptions'!$B$93</f>
        <v>0</v>
      </c>
      <c r="R146" s="166">
        <f>Q137*'ABP Future Assumptions'!$B$93</f>
        <v>42188181.61616458</v>
      </c>
      <c r="S146" s="166">
        <f>R137*'ABP Future Assumptions'!$B$93</f>
        <v>0</v>
      </c>
      <c r="T146" s="166">
        <f>S137*'ABP Future Assumptions'!$B$93</f>
        <v>0</v>
      </c>
      <c r="U146" s="166">
        <f>T137*'ABP Future Assumptions'!$B$93</f>
        <v>0</v>
      </c>
    </row>
    <row r="147" spans="1:21" x14ac:dyDescent="0.35">
      <c r="A147" s="164" t="s">
        <v>137</v>
      </c>
      <c r="B147" s="164"/>
      <c r="C147" s="166"/>
      <c r="D147" s="166"/>
      <c r="E147" s="166"/>
      <c r="F147" s="166"/>
      <c r="G147" s="166"/>
      <c r="H147" s="166"/>
      <c r="I147" s="166"/>
      <c r="J147" s="166"/>
      <c r="K147" s="166"/>
      <c r="L147" s="166"/>
      <c r="M147" s="166"/>
      <c r="N147" s="166"/>
      <c r="O147" s="166"/>
      <c r="P147" s="166"/>
      <c r="Q147" s="166">
        <f>P138*'ABP Future Assumptions'!$B$93</f>
        <v>0</v>
      </c>
      <c r="R147" s="166">
        <f>Q138*'ABP Future Assumptions'!$B$93</f>
        <v>4330338.8039544541</v>
      </c>
      <c r="S147" s="166">
        <f>R138*'ABP Future Assumptions'!$B$93</f>
        <v>4089764.4259569854</v>
      </c>
      <c r="T147" s="166">
        <f>S138*'ABP Future Assumptions'!$B$93</f>
        <v>4089764.4259569854</v>
      </c>
      <c r="U147" s="166">
        <f>T138*'ABP Future Assumptions'!$B$93</f>
        <v>4089764.4259569854</v>
      </c>
    </row>
    <row r="148" spans="1:21" x14ac:dyDescent="0.35">
      <c r="A148" s="164" t="s">
        <v>146</v>
      </c>
      <c r="B148" s="164"/>
      <c r="C148" s="166"/>
      <c r="D148" s="166"/>
      <c r="E148" s="166"/>
      <c r="F148" s="166"/>
      <c r="G148" s="166"/>
      <c r="H148" s="166"/>
      <c r="I148" s="166"/>
      <c r="J148" s="166"/>
      <c r="K148" s="166"/>
      <c r="L148" s="166"/>
      <c r="M148" s="166"/>
      <c r="N148" s="166"/>
      <c r="O148" s="166"/>
      <c r="P148" s="166"/>
      <c r="Q148" s="166">
        <f>P139*'ABP Future Assumptions'!$B$93</f>
        <v>0</v>
      </c>
      <c r="R148" s="166">
        <f>Q139*'ABP Future Assumptions'!$B$93</f>
        <v>0</v>
      </c>
      <c r="S148" s="166">
        <f>R139*'ABP Future Assumptions'!$B$93</f>
        <v>3640696.5166706806</v>
      </c>
      <c r="T148" s="166">
        <f>S139*'ABP Future Assumptions'!$B$93</f>
        <v>3622493.0340873259</v>
      </c>
      <c r="U148" s="166">
        <f>T139*'ABP Future Assumptions'!$B$93</f>
        <v>3604380.5689168898</v>
      </c>
    </row>
    <row r="149" spans="1:21" x14ac:dyDescent="0.35">
      <c r="A149" s="164" t="s">
        <v>151</v>
      </c>
      <c r="B149" s="164"/>
      <c r="C149" s="166"/>
      <c r="D149" s="166"/>
      <c r="E149" s="166"/>
      <c r="F149" s="166"/>
      <c r="G149" s="166"/>
      <c r="H149" s="166"/>
      <c r="I149" s="166"/>
      <c r="J149" s="166"/>
      <c r="K149" s="166"/>
      <c r="L149" s="166"/>
      <c r="M149" s="166"/>
      <c r="N149" s="166"/>
      <c r="O149" s="166"/>
      <c r="P149" s="166"/>
      <c r="Q149" s="166">
        <f>P140*'ABP Future Assumptions'!$B$93</f>
        <v>0</v>
      </c>
      <c r="R149" s="166">
        <f>Q140*'ABP Future Assumptions'!$B$93</f>
        <v>2229564.0585249811</v>
      </c>
      <c r="S149" s="166">
        <f>R140*'ABP Future Assumptions'!$B$93</f>
        <v>2218416.238232356</v>
      </c>
      <c r="T149" s="166">
        <f>S140*'ABP Future Assumptions'!$B$93</f>
        <v>2207324.1570411939</v>
      </c>
      <c r="U149" s="166">
        <f>T140*'ABP Future Assumptions'!$B$93</f>
        <v>2196287.5362559888</v>
      </c>
    </row>
    <row r="150" spans="1:21" x14ac:dyDescent="0.35">
      <c r="A150" s="164" t="s">
        <v>155</v>
      </c>
      <c r="B150" s="164"/>
      <c r="C150" s="166"/>
      <c r="D150" s="166"/>
      <c r="E150" s="166"/>
      <c r="F150" s="166"/>
      <c r="G150" s="166"/>
      <c r="H150" s="166"/>
      <c r="I150" s="166"/>
      <c r="J150" s="166"/>
      <c r="K150" s="166"/>
      <c r="L150" s="166"/>
      <c r="M150" s="166"/>
      <c r="N150" s="166"/>
      <c r="O150" s="166"/>
      <c r="P150" s="166"/>
      <c r="Q150" s="166">
        <f>P141*'ABP Future Assumptions'!$B$93</f>
        <v>0</v>
      </c>
      <c r="R150" s="166">
        <f>Q141*'ABP Future Assumptions'!$B$93</f>
        <v>0</v>
      </c>
      <c r="S150" s="166">
        <f>R141*'ABP Future Assumptions'!$B$93</f>
        <v>1480123.7336367369</v>
      </c>
      <c r="T150" s="166">
        <f>S141*'ABP Future Assumptions'!$B$93</f>
        <v>1397894.6373235849</v>
      </c>
      <c r="U150" s="166">
        <f>T141*'ABP Future Assumptions'!$B$93</f>
        <v>1397894.6373235849</v>
      </c>
    </row>
    <row r="151" spans="1:21" x14ac:dyDescent="0.35">
      <c r="A151" s="164" t="s">
        <v>158</v>
      </c>
      <c r="B151" s="164"/>
      <c r="C151" s="166"/>
      <c r="D151" s="166"/>
      <c r="E151" s="166"/>
      <c r="F151" s="166"/>
      <c r="G151" s="166"/>
      <c r="H151" s="166"/>
      <c r="I151" s="166"/>
      <c r="J151" s="166"/>
      <c r="K151" s="166"/>
      <c r="L151" s="166"/>
      <c r="M151" s="166"/>
      <c r="N151" s="166"/>
      <c r="O151" s="166"/>
      <c r="P151" s="166"/>
      <c r="Q151" s="166">
        <f>P142*'ABP Future Assumptions'!$B$93</f>
        <v>0</v>
      </c>
      <c r="R151" s="166">
        <f>Q142*'ABP Future Assumptions'!$B$93</f>
        <v>4811487.5599493952</v>
      </c>
      <c r="S151" s="166">
        <f>R142*'ABP Future Assumptions'!$B$93</f>
        <v>4544182.695507762</v>
      </c>
      <c r="T151" s="166">
        <f>S142*'ABP Future Assumptions'!$B$93</f>
        <v>4544182.695507762</v>
      </c>
      <c r="U151" s="166">
        <f>T142*'ABP Future Assumptions'!$B$93</f>
        <v>4544182.695507762</v>
      </c>
    </row>
    <row r="152" spans="1:21" x14ac:dyDescent="0.35">
      <c r="A152" s="163" t="s">
        <v>104</v>
      </c>
      <c r="B152" s="163"/>
      <c r="C152" s="18">
        <f t="shared" ref="C152:T152" si="35">SUM(C146:C151)</f>
        <v>0</v>
      </c>
      <c r="D152" s="18">
        <f t="shared" si="35"/>
        <v>0</v>
      </c>
      <c r="E152" s="18">
        <f t="shared" si="35"/>
        <v>0</v>
      </c>
      <c r="F152" s="18">
        <f t="shared" si="35"/>
        <v>0</v>
      </c>
      <c r="G152" s="18">
        <f t="shared" si="35"/>
        <v>0</v>
      </c>
      <c r="H152" s="18">
        <f t="shared" si="35"/>
        <v>0</v>
      </c>
      <c r="I152" s="18">
        <f t="shared" si="35"/>
        <v>0</v>
      </c>
      <c r="J152" s="18">
        <f t="shared" si="35"/>
        <v>0</v>
      </c>
      <c r="K152" s="18">
        <f t="shared" si="35"/>
        <v>0</v>
      </c>
      <c r="L152" s="18">
        <f t="shared" si="35"/>
        <v>0</v>
      </c>
      <c r="M152" s="18">
        <f t="shared" si="35"/>
        <v>0</v>
      </c>
      <c r="N152" s="18">
        <f t="shared" si="35"/>
        <v>0</v>
      </c>
      <c r="O152" s="18">
        <f t="shared" si="35"/>
        <v>0</v>
      </c>
      <c r="P152" s="18">
        <f t="shared" si="35"/>
        <v>0</v>
      </c>
      <c r="Q152" s="18">
        <f t="shared" si="35"/>
        <v>0</v>
      </c>
      <c r="R152" s="18">
        <f t="shared" si="35"/>
        <v>53559572.038593411</v>
      </c>
      <c r="S152" s="18">
        <f t="shared" si="35"/>
        <v>15973183.610004522</v>
      </c>
      <c r="T152" s="18">
        <f t="shared" si="35"/>
        <v>15861658.949916851</v>
      </c>
      <c r="U152" s="18">
        <f t="shared" ref="U152" si="36">SUM(U146:U151)</f>
        <v>15832509.863961212</v>
      </c>
    </row>
    <row r="154" spans="1:21" ht="15.5" x14ac:dyDescent="0.35">
      <c r="A154" s="77">
        <v>2040</v>
      </c>
      <c r="B154" s="220">
        <v>2024</v>
      </c>
      <c r="C154" s="220">
        <v>2025</v>
      </c>
      <c r="D154" s="220">
        <v>2026</v>
      </c>
      <c r="E154" s="220">
        <v>2027</v>
      </c>
      <c r="F154" s="220">
        <v>2028</v>
      </c>
      <c r="G154" s="220">
        <v>2029</v>
      </c>
      <c r="H154" s="220">
        <v>2030</v>
      </c>
      <c r="I154" s="220">
        <v>2031</v>
      </c>
      <c r="J154" s="220">
        <v>2032</v>
      </c>
      <c r="K154" s="220">
        <v>2033</v>
      </c>
      <c r="L154" s="220">
        <v>2034</v>
      </c>
      <c r="M154" s="220">
        <v>2035</v>
      </c>
      <c r="N154" s="220">
        <v>2036</v>
      </c>
      <c r="O154" s="220">
        <v>2037</v>
      </c>
      <c r="P154" s="220">
        <v>2038</v>
      </c>
      <c r="Q154" s="220">
        <v>2039</v>
      </c>
      <c r="R154" s="220">
        <v>2040</v>
      </c>
      <c r="S154" s="220">
        <v>2041</v>
      </c>
      <c r="T154" s="220">
        <v>2042</v>
      </c>
      <c r="U154" s="220">
        <v>2043</v>
      </c>
    </row>
    <row r="155" spans="1:21" x14ac:dyDescent="0.35">
      <c r="A155" s="164" t="s">
        <v>131</v>
      </c>
      <c r="B155" s="164"/>
      <c r="C155" s="166"/>
      <c r="D155" s="166"/>
      <c r="E155" s="166"/>
      <c r="F155" s="166"/>
      <c r="G155" s="166"/>
      <c r="H155" s="166"/>
      <c r="I155" s="166"/>
      <c r="J155" s="166"/>
      <c r="K155" s="166"/>
      <c r="L155" s="166"/>
      <c r="M155" s="166"/>
      <c r="N155" s="166"/>
      <c r="O155" s="166"/>
      <c r="P155" s="166"/>
      <c r="Q155" s="166"/>
      <c r="R155" s="166">
        <f>Q146*'ABP Future Assumptions'!$B$93</f>
        <v>0</v>
      </c>
      <c r="S155" s="166">
        <f>R146*'ABP Future Assumptions'!$B$93</f>
        <v>40500654.351517998</v>
      </c>
      <c r="T155" s="166">
        <f>S146*'ABP Future Assumptions'!$B$93</f>
        <v>0</v>
      </c>
      <c r="U155" s="166">
        <f>T146*'ABP Future Assumptions'!$B$93</f>
        <v>0</v>
      </c>
    </row>
    <row r="156" spans="1:21" x14ac:dyDescent="0.35">
      <c r="A156" s="164" t="s">
        <v>137</v>
      </c>
      <c r="B156" s="164"/>
      <c r="C156" s="166"/>
      <c r="D156" s="166"/>
      <c r="E156" s="166"/>
      <c r="F156" s="166"/>
      <c r="G156" s="166"/>
      <c r="H156" s="166"/>
      <c r="I156" s="166"/>
      <c r="J156" s="166"/>
      <c r="K156" s="166"/>
      <c r="L156" s="166"/>
      <c r="M156" s="166"/>
      <c r="N156" s="166"/>
      <c r="O156" s="166"/>
      <c r="P156" s="166"/>
      <c r="Q156" s="166"/>
      <c r="R156" s="166">
        <f>Q147*'ABP Future Assumptions'!$B$93</f>
        <v>0</v>
      </c>
      <c r="S156" s="166">
        <f>R147*'ABP Future Assumptions'!$B$93</f>
        <v>4157125.2517962758</v>
      </c>
      <c r="T156" s="166">
        <f>S147*'ABP Future Assumptions'!$B$93</f>
        <v>3926173.8489187057</v>
      </c>
      <c r="U156" s="166">
        <f>T147*'ABP Future Assumptions'!$B$93</f>
        <v>3926173.8489187057</v>
      </c>
    </row>
    <row r="157" spans="1:21" x14ac:dyDescent="0.35">
      <c r="A157" s="164" t="s">
        <v>146</v>
      </c>
      <c r="B157" s="164"/>
      <c r="C157" s="166"/>
      <c r="D157" s="166"/>
      <c r="E157" s="166"/>
      <c r="F157" s="166"/>
      <c r="G157" s="166"/>
      <c r="H157" s="166"/>
      <c r="I157" s="166"/>
      <c r="J157" s="166"/>
      <c r="K157" s="166"/>
      <c r="L157" s="166"/>
      <c r="M157" s="166"/>
      <c r="N157" s="166"/>
      <c r="O157" s="166"/>
      <c r="P157" s="166"/>
      <c r="Q157" s="166"/>
      <c r="R157" s="166">
        <f>Q148*'ABP Future Assumptions'!$B$93</f>
        <v>0</v>
      </c>
      <c r="S157" s="166">
        <f>R148*'ABP Future Assumptions'!$B$93</f>
        <v>0</v>
      </c>
      <c r="T157" s="166">
        <f>S148*'ABP Future Assumptions'!$B$93</f>
        <v>3495068.6560038533</v>
      </c>
      <c r="U157" s="166">
        <f>T148*'ABP Future Assumptions'!$B$93</f>
        <v>3477593.3127238327</v>
      </c>
    </row>
    <row r="158" spans="1:21" x14ac:dyDescent="0.35">
      <c r="A158" s="164" t="s">
        <v>151</v>
      </c>
      <c r="B158" s="164"/>
      <c r="C158" s="166"/>
      <c r="D158" s="166"/>
      <c r="E158" s="166"/>
      <c r="F158" s="166"/>
      <c r="G158" s="166"/>
      <c r="H158" s="166"/>
      <c r="I158" s="166"/>
      <c r="J158" s="166"/>
      <c r="K158" s="166"/>
      <c r="L158" s="166"/>
      <c r="M158" s="166"/>
      <c r="N158" s="166"/>
      <c r="O158" s="166"/>
      <c r="P158" s="166"/>
      <c r="Q158" s="166"/>
      <c r="R158" s="166">
        <f>Q149*'ABP Future Assumptions'!$B$93</f>
        <v>0</v>
      </c>
      <c r="S158" s="166">
        <f>R149*'ABP Future Assumptions'!$B$93</f>
        <v>2140381.4961839817</v>
      </c>
      <c r="T158" s="166">
        <f>S149*'ABP Future Assumptions'!$B$93</f>
        <v>2129679.5887030619</v>
      </c>
      <c r="U158" s="166">
        <f>T149*'ABP Future Assumptions'!$B$93</f>
        <v>2119031.1907595461</v>
      </c>
    </row>
    <row r="159" spans="1:21" x14ac:dyDescent="0.35">
      <c r="A159" s="164" t="s">
        <v>155</v>
      </c>
      <c r="B159" s="164"/>
      <c r="C159" s="166"/>
      <c r="D159" s="166"/>
      <c r="E159" s="166"/>
      <c r="F159" s="166"/>
      <c r="G159" s="166"/>
      <c r="H159" s="166"/>
      <c r="I159" s="166"/>
      <c r="J159" s="166"/>
      <c r="K159" s="166"/>
      <c r="L159" s="166"/>
      <c r="M159" s="166"/>
      <c r="N159" s="166"/>
      <c r="O159" s="166"/>
      <c r="P159" s="166"/>
      <c r="Q159" s="166"/>
      <c r="R159" s="166">
        <f>Q150*'ABP Future Assumptions'!$B$93</f>
        <v>0</v>
      </c>
      <c r="S159" s="166">
        <f>R150*'ABP Future Assumptions'!$B$93</f>
        <v>0</v>
      </c>
      <c r="T159" s="166">
        <f>S150*'ABP Future Assumptions'!$B$93</f>
        <v>1420918.7842912674</v>
      </c>
      <c r="U159" s="166">
        <f>T150*'ABP Future Assumptions'!$B$93</f>
        <v>1341978.8518306415</v>
      </c>
    </row>
    <row r="160" spans="1:21" x14ac:dyDescent="0.35">
      <c r="A160" s="164" t="s">
        <v>158</v>
      </c>
      <c r="B160" s="164"/>
      <c r="C160" s="166"/>
      <c r="D160" s="166"/>
      <c r="E160" s="166"/>
      <c r="F160" s="166"/>
      <c r="G160" s="166"/>
      <c r="H160" s="166"/>
      <c r="I160" s="166"/>
      <c r="J160" s="166"/>
      <c r="K160" s="166"/>
      <c r="L160" s="166"/>
      <c r="M160" s="166"/>
      <c r="N160" s="166"/>
      <c r="O160" s="166"/>
      <c r="P160" s="166"/>
      <c r="Q160" s="166"/>
      <c r="R160" s="166">
        <f>Q151*'ABP Future Assumptions'!$B$93</f>
        <v>0</v>
      </c>
      <c r="S160" s="166">
        <f>R151*'ABP Future Assumptions'!$B$93</f>
        <v>4619028.0575514194</v>
      </c>
      <c r="T160" s="166">
        <f>S151*'ABP Future Assumptions'!$B$93</f>
        <v>4362415.3876874512</v>
      </c>
      <c r="U160" s="166">
        <f>T151*'ABP Future Assumptions'!$B$93</f>
        <v>4362415.3876874512</v>
      </c>
    </row>
    <row r="161" spans="1:21" x14ac:dyDescent="0.35">
      <c r="A161" s="163" t="s">
        <v>104</v>
      </c>
      <c r="B161" s="163"/>
      <c r="C161" s="18">
        <f t="shared" ref="C161:T161" si="37">SUM(C155:C160)</f>
        <v>0</v>
      </c>
      <c r="D161" s="18">
        <f t="shared" si="37"/>
        <v>0</v>
      </c>
      <c r="E161" s="18">
        <f t="shared" si="37"/>
        <v>0</v>
      </c>
      <c r="F161" s="18">
        <f t="shared" si="37"/>
        <v>0</v>
      </c>
      <c r="G161" s="18">
        <f t="shared" si="37"/>
        <v>0</v>
      </c>
      <c r="H161" s="18">
        <f t="shared" si="37"/>
        <v>0</v>
      </c>
      <c r="I161" s="18">
        <f t="shared" si="37"/>
        <v>0</v>
      </c>
      <c r="J161" s="18">
        <f t="shared" si="37"/>
        <v>0</v>
      </c>
      <c r="K161" s="18">
        <f t="shared" si="37"/>
        <v>0</v>
      </c>
      <c r="L161" s="18">
        <f t="shared" si="37"/>
        <v>0</v>
      </c>
      <c r="M161" s="18">
        <f t="shared" si="37"/>
        <v>0</v>
      </c>
      <c r="N161" s="18">
        <f t="shared" si="37"/>
        <v>0</v>
      </c>
      <c r="O161" s="18">
        <f t="shared" si="37"/>
        <v>0</v>
      </c>
      <c r="P161" s="18">
        <f t="shared" si="37"/>
        <v>0</v>
      </c>
      <c r="Q161" s="18">
        <f t="shared" si="37"/>
        <v>0</v>
      </c>
      <c r="R161" s="18">
        <f t="shared" si="37"/>
        <v>0</v>
      </c>
      <c r="S161" s="18">
        <f t="shared" si="37"/>
        <v>51417189.157049678</v>
      </c>
      <c r="T161" s="18">
        <f t="shared" si="37"/>
        <v>15334256.26560434</v>
      </c>
      <c r="U161" s="18">
        <f t="shared" ref="U161" si="38">SUM(U155:U160)</f>
        <v>15227192.591920175</v>
      </c>
    </row>
    <row r="164" spans="1:21" ht="15.5" x14ac:dyDescent="0.35">
      <c r="A164" s="165" t="s">
        <v>103</v>
      </c>
      <c r="B164" s="220">
        <v>2024</v>
      </c>
      <c r="C164" s="220">
        <v>2025</v>
      </c>
      <c r="D164" s="220">
        <v>2026</v>
      </c>
      <c r="E164" s="220">
        <v>2027</v>
      </c>
      <c r="F164" s="220">
        <v>2028</v>
      </c>
      <c r="G164" s="220">
        <v>2029</v>
      </c>
      <c r="H164" s="220">
        <v>2030</v>
      </c>
      <c r="I164" s="220">
        <v>2031</v>
      </c>
      <c r="J164" s="220">
        <v>2032</v>
      </c>
      <c r="K164" s="220">
        <v>2033</v>
      </c>
      <c r="L164" s="220">
        <v>2034</v>
      </c>
      <c r="M164" s="220">
        <v>2035</v>
      </c>
      <c r="N164" s="220">
        <v>2036</v>
      </c>
      <c r="O164" s="220">
        <v>2037</v>
      </c>
      <c r="P164" s="220">
        <v>2038</v>
      </c>
      <c r="Q164" s="220">
        <v>2039</v>
      </c>
      <c r="R164" s="220">
        <v>2040</v>
      </c>
      <c r="S164" s="220">
        <v>2041</v>
      </c>
      <c r="T164" s="220">
        <v>2042</v>
      </c>
      <c r="U164" s="220">
        <v>2043</v>
      </c>
    </row>
    <row r="165" spans="1:21" x14ac:dyDescent="0.35">
      <c r="A165" s="164" t="s">
        <v>131</v>
      </c>
      <c r="B165" s="181">
        <f>SUMIFS(B2:B161, $A$2:$A$161, $A$165)</f>
        <v>102851422.74519978</v>
      </c>
      <c r="C165" s="181">
        <f t="shared" ref="C165:D165" si="39">SUMIFS(C2:C161, $A$2:$A$161, $A$165)</f>
        <v>155651140.42152998</v>
      </c>
      <c r="D165" s="181">
        <f t="shared" si="39"/>
        <v>149425094.80466878</v>
      </c>
      <c r="E165" s="181">
        <f>SUMIFS(E2:E161, $A$2:$A$161, $A$165)</f>
        <v>143448091.01248202</v>
      </c>
      <c r="F165" s="181">
        <f t="shared" ref="F165:U165" si="40">SUMIFS(F2:F161, $A$2:$A$161, $A$165)</f>
        <v>137710167.37198272</v>
      </c>
      <c r="G165" s="181">
        <f t="shared" si="40"/>
        <v>132201760.67710342</v>
      </c>
      <c r="H165" s="181">
        <f t="shared" si="40"/>
        <v>126913690.25001927</v>
      </c>
      <c r="I165" s="181">
        <f t="shared" si="40"/>
        <v>121837142.64001849</v>
      </c>
      <c r="J165" s="181">
        <f t="shared" si="40"/>
        <v>116963656.93441775</v>
      </c>
      <c r="K165" s="181">
        <f t="shared" si="40"/>
        <v>112285110.65704104</v>
      </c>
      <c r="L165" s="181">
        <f t="shared" si="40"/>
        <v>53896853.115379699</v>
      </c>
      <c r="M165" s="181">
        <f t="shared" si="40"/>
        <v>51740978.990764506</v>
      </c>
      <c r="N165" s="181">
        <f t="shared" si="40"/>
        <v>49671339.831133924</v>
      </c>
      <c r="O165" s="181">
        <f t="shared" si="40"/>
        <v>47684486.237888567</v>
      </c>
      <c r="P165" s="181">
        <f t="shared" si="40"/>
        <v>45777106.788373023</v>
      </c>
      <c r="Q165" s="181">
        <f t="shared" si="40"/>
        <v>43946022.516838104</v>
      </c>
      <c r="R165" s="181">
        <f t="shared" si="40"/>
        <v>42188181.61616458</v>
      </c>
      <c r="S165" s="181">
        <f t="shared" si="40"/>
        <v>40500654.351517998</v>
      </c>
      <c r="T165" s="181">
        <f t="shared" si="40"/>
        <v>0</v>
      </c>
      <c r="U165" s="181">
        <f t="shared" si="40"/>
        <v>0</v>
      </c>
    </row>
    <row r="166" spans="1:21" x14ac:dyDescent="0.35">
      <c r="A166" s="164" t="s">
        <v>137</v>
      </c>
      <c r="B166" s="181">
        <f>SUMIFS(B2:B161, $A$2:$A$161, $A$166)</f>
        <v>14056875.504489457</v>
      </c>
      <c r="C166" s="181">
        <f t="shared" ref="C166:D166" si="41">SUMIFS(C2:C161, $A$2:$A$161, $A$166)</f>
        <v>29252501.730252042</v>
      </c>
      <c r="D166" s="181">
        <f t="shared" si="41"/>
        <v>43702416.058679685</v>
      </c>
      <c r="E166" s="181">
        <f>SUMIFS(E2:E161, $A$2:$A$161, $A$166)</f>
        <v>57574333.813970216</v>
      </c>
      <c r="F166" s="181">
        <f t="shared" ref="F166:U166" si="42">SUMIFS(F2:F161, $A$2:$A$161, $A$166)</f>
        <v>70891374.859049127</v>
      </c>
      <c r="G166" s="181">
        <f t="shared" si="42"/>
        <v>83675734.262324885</v>
      </c>
      <c r="H166" s="181">
        <f t="shared" si="42"/>
        <v>95948719.2894696</v>
      </c>
      <c r="I166" s="181">
        <f t="shared" si="42"/>
        <v>94454846.939066276</v>
      </c>
      <c r="J166" s="181">
        <f t="shared" si="42"/>
        <v>90676653.061503619</v>
      </c>
      <c r="K166" s="181">
        <f t="shared" si="42"/>
        <v>87049586.939043477</v>
      </c>
      <c r="L166" s="181">
        <f t="shared" si="42"/>
        <v>78035446.693503425</v>
      </c>
      <c r="M166" s="181">
        <f t="shared" si="42"/>
        <v>69689214.100450456</v>
      </c>
      <c r="N166" s="181">
        <f t="shared" si="42"/>
        <v>61676830.811119616</v>
      </c>
      <c r="O166" s="181">
        <f t="shared" si="42"/>
        <v>53984942.853361979</v>
      </c>
      <c r="P166" s="181">
        <f t="shared" si="42"/>
        <v>46600730.413914673</v>
      </c>
      <c r="Q166" s="181">
        <f t="shared" si="42"/>
        <v>39511886.472045258</v>
      </c>
      <c r="R166" s="181">
        <f t="shared" si="42"/>
        <v>32706596.287850611</v>
      </c>
      <c r="S166" s="181">
        <f t="shared" si="42"/>
        <v>31398332.436336588</v>
      </c>
      <c r="T166" s="181">
        <f t="shared" si="42"/>
        <v>26151558.897158697</v>
      </c>
      <c r="U166" s="181">
        <f t="shared" si="42"/>
        <v>21336369.646310393</v>
      </c>
    </row>
    <row r="167" spans="1:21" x14ac:dyDescent="0.35">
      <c r="A167" s="164" t="s">
        <v>146</v>
      </c>
      <c r="B167" s="181">
        <f>SUMIFS(B2:B161, $A$2:$A$161, $A$167)</f>
        <v>0</v>
      </c>
      <c r="C167" s="181">
        <f t="shared" ref="C167:D167" si="43">SUMIFS(C2:C161, $A$2:$A$161, $A$167)</f>
        <v>8728917.1706380751</v>
      </c>
      <c r="D167" s="181">
        <f t="shared" si="43"/>
        <v>22117436.357668564</v>
      </c>
      <c r="E167" s="181">
        <f>SUMIFS(E2:E161, $A$2:$A$161, $A$167)</f>
        <v>34901726.397848554</v>
      </c>
      <c r="F167" s="181">
        <f t="shared" ref="F167:U167" si="44">SUMIFS(F2:F161, $A$2:$A$161, $A$167)</f>
        <v>47106299.898948908</v>
      </c>
      <c r="G167" s="181">
        <f t="shared" si="44"/>
        <v>58754687.247220181</v>
      </c>
      <c r="H167" s="181">
        <f t="shared" si="44"/>
        <v>69869475.904839456</v>
      </c>
      <c r="I167" s="181">
        <f t="shared" si="44"/>
        <v>80472348.135416418</v>
      </c>
      <c r="J167" s="181">
        <f t="shared" si="44"/>
        <v>90584117.220436439</v>
      </c>
      <c r="K167" s="181">
        <f t="shared" si="44"/>
        <v>100224762.22700348</v>
      </c>
      <c r="L167" s="181">
        <f t="shared" si="44"/>
        <v>109413461.38483094</v>
      </c>
      <c r="M167" s="181">
        <f t="shared" si="44"/>
        <v>113517509.10300875</v>
      </c>
      <c r="N167" s="181">
        <f t="shared" si="44"/>
        <v>117414991.98159161</v>
      </c>
      <c r="O167" s="181">
        <f t="shared" si="44"/>
        <v>121114384.62881763</v>
      </c>
      <c r="P167" s="181">
        <f t="shared" si="44"/>
        <v>124623821.60852216</v>
      </c>
      <c r="Q167" s="181">
        <f t="shared" si="44"/>
        <v>127951111.04721424</v>
      </c>
      <c r="R167" s="181">
        <f t="shared" si="44"/>
        <v>131103747.69684345</v>
      </c>
      <c r="S167" s="181">
        <f t="shared" si="44"/>
        <v>134088925.47502992</v>
      </c>
      <c r="T167" s="181">
        <f t="shared" si="44"/>
        <v>136913549.50365862</v>
      </c>
      <c r="U167" s="181">
        <f t="shared" si="44"/>
        <v>136228981.75614029</v>
      </c>
    </row>
    <row r="168" spans="1:21" x14ac:dyDescent="0.35">
      <c r="A168" s="164" t="s">
        <v>151</v>
      </c>
      <c r="B168" s="181">
        <f>SUMIFS(B2:B161, $A$2:$A$161, $A$168)</f>
        <v>0</v>
      </c>
      <c r="C168" s="181">
        <f t="shared" ref="C168:D168" si="45">SUMIFS(C2:C161, $A$2:$A$161, $A$168)</f>
        <v>25543085.109855887</v>
      </c>
      <c r="D168" s="181">
        <f t="shared" si="45"/>
        <v>33312197.849342488</v>
      </c>
      <c r="E168" s="181">
        <f>SUMIFS(E2:E161, $A$2:$A$161, $A$168)</f>
        <v>40726591.898530222</v>
      </c>
      <c r="F168" s="181">
        <f t="shared" ref="F168:U168" si="46">SUMIFS(F2:F161, $A$2:$A$161, $A$168)</f>
        <v>47800675.775934637</v>
      </c>
      <c r="G168" s="181">
        <f t="shared" si="46"/>
        <v>54548280.560476139</v>
      </c>
      <c r="H168" s="181">
        <f t="shared" si="46"/>
        <v>60982682.994558103</v>
      </c>
      <c r="I168" s="181">
        <f t="shared" si="46"/>
        <v>67116627.66299428</v>
      </c>
      <c r="J168" s="181">
        <f t="shared" si="46"/>
        <v>72962348.284751892</v>
      </c>
      <c r="K168" s="181">
        <f t="shared" si="46"/>
        <v>78531588.152997836</v>
      </c>
      <c r="L168" s="181">
        <f t="shared" si="46"/>
        <v>80987274.984874293</v>
      </c>
      <c r="M168" s="181">
        <f t="shared" si="46"/>
        <v>83316749.591685742</v>
      </c>
      <c r="N168" s="181">
        <f t="shared" si="46"/>
        <v>85525200.386193693</v>
      </c>
      <c r="O168" s="181">
        <f t="shared" si="46"/>
        <v>87617607.5450304</v>
      </c>
      <c r="P168" s="181">
        <f t="shared" si="46"/>
        <v>89598751.341642231</v>
      </c>
      <c r="Q168" s="181">
        <f t="shared" si="46"/>
        <v>91473220.145897582</v>
      </c>
      <c r="R168" s="181">
        <f t="shared" si="46"/>
        <v>93245418.103693068</v>
      </c>
      <c r="S168" s="181">
        <f t="shared" si="46"/>
        <v>94919572.5093586</v>
      </c>
      <c r="T168" s="181">
        <f t="shared" si="46"/>
        <v>94444974.646811783</v>
      </c>
      <c r="U168" s="181">
        <f t="shared" si="46"/>
        <v>93972749.773577705</v>
      </c>
    </row>
    <row r="169" spans="1:21" x14ac:dyDescent="0.35">
      <c r="A169" s="164" t="s">
        <v>155</v>
      </c>
      <c r="B169" s="181">
        <f>SUMIFS(B2:B161, $A$2:$A$161, $A$169)</f>
        <v>4371335.7866010079</v>
      </c>
      <c r="C169" s="181">
        <f t="shared" ref="C169:D169" si="47">SUMIFS(C2:C161, $A$2:$A$161, $A$169)</f>
        <v>4128483.7984565073</v>
      </c>
      <c r="D169" s="181">
        <f t="shared" si="47"/>
        <v>9589324.6851672735</v>
      </c>
      <c r="E169" s="181">
        <f>SUMIFS(E2:E161, $A$2:$A$161, $A$169)</f>
        <v>14528351.8871479</v>
      </c>
      <c r="F169" s="181">
        <f t="shared" ref="F169:U169" si="48">SUMIFS(F2:F161, $A$2:$A$161, $A$169)</f>
        <v>19269818.001049299</v>
      </c>
      <c r="G169" s="181">
        <f t="shared" si="48"/>
        <v>23821625.470394641</v>
      </c>
      <c r="H169" s="181">
        <f t="shared" si="48"/>
        <v>28191360.640966173</v>
      </c>
      <c r="I169" s="181">
        <f t="shared" si="48"/>
        <v>28257822.606258333</v>
      </c>
      <c r="J169" s="181">
        <f t="shared" si="48"/>
        <v>32284970.539457057</v>
      </c>
      <c r="K169" s="181">
        <f t="shared" si="48"/>
        <v>30993571.717878774</v>
      </c>
      <c r="L169" s="181">
        <f t="shared" si="48"/>
        <v>29753828.849163622</v>
      </c>
      <c r="M169" s="181">
        <f t="shared" si="48"/>
        <v>26672766.715279326</v>
      </c>
      <c r="N169" s="181">
        <f t="shared" si="48"/>
        <v>23819997.56563472</v>
      </c>
      <c r="O169" s="181">
        <f t="shared" si="48"/>
        <v>21081339.181975897</v>
      </c>
      <c r="P169" s="181">
        <f t="shared" si="48"/>
        <v>18452227.133663423</v>
      </c>
      <c r="Q169" s="181">
        <f t="shared" si="48"/>
        <v>15928279.567283457</v>
      </c>
      <c r="R169" s="181">
        <f t="shared" si="48"/>
        <v>13505289.903558688</v>
      </c>
      <c r="S169" s="181">
        <f t="shared" si="48"/>
        <v>11179219.826382907</v>
      </c>
      <c r="T169" s="181">
        <f t="shared" si="48"/>
        <v>10732051.033327591</v>
      </c>
      <c r="U169" s="181">
        <f t="shared" si="48"/>
        <v>8938686.9590748679</v>
      </c>
    </row>
    <row r="170" spans="1:21" x14ac:dyDescent="0.35">
      <c r="A170" s="164" t="s">
        <v>158</v>
      </c>
      <c r="B170" s="181">
        <f>SUMIFS(B2:B161, $A$2:$A$161, $A$170)</f>
        <v>10983358.4301585</v>
      </c>
      <c r="C170" s="181">
        <f t="shared" ref="C170:D170" si="49">SUMIFS(C2:C161, $A$2:$A$161, $A$170)</f>
        <v>28124909.354916111</v>
      </c>
      <c r="D170" s="181">
        <f t="shared" si="49"/>
        <v>44180369.719835714</v>
      </c>
      <c r="E170" s="181">
        <f>SUMIFS(E2:E161, $A$2:$A$161, $A$170)</f>
        <v>59593611.67015852</v>
      </c>
      <c r="F170" s="181">
        <f t="shared" ref="F170:U170" si="50">SUMIFS(F2:F161, $A$2:$A$161, $A$170)</f>
        <v>74390323.942468435</v>
      </c>
      <c r="G170" s="181">
        <f t="shared" si="50"/>
        <v>88595167.723885924</v>
      </c>
      <c r="H170" s="181">
        <f t="shared" si="50"/>
        <v>102231817.75404674</v>
      </c>
      <c r="I170" s="181">
        <f t="shared" si="50"/>
        <v>104949829.93229586</v>
      </c>
      <c r="J170" s="181">
        <f t="shared" si="50"/>
        <v>100751836.73500402</v>
      </c>
      <c r="K170" s="181">
        <f t="shared" si="50"/>
        <v>96721763.265603855</v>
      </c>
      <c r="L170" s="181">
        <f t="shared" si="50"/>
        <v>86706051.88167049</v>
      </c>
      <c r="M170" s="181">
        <f t="shared" si="50"/>
        <v>77432460.11161162</v>
      </c>
      <c r="N170" s="181">
        <f t="shared" si="50"/>
        <v>68529812.012355119</v>
      </c>
      <c r="O170" s="181">
        <f t="shared" si="50"/>
        <v>59983269.837068878</v>
      </c>
      <c r="P170" s="181">
        <f t="shared" si="50"/>
        <v>51778589.348794088</v>
      </c>
      <c r="Q170" s="181">
        <f t="shared" si="50"/>
        <v>43902096.080050297</v>
      </c>
      <c r="R170" s="181">
        <f t="shared" si="50"/>
        <v>36340662.54205624</v>
      </c>
      <c r="S170" s="181">
        <f t="shared" si="50"/>
        <v>34887036.040373988</v>
      </c>
      <c r="T170" s="181">
        <f t="shared" si="50"/>
        <v>29057287.663509663</v>
      </c>
      <c r="U170" s="181">
        <f t="shared" si="50"/>
        <v>23707077.384789325</v>
      </c>
    </row>
    <row r="171" spans="1:21" x14ac:dyDescent="0.35">
      <c r="A171" s="163" t="s">
        <v>104</v>
      </c>
      <c r="B171" s="181">
        <f>SUMIFS(B2:B161, $A$2:$A$161, $A$171)</f>
        <v>132262992.46644874</v>
      </c>
      <c r="C171" s="181">
        <f t="shared" ref="C171:U171" si="51">SUMIFS(C2:C161, $A$2:$A$161, $A$171)</f>
        <v>251429037.5856486</v>
      </c>
      <c r="D171" s="181">
        <f t="shared" si="51"/>
        <v>302326839.47536248</v>
      </c>
      <c r="E171" s="181">
        <f t="shared" si="51"/>
        <v>350772706.68013746</v>
      </c>
      <c r="F171" s="181">
        <f t="shared" si="51"/>
        <v>397168659.84943318</v>
      </c>
      <c r="G171" s="181">
        <f t="shared" si="51"/>
        <v>441597255.94140524</v>
      </c>
      <c r="H171" s="181">
        <f t="shared" si="51"/>
        <v>484137746.83389938</v>
      </c>
      <c r="I171" s="181">
        <f t="shared" si="51"/>
        <v>497088617.9160496</v>
      </c>
      <c r="J171" s="181">
        <f t="shared" si="51"/>
        <v>504223582.77557075</v>
      </c>
      <c r="K171" s="181">
        <f t="shared" si="51"/>
        <v>505806382.9595685</v>
      </c>
      <c r="L171" s="181">
        <f t="shared" si="51"/>
        <v>438792916.90942252</v>
      </c>
      <c r="M171" s="181">
        <f t="shared" si="51"/>
        <v>422369678.61280036</v>
      </c>
      <c r="N171" s="181">
        <f t="shared" si="51"/>
        <v>406638172.58802867</v>
      </c>
      <c r="O171" s="181">
        <f t="shared" si="51"/>
        <v>391466030.28414333</v>
      </c>
      <c r="P171" s="181">
        <f t="shared" si="51"/>
        <v>376831226.63490969</v>
      </c>
      <c r="Q171" s="181">
        <f t="shared" si="51"/>
        <v>362712615.82932889</v>
      </c>
      <c r="R171" s="181">
        <f t="shared" si="51"/>
        <v>349089896.15016657</v>
      </c>
      <c r="S171" s="181">
        <f t="shared" si="51"/>
        <v>346973740.63899994</v>
      </c>
      <c r="T171" s="181">
        <f t="shared" si="51"/>
        <v>297299421.7444663</v>
      </c>
      <c r="U171" s="181">
        <f t="shared" si="51"/>
        <v>284183865.51989269</v>
      </c>
    </row>
    <row r="173" spans="1:21" x14ac:dyDescent="0.35">
      <c r="A173" s="177"/>
      <c r="B173" s="177">
        <v>2024</v>
      </c>
      <c r="C173" s="177">
        <f>C164</f>
        <v>2025</v>
      </c>
      <c r="D173" s="177">
        <f t="shared" ref="D173:U173" si="52">D164</f>
        <v>2026</v>
      </c>
      <c r="E173" s="177">
        <f t="shared" si="52"/>
        <v>2027</v>
      </c>
      <c r="F173" s="177">
        <f t="shared" si="52"/>
        <v>2028</v>
      </c>
      <c r="G173" s="177">
        <f t="shared" si="52"/>
        <v>2029</v>
      </c>
      <c r="H173" s="177">
        <f t="shared" si="52"/>
        <v>2030</v>
      </c>
      <c r="I173" s="177">
        <f t="shared" si="52"/>
        <v>2031</v>
      </c>
      <c r="J173" s="177">
        <f t="shared" si="52"/>
        <v>2032</v>
      </c>
      <c r="K173" s="177">
        <f t="shared" si="52"/>
        <v>2033</v>
      </c>
      <c r="L173" s="177">
        <f t="shared" si="52"/>
        <v>2034</v>
      </c>
      <c r="M173" s="177">
        <f t="shared" si="52"/>
        <v>2035</v>
      </c>
      <c r="N173" s="177">
        <f t="shared" si="52"/>
        <v>2036</v>
      </c>
      <c r="O173" s="177">
        <f t="shared" si="52"/>
        <v>2037</v>
      </c>
      <c r="P173" s="177">
        <f t="shared" si="52"/>
        <v>2038</v>
      </c>
      <c r="Q173" s="177">
        <f t="shared" si="52"/>
        <v>2039</v>
      </c>
      <c r="R173" s="177">
        <f t="shared" si="52"/>
        <v>2040</v>
      </c>
      <c r="S173" s="177">
        <f t="shared" si="52"/>
        <v>2041</v>
      </c>
      <c r="T173" s="177">
        <f t="shared" si="52"/>
        <v>2042</v>
      </c>
      <c r="U173" s="177">
        <f t="shared" si="52"/>
        <v>2043</v>
      </c>
    </row>
    <row r="174" spans="1:21" x14ac:dyDescent="0.35">
      <c r="A174" s="177" t="s">
        <v>174</v>
      </c>
      <c r="B174" s="256">
        <f>B8</f>
        <v>132262992.46644874</v>
      </c>
      <c r="C174" s="256">
        <f>C8</f>
        <v>53823733.234205611</v>
      </c>
      <c r="D174" s="256">
        <f t="shared" ref="D174:U174" si="53">D8</f>
        <v>53693502.536162704</v>
      </c>
      <c r="E174" s="256">
        <f t="shared" si="53"/>
        <v>53563922.991610005</v>
      </c>
      <c r="F174" s="256">
        <f t="shared" si="53"/>
        <v>53434991.344780073</v>
      </c>
      <c r="G174" s="256">
        <f t="shared" si="53"/>
        <v>53306704.356184296</v>
      </c>
      <c r="H174" s="256">
        <f t="shared" si="53"/>
        <v>53179058.802531496</v>
      </c>
      <c r="I174" s="256">
        <f t="shared" si="53"/>
        <v>25274457.851022936</v>
      </c>
      <c r="J174" s="256">
        <f t="shared" si="53"/>
        <v>25148085.561767817</v>
      </c>
      <c r="K174" s="256">
        <f t="shared" si="53"/>
        <v>25022345.13395898</v>
      </c>
      <c r="L174" s="256">
        <f t="shared" si="53"/>
        <v>24897233.408289183</v>
      </c>
      <c r="M174" s="256">
        <f t="shared" si="53"/>
        <v>24772747.241247736</v>
      </c>
      <c r="N174" s="256">
        <f t="shared" si="53"/>
        <v>24648883.505041495</v>
      </c>
      <c r="O174" s="256">
        <f t="shared" si="53"/>
        <v>24525639.087516289</v>
      </c>
      <c r="P174" s="256">
        <f t="shared" si="53"/>
        <v>24403010.892078709</v>
      </c>
      <c r="Q174" s="256">
        <f t="shared" si="53"/>
        <v>24280995.837618314</v>
      </c>
      <c r="R174" s="256">
        <f t="shared" si="53"/>
        <v>24159590.858430225</v>
      </c>
      <c r="S174" s="256">
        <f t="shared" si="53"/>
        <v>24038792.904138073</v>
      </c>
      <c r="T174" s="256">
        <f t="shared" si="53"/>
        <v>23918598.939617384</v>
      </c>
      <c r="U174" s="256">
        <f t="shared" si="53"/>
        <v>23799005.944919296</v>
      </c>
    </row>
    <row r="175" spans="1:21" x14ac:dyDescent="0.35">
      <c r="A175" s="177" t="s">
        <v>94</v>
      </c>
      <c r="B175" s="256"/>
      <c r="C175" s="182">
        <f>C17+C26</f>
        <v>197605304.35144299</v>
      </c>
      <c r="D175" s="182">
        <f t="shared" ref="D175:U175" si="54">D17+D26</f>
        <v>248633336.93919981</v>
      </c>
      <c r="E175" s="182">
        <f t="shared" si="54"/>
        <v>115095735.19823757</v>
      </c>
      <c r="F175" s="182">
        <f t="shared" si="54"/>
        <v>114593185.18148655</v>
      </c>
      <c r="G175" s="182">
        <f t="shared" si="54"/>
        <v>114382936.53787406</v>
      </c>
      <c r="H175" s="182">
        <f t="shared" si="54"/>
        <v>114173739.13747963</v>
      </c>
      <c r="I175" s="182">
        <f t="shared" si="54"/>
        <v>113965587.72408716</v>
      </c>
      <c r="J175" s="182">
        <f t="shared" si="54"/>
        <v>81903970.3240944</v>
      </c>
      <c r="K175" s="182">
        <f t="shared" si="54"/>
        <v>45960107.909680903</v>
      </c>
      <c r="L175" s="182">
        <f t="shared" si="54"/>
        <v>40803900.778201163</v>
      </c>
      <c r="M175" s="182">
        <f t="shared" si="54"/>
        <v>40599881.274310157</v>
      </c>
      <c r="N175" s="182">
        <f t="shared" si="54"/>
        <v>40396881.8679386</v>
      </c>
      <c r="O175" s="182">
        <f t="shared" si="54"/>
        <v>40194897.458598912</v>
      </c>
      <c r="P175" s="182">
        <f t="shared" si="54"/>
        <v>39993922.971305907</v>
      </c>
      <c r="Q175" s="182">
        <f t="shared" si="54"/>
        <v>39793953.356449381</v>
      </c>
      <c r="R175" s="182">
        <f t="shared" si="54"/>
        <v>39594983.589667134</v>
      </c>
      <c r="S175" s="182">
        <f t="shared" si="54"/>
        <v>39397008.671718799</v>
      </c>
      <c r="T175" s="182">
        <f t="shared" si="54"/>
        <v>39200023.628360197</v>
      </c>
      <c r="U175" s="182">
        <f t="shared" si="54"/>
        <v>39004023.510218397</v>
      </c>
    </row>
    <row r="176" spans="1:21" x14ac:dyDescent="0.35">
      <c r="A176" s="177" t="s">
        <v>95</v>
      </c>
      <c r="B176" s="256"/>
      <c r="C176" s="257">
        <f>C35+C44</f>
        <v>0</v>
      </c>
      <c r="D176" s="257">
        <f t="shared" ref="D176:U176" si="55">D35+D44</f>
        <v>0</v>
      </c>
      <c r="E176" s="257">
        <f t="shared" si="55"/>
        <v>182113048.49028987</v>
      </c>
      <c r="F176" s="257">
        <f t="shared" si="55"/>
        <v>229140483.32316652</v>
      </c>
      <c r="G176" s="257">
        <f t="shared" si="55"/>
        <v>106072229.55869575</v>
      </c>
      <c r="H176" s="257">
        <f t="shared" si="55"/>
        <v>105609079.463258</v>
      </c>
      <c r="I176" s="257">
        <f t="shared" si="55"/>
        <v>105415314.31330472</v>
      </c>
      <c r="J176" s="257">
        <f t="shared" si="55"/>
        <v>105222517.98910122</v>
      </c>
      <c r="K176" s="257">
        <f t="shared" si="55"/>
        <v>105030685.64651874</v>
      </c>
      <c r="L176" s="257">
        <f t="shared" si="55"/>
        <v>75482699.050685391</v>
      </c>
      <c r="M176" s="257">
        <f t="shared" si="55"/>
        <v>42356835.449561916</v>
      </c>
      <c r="N176" s="257">
        <f t="shared" si="55"/>
        <v>37604874.957190186</v>
      </c>
      <c r="O176" s="257">
        <f t="shared" si="55"/>
        <v>37416850.582404241</v>
      </c>
      <c r="P176" s="257">
        <f t="shared" si="55"/>
        <v>37229766.329492211</v>
      </c>
      <c r="Q176" s="257">
        <f t="shared" si="55"/>
        <v>37043617.497844748</v>
      </c>
      <c r="R176" s="257">
        <f t="shared" si="55"/>
        <v>36858399.410355523</v>
      </c>
      <c r="S176" s="257">
        <f t="shared" si="55"/>
        <v>36674107.413303748</v>
      </c>
      <c r="T176" s="257">
        <f t="shared" si="55"/>
        <v>36490736.876237229</v>
      </c>
      <c r="U176" s="257">
        <f t="shared" si="55"/>
        <v>36308283.191856042</v>
      </c>
    </row>
    <row r="177" spans="1:21" x14ac:dyDescent="0.35">
      <c r="A177" s="177" t="s">
        <v>96</v>
      </c>
      <c r="B177" s="177"/>
      <c r="C177" s="257">
        <f>C53+C62</f>
        <v>0</v>
      </c>
      <c r="D177" s="257">
        <f t="shared" ref="D177:U177" si="56">D53+D62</f>
        <v>0</v>
      </c>
      <c r="E177" s="257">
        <f t="shared" si="56"/>
        <v>0</v>
      </c>
      <c r="F177" s="257">
        <f t="shared" si="56"/>
        <v>0</v>
      </c>
      <c r="G177" s="257">
        <f t="shared" si="56"/>
        <v>167835385.4886511</v>
      </c>
      <c r="H177" s="257">
        <f t="shared" si="56"/>
        <v>211175869.43063024</v>
      </c>
      <c r="I177" s="257">
        <f t="shared" si="56"/>
        <v>97756166.761293977</v>
      </c>
      <c r="J177" s="257">
        <f t="shared" si="56"/>
        <v>97329327.633338556</v>
      </c>
      <c r="K177" s="257">
        <f t="shared" si="56"/>
        <v>97150753.671141624</v>
      </c>
      <c r="L177" s="257">
        <f t="shared" si="56"/>
        <v>96973072.578755677</v>
      </c>
      <c r="M177" s="257">
        <f t="shared" si="56"/>
        <v>96796279.891831651</v>
      </c>
      <c r="N177" s="257">
        <f t="shared" si="56"/>
        <v>69564855.445111647</v>
      </c>
      <c r="O177" s="257">
        <f t="shared" si="56"/>
        <v>39036059.550316259</v>
      </c>
      <c r="P177" s="257">
        <f t="shared" si="56"/>
        <v>34656652.760546476</v>
      </c>
      <c r="Q177" s="257">
        <f t="shared" si="56"/>
        <v>34483369.496743739</v>
      </c>
      <c r="R177" s="257">
        <f t="shared" si="56"/>
        <v>34310952.649260022</v>
      </c>
      <c r="S177" s="257">
        <f t="shared" si="56"/>
        <v>34139397.886013716</v>
      </c>
      <c r="T177" s="257">
        <f t="shared" si="56"/>
        <v>33968700.896583647</v>
      </c>
      <c r="U177" s="257">
        <f t="shared" si="56"/>
        <v>33798857.392100736</v>
      </c>
    </row>
    <row r="178" spans="1:21" x14ac:dyDescent="0.35">
      <c r="A178" s="177" t="s">
        <v>97</v>
      </c>
      <c r="B178" s="177"/>
      <c r="C178" s="257">
        <f>C71+C80</f>
        <v>0</v>
      </c>
      <c r="D178" s="257">
        <f t="shared" ref="D178:U178" si="57">D71+D80</f>
        <v>0</v>
      </c>
      <c r="E178" s="257">
        <f t="shared" si="57"/>
        <v>0</v>
      </c>
      <c r="F178" s="257">
        <f t="shared" si="57"/>
        <v>0</v>
      </c>
      <c r="G178" s="257">
        <f t="shared" si="57"/>
        <v>0</v>
      </c>
      <c r="H178" s="257">
        <f t="shared" si="57"/>
        <v>0</v>
      </c>
      <c r="I178" s="257">
        <f t="shared" si="57"/>
        <v>154677091.26634082</v>
      </c>
      <c r="J178" s="257">
        <f t="shared" si="57"/>
        <v>194619681.26726878</v>
      </c>
      <c r="K178" s="257">
        <f t="shared" si="57"/>
        <v>90092083.287208527</v>
      </c>
      <c r="L178" s="257">
        <f t="shared" si="57"/>
        <v>89698708.346884802</v>
      </c>
      <c r="M178" s="257">
        <f t="shared" si="57"/>
        <v>89534134.583324105</v>
      </c>
      <c r="N178" s="257">
        <f t="shared" si="57"/>
        <v>89370383.688581213</v>
      </c>
      <c r="O178" s="257">
        <f t="shared" si="57"/>
        <v>89207451.548312038</v>
      </c>
      <c r="P178" s="257">
        <f t="shared" si="57"/>
        <v>64110970.778214894</v>
      </c>
      <c r="Q178" s="257">
        <f t="shared" si="57"/>
        <v>35975632.481571458</v>
      </c>
      <c r="R178" s="257">
        <f t="shared" si="57"/>
        <v>31939571.184119623</v>
      </c>
      <c r="S178" s="257">
        <f t="shared" si="57"/>
        <v>31779873.328199029</v>
      </c>
      <c r="T178" s="257">
        <f t="shared" si="57"/>
        <v>31620973.961558033</v>
      </c>
      <c r="U178" s="257">
        <f t="shared" si="57"/>
        <v>31462869.091750242</v>
      </c>
    </row>
    <row r="179" spans="1:21" x14ac:dyDescent="0.35">
      <c r="A179" s="177" t="s">
        <v>98</v>
      </c>
      <c r="B179" s="177"/>
      <c r="C179" s="257">
        <f>C89+C98</f>
        <v>0</v>
      </c>
      <c r="D179" s="257">
        <f t="shared" ref="D179:U179" si="58">D89+D98</f>
        <v>0</v>
      </c>
      <c r="E179" s="257">
        <f t="shared" si="58"/>
        <v>0</v>
      </c>
      <c r="F179" s="257">
        <f t="shared" si="58"/>
        <v>0</v>
      </c>
      <c r="G179" s="257">
        <f t="shared" si="58"/>
        <v>0</v>
      </c>
      <c r="H179" s="257">
        <f t="shared" si="58"/>
        <v>0</v>
      </c>
      <c r="I179" s="257">
        <f t="shared" si="58"/>
        <v>0</v>
      </c>
      <c r="J179" s="257">
        <f t="shared" si="58"/>
        <v>0</v>
      </c>
      <c r="K179" s="257">
        <f t="shared" si="58"/>
        <v>142550407.31105971</v>
      </c>
      <c r="L179" s="257">
        <f t="shared" si="58"/>
        <v>110937302.74660626</v>
      </c>
      <c r="M179" s="257">
        <f t="shared" si="58"/>
        <v>62622572.483588532</v>
      </c>
      <c r="N179" s="257">
        <f t="shared" si="58"/>
        <v>62402514.727839902</v>
      </c>
      <c r="O179" s="257">
        <f t="shared" si="58"/>
        <v>62288082.507259928</v>
      </c>
      <c r="P179" s="257">
        <f t="shared" si="58"/>
        <v>62174222.447782844</v>
      </c>
      <c r="Q179" s="257">
        <f t="shared" si="58"/>
        <v>62060931.68860314</v>
      </c>
      <c r="R179" s="257">
        <f t="shared" si="58"/>
        <v>38968698.17466753</v>
      </c>
      <c r="S179" s="257">
        <f t="shared" si="58"/>
        <v>24105834.568552792</v>
      </c>
      <c r="T179" s="257">
        <f t="shared" si="58"/>
        <v>22208376.207081765</v>
      </c>
      <c r="U179" s="257">
        <f t="shared" si="58"/>
        <v>22097334.326046355</v>
      </c>
    </row>
    <row r="180" spans="1:21" x14ac:dyDescent="0.35">
      <c r="A180" s="177" t="s">
        <v>99</v>
      </c>
      <c r="B180" s="177"/>
      <c r="C180" s="257">
        <f>C107+C116</f>
        <v>0</v>
      </c>
      <c r="D180" s="257">
        <f t="shared" ref="D180:U180" si="59">D107+D116</f>
        <v>0</v>
      </c>
      <c r="E180" s="257">
        <f t="shared" si="59"/>
        <v>0</v>
      </c>
      <c r="F180" s="257">
        <f t="shared" si="59"/>
        <v>0</v>
      </c>
      <c r="G180" s="257">
        <f t="shared" si="59"/>
        <v>0</v>
      </c>
      <c r="H180" s="257">
        <f t="shared" si="59"/>
        <v>0</v>
      </c>
      <c r="I180" s="257">
        <f t="shared" si="59"/>
        <v>0</v>
      </c>
      <c r="J180" s="257">
        <f t="shared" si="59"/>
        <v>0</v>
      </c>
      <c r="K180" s="257">
        <f t="shared" si="59"/>
        <v>0</v>
      </c>
      <c r="L180" s="257">
        <f t="shared" si="59"/>
        <v>0</v>
      </c>
      <c r="M180" s="257">
        <f t="shared" si="59"/>
        <v>65687227.688936308</v>
      </c>
      <c r="N180" s="257">
        <f t="shared" si="59"/>
        <v>82649778.396325588</v>
      </c>
      <c r="O180" s="257">
        <f t="shared" si="59"/>
        <v>38259700.511612028</v>
      </c>
      <c r="P180" s="257">
        <f t="shared" si="59"/>
        <v>38092644.685434937</v>
      </c>
      <c r="Q180" s="257">
        <f t="shared" si="59"/>
        <v>38022754.605461672</v>
      </c>
      <c r="R180" s="257">
        <f t="shared" si="59"/>
        <v>37953213.975888282</v>
      </c>
      <c r="S180" s="257">
        <f t="shared" si="59"/>
        <v>37884021.049462751</v>
      </c>
      <c r="T180" s="257">
        <f t="shared" si="59"/>
        <v>27226216.244368672</v>
      </c>
      <c r="U180" s="257">
        <f t="shared" si="59"/>
        <v>15277889.846023489</v>
      </c>
    </row>
    <row r="181" spans="1:21" x14ac:dyDescent="0.35">
      <c r="A181" s="177" t="s">
        <v>100</v>
      </c>
      <c r="B181" s="177"/>
      <c r="C181" s="257">
        <f>C125+C134</f>
        <v>0</v>
      </c>
      <c r="D181" s="257">
        <f t="shared" ref="D181:U181" si="60">D125+D134</f>
        <v>0</v>
      </c>
      <c r="E181" s="257">
        <f t="shared" si="60"/>
        <v>0</v>
      </c>
      <c r="F181" s="257">
        <f t="shared" si="60"/>
        <v>0</v>
      </c>
      <c r="G181" s="257">
        <f t="shared" si="60"/>
        <v>0</v>
      </c>
      <c r="H181" s="257">
        <f t="shared" si="60"/>
        <v>0</v>
      </c>
      <c r="I181" s="257">
        <f t="shared" si="60"/>
        <v>0</v>
      </c>
      <c r="J181" s="257">
        <f t="shared" si="60"/>
        <v>0</v>
      </c>
      <c r="K181" s="257">
        <f t="shared" si="60"/>
        <v>0</v>
      </c>
      <c r="L181" s="257">
        <f t="shared" si="60"/>
        <v>0</v>
      </c>
      <c r="M181" s="257">
        <f t="shared" si="60"/>
        <v>0</v>
      </c>
      <c r="N181" s="257">
        <f t="shared" si="60"/>
        <v>0</v>
      </c>
      <c r="O181" s="257">
        <f t="shared" si="60"/>
        <v>60537349.038123697</v>
      </c>
      <c r="P181" s="257">
        <f t="shared" si="60"/>
        <v>76170035.77005367</v>
      </c>
      <c r="Q181" s="257">
        <f t="shared" si="60"/>
        <v>35260139.991501644</v>
      </c>
      <c r="R181" s="257">
        <f t="shared" si="60"/>
        <v>35106181.342096843</v>
      </c>
      <c r="S181" s="257">
        <f t="shared" si="60"/>
        <v>35041770.644393481</v>
      </c>
      <c r="T181" s="257">
        <f t="shared" si="60"/>
        <v>34977682.000178635</v>
      </c>
      <c r="U181" s="257">
        <f t="shared" si="60"/>
        <v>34913913.799184874</v>
      </c>
    </row>
    <row r="182" spans="1:21" x14ac:dyDescent="0.35">
      <c r="A182" s="177" t="s">
        <v>101</v>
      </c>
      <c r="B182" s="177"/>
      <c r="C182" s="257">
        <f>C143+C152</f>
        <v>0</v>
      </c>
      <c r="D182" s="257">
        <f t="shared" ref="D182:U182" si="61">D143+D152</f>
        <v>0</v>
      </c>
      <c r="E182" s="257">
        <f t="shared" si="61"/>
        <v>0</v>
      </c>
      <c r="F182" s="257">
        <f t="shared" si="61"/>
        <v>0</v>
      </c>
      <c r="G182" s="257">
        <f t="shared" si="61"/>
        <v>0</v>
      </c>
      <c r="H182" s="257">
        <f t="shared" si="61"/>
        <v>0</v>
      </c>
      <c r="I182" s="257">
        <f t="shared" si="61"/>
        <v>0</v>
      </c>
      <c r="J182" s="257">
        <f t="shared" si="61"/>
        <v>0</v>
      </c>
      <c r="K182" s="257">
        <f t="shared" si="61"/>
        <v>0</v>
      </c>
      <c r="L182" s="257">
        <f t="shared" si="61"/>
        <v>0</v>
      </c>
      <c r="M182" s="257">
        <f t="shared" si="61"/>
        <v>0</v>
      </c>
      <c r="N182" s="257">
        <f t="shared" si="61"/>
        <v>0</v>
      </c>
      <c r="O182" s="257">
        <f t="shared" si="61"/>
        <v>0</v>
      </c>
      <c r="P182" s="257">
        <f t="shared" si="61"/>
        <v>0</v>
      </c>
      <c r="Q182" s="257">
        <f t="shared" si="61"/>
        <v>55791220.873534806</v>
      </c>
      <c r="R182" s="257">
        <f t="shared" si="61"/>
        <v>70198304.965681449</v>
      </c>
      <c r="S182" s="257">
        <f t="shared" si="61"/>
        <v>32495745.016167909</v>
      </c>
      <c r="T182" s="257">
        <f t="shared" si="61"/>
        <v>32353856.724876445</v>
      </c>
      <c r="U182" s="257">
        <f t="shared" si="61"/>
        <v>32294495.825873032</v>
      </c>
    </row>
    <row r="183" spans="1:21" x14ac:dyDescent="0.35">
      <c r="A183" s="177" t="s">
        <v>102</v>
      </c>
      <c r="B183" s="177"/>
      <c r="C183" s="257">
        <f>C161*2</f>
        <v>0</v>
      </c>
      <c r="D183" s="257">
        <f t="shared" ref="D183:U183" si="62">D161*2</f>
        <v>0</v>
      </c>
      <c r="E183" s="257">
        <f t="shared" si="62"/>
        <v>0</v>
      </c>
      <c r="F183" s="257">
        <f t="shared" si="62"/>
        <v>0</v>
      </c>
      <c r="G183" s="257">
        <f t="shared" si="62"/>
        <v>0</v>
      </c>
      <c r="H183" s="257">
        <f t="shared" si="62"/>
        <v>0</v>
      </c>
      <c r="I183" s="257">
        <f t="shared" si="62"/>
        <v>0</v>
      </c>
      <c r="J183" s="257">
        <f t="shared" si="62"/>
        <v>0</v>
      </c>
      <c r="K183" s="257">
        <f t="shared" si="62"/>
        <v>0</v>
      </c>
      <c r="L183" s="257">
        <f t="shared" si="62"/>
        <v>0</v>
      </c>
      <c r="M183" s="257">
        <f t="shared" si="62"/>
        <v>0</v>
      </c>
      <c r="N183" s="257">
        <f t="shared" si="62"/>
        <v>0</v>
      </c>
      <c r="O183" s="257">
        <f t="shared" si="62"/>
        <v>0</v>
      </c>
      <c r="P183" s="257">
        <f t="shared" si="62"/>
        <v>0</v>
      </c>
      <c r="Q183" s="257">
        <f t="shared" si="62"/>
        <v>0</v>
      </c>
      <c r="R183" s="257">
        <f t="shared" si="62"/>
        <v>0</v>
      </c>
      <c r="S183" s="257">
        <f t="shared" si="62"/>
        <v>102834378.31409936</v>
      </c>
      <c r="T183" s="257">
        <f t="shared" si="62"/>
        <v>30668512.531208679</v>
      </c>
      <c r="U183" s="257">
        <f t="shared" si="62"/>
        <v>30454385.183840349</v>
      </c>
    </row>
    <row r="185" spans="1:21" x14ac:dyDescent="0.35">
      <c r="A185" s="181" cm="1">
        <f t="array" ref="A185:K205">TRANSPOSE(A173:U183)</f>
        <v>0</v>
      </c>
      <c r="B185" s="181" t="str">
        <v>2023 TBD</v>
      </c>
      <c r="C185" s="181" t="str">
        <v>24-25 Plan</v>
      </c>
      <c r="D185" s="181" t="str">
        <v>26-27 Plan</v>
      </c>
      <c r="E185" s="181" t="str">
        <v>28-29 Plan</v>
      </c>
      <c r="F185" s="181" t="str">
        <v>30-31 Plan</v>
      </c>
      <c r="G185" s="181" t="str">
        <v>32-33 Plan</v>
      </c>
      <c r="H185" s="181" t="str">
        <v>34-35 Plan</v>
      </c>
      <c r="I185" s="181" t="str">
        <v>36-37 Plan</v>
      </c>
      <c r="J185" s="181" t="str">
        <v>38-39 Plan</v>
      </c>
      <c r="K185" s="181" t="str">
        <v>40-41 Plan</v>
      </c>
    </row>
    <row r="186" spans="1:21" x14ac:dyDescent="0.35">
      <c r="A186" s="177">
        <v>2024</v>
      </c>
      <c r="B186" s="181">
        <v>132262992.46644874</v>
      </c>
      <c r="C186" s="181">
        <v>0</v>
      </c>
      <c r="D186" s="181">
        <v>0</v>
      </c>
      <c r="E186" s="181">
        <v>0</v>
      </c>
      <c r="F186" s="181">
        <v>0</v>
      </c>
      <c r="G186" s="181">
        <v>0</v>
      </c>
      <c r="H186" s="181">
        <v>0</v>
      </c>
      <c r="I186" s="181">
        <v>0</v>
      </c>
      <c r="J186" s="181">
        <v>0</v>
      </c>
      <c r="K186" s="181">
        <v>0</v>
      </c>
    </row>
    <row r="187" spans="1:21" x14ac:dyDescent="0.35">
      <c r="A187" s="177">
        <v>2025</v>
      </c>
      <c r="B187" s="181">
        <v>53823733.234205611</v>
      </c>
      <c r="C187" s="181">
        <v>197605304.35144299</v>
      </c>
      <c r="D187" s="181">
        <v>0</v>
      </c>
      <c r="E187" s="181">
        <v>0</v>
      </c>
      <c r="F187" s="181">
        <v>0</v>
      </c>
      <c r="G187" s="181">
        <v>0</v>
      </c>
      <c r="H187" s="181">
        <v>0</v>
      </c>
      <c r="I187" s="181">
        <v>0</v>
      </c>
      <c r="J187" s="181">
        <v>0</v>
      </c>
      <c r="K187" s="181">
        <v>0</v>
      </c>
    </row>
    <row r="188" spans="1:21" x14ac:dyDescent="0.35">
      <c r="A188" s="177">
        <v>2026</v>
      </c>
      <c r="B188" s="181">
        <v>53693502.536162704</v>
      </c>
      <c r="C188" s="181">
        <v>248633336.93919981</v>
      </c>
      <c r="D188" s="181">
        <v>0</v>
      </c>
      <c r="E188" s="181">
        <v>0</v>
      </c>
      <c r="F188" s="181">
        <v>0</v>
      </c>
      <c r="G188" s="181">
        <v>0</v>
      </c>
      <c r="H188" s="181">
        <v>0</v>
      </c>
      <c r="I188" s="181">
        <v>0</v>
      </c>
      <c r="J188" s="181">
        <v>0</v>
      </c>
      <c r="K188" s="181">
        <v>0</v>
      </c>
    </row>
    <row r="189" spans="1:21" x14ac:dyDescent="0.35">
      <c r="A189" s="177">
        <v>2027</v>
      </c>
      <c r="B189" s="181">
        <v>53563922.991610005</v>
      </c>
      <c r="C189" s="181">
        <v>115095735.19823757</v>
      </c>
      <c r="D189" s="181">
        <v>182113048.49028987</v>
      </c>
      <c r="E189" s="181">
        <v>0</v>
      </c>
      <c r="F189" s="181">
        <v>0</v>
      </c>
      <c r="G189" s="181">
        <v>0</v>
      </c>
      <c r="H189" s="181">
        <v>0</v>
      </c>
      <c r="I189" s="181">
        <v>0</v>
      </c>
      <c r="J189" s="181">
        <v>0</v>
      </c>
      <c r="K189" s="181">
        <v>0</v>
      </c>
    </row>
    <row r="190" spans="1:21" x14ac:dyDescent="0.35">
      <c r="A190" s="177">
        <v>2028</v>
      </c>
      <c r="B190" s="181">
        <v>53434991.344780073</v>
      </c>
      <c r="C190" s="181">
        <v>114593185.18148655</v>
      </c>
      <c r="D190" s="181">
        <v>229140483.32316652</v>
      </c>
      <c r="E190" s="181">
        <v>0</v>
      </c>
      <c r="F190" s="181">
        <v>0</v>
      </c>
      <c r="G190" s="181">
        <v>0</v>
      </c>
      <c r="H190" s="181">
        <v>0</v>
      </c>
      <c r="I190" s="181">
        <v>0</v>
      </c>
      <c r="J190" s="181">
        <v>0</v>
      </c>
      <c r="K190" s="181">
        <v>0</v>
      </c>
    </row>
    <row r="191" spans="1:21" x14ac:dyDescent="0.35">
      <c r="A191" s="177">
        <v>2029</v>
      </c>
      <c r="B191" s="181">
        <v>53306704.356184296</v>
      </c>
      <c r="C191" s="181">
        <v>114382936.53787406</v>
      </c>
      <c r="D191" s="181">
        <v>106072229.55869575</v>
      </c>
      <c r="E191" s="181">
        <v>167835385.4886511</v>
      </c>
      <c r="F191" s="181">
        <v>0</v>
      </c>
      <c r="G191" s="181">
        <v>0</v>
      </c>
      <c r="H191" s="181">
        <v>0</v>
      </c>
      <c r="I191" s="181">
        <v>0</v>
      </c>
      <c r="J191" s="181">
        <v>0</v>
      </c>
      <c r="K191" s="181">
        <v>0</v>
      </c>
    </row>
    <row r="192" spans="1:21" x14ac:dyDescent="0.35">
      <c r="A192" s="177">
        <v>2030</v>
      </c>
      <c r="B192" s="181">
        <v>53179058.802531496</v>
      </c>
      <c r="C192" s="181">
        <v>114173739.13747963</v>
      </c>
      <c r="D192" s="181">
        <v>105609079.463258</v>
      </c>
      <c r="E192" s="181">
        <v>211175869.43063024</v>
      </c>
      <c r="F192" s="181">
        <v>0</v>
      </c>
      <c r="G192" s="181">
        <v>0</v>
      </c>
      <c r="H192" s="181">
        <v>0</v>
      </c>
      <c r="I192" s="181">
        <v>0</v>
      </c>
      <c r="J192" s="181">
        <v>0</v>
      </c>
      <c r="K192" s="181">
        <v>0</v>
      </c>
    </row>
    <row r="193" spans="1:11" x14ac:dyDescent="0.35">
      <c r="A193" s="177">
        <v>2031</v>
      </c>
      <c r="B193" s="181">
        <v>25274457.851022936</v>
      </c>
      <c r="C193" s="181">
        <v>113965587.72408716</v>
      </c>
      <c r="D193" s="181">
        <v>105415314.31330472</v>
      </c>
      <c r="E193" s="181">
        <v>97756166.761293977</v>
      </c>
      <c r="F193" s="181">
        <v>154677091.26634082</v>
      </c>
      <c r="G193" s="181">
        <v>0</v>
      </c>
      <c r="H193" s="181">
        <v>0</v>
      </c>
      <c r="I193" s="181">
        <v>0</v>
      </c>
      <c r="J193" s="181">
        <v>0</v>
      </c>
      <c r="K193" s="181">
        <v>0</v>
      </c>
    </row>
    <row r="194" spans="1:11" x14ac:dyDescent="0.35">
      <c r="A194" s="177">
        <v>2032</v>
      </c>
      <c r="B194" s="181">
        <v>25148085.561767817</v>
      </c>
      <c r="C194" s="181">
        <v>81903970.3240944</v>
      </c>
      <c r="D194" s="181">
        <v>105222517.98910122</v>
      </c>
      <c r="E194" s="181">
        <v>97329327.633338556</v>
      </c>
      <c r="F194" s="181">
        <v>194619681.26726878</v>
      </c>
      <c r="G194" s="181">
        <v>0</v>
      </c>
      <c r="H194" s="181">
        <v>0</v>
      </c>
      <c r="I194" s="181">
        <v>0</v>
      </c>
      <c r="J194" s="181">
        <v>0</v>
      </c>
      <c r="K194" s="181">
        <v>0</v>
      </c>
    </row>
    <row r="195" spans="1:11" x14ac:dyDescent="0.35">
      <c r="A195" s="177">
        <v>2033</v>
      </c>
      <c r="B195" s="181">
        <v>25022345.13395898</v>
      </c>
      <c r="C195" s="181">
        <v>45960107.909680903</v>
      </c>
      <c r="D195" s="181">
        <v>105030685.64651874</v>
      </c>
      <c r="E195" s="181">
        <v>97150753.671141624</v>
      </c>
      <c r="F195" s="181">
        <v>90092083.287208527</v>
      </c>
      <c r="G195" s="181">
        <v>142550407.31105971</v>
      </c>
      <c r="H195" s="181">
        <v>0</v>
      </c>
      <c r="I195" s="181">
        <v>0</v>
      </c>
      <c r="J195" s="181">
        <v>0</v>
      </c>
      <c r="K195" s="181">
        <v>0</v>
      </c>
    </row>
    <row r="196" spans="1:11" x14ac:dyDescent="0.35">
      <c r="A196" s="177">
        <v>2034</v>
      </c>
      <c r="B196" s="181">
        <v>24897233.408289183</v>
      </c>
      <c r="C196" s="181">
        <v>40803900.778201163</v>
      </c>
      <c r="D196" s="181">
        <v>75482699.050685391</v>
      </c>
      <c r="E196" s="181">
        <v>96973072.578755677</v>
      </c>
      <c r="F196" s="181">
        <v>89698708.346884802</v>
      </c>
      <c r="G196" s="181">
        <v>110937302.74660626</v>
      </c>
      <c r="H196" s="181">
        <v>0</v>
      </c>
      <c r="I196" s="181">
        <v>0</v>
      </c>
      <c r="J196" s="181">
        <v>0</v>
      </c>
      <c r="K196" s="181">
        <v>0</v>
      </c>
    </row>
    <row r="197" spans="1:11" x14ac:dyDescent="0.35">
      <c r="A197" s="177">
        <v>2035</v>
      </c>
      <c r="B197" s="181">
        <v>24772747.241247736</v>
      </c>
      <c r="C197" s="181">
        <v>40599881.274310157</v>
      </c>
      <c r="D197" s="181">
        <v>42356835.449561916</v>
      </c>
      <c r="E197" s="181">
        <v>96796279.891831651</v>
      </c>
      <c r="F197" s="181">
        <v>89534134.583324105</v>
      </c>
      <c r="G197" s="181">
        <v>62622572.483588532</v>
      </c>
      <c r="H197" s="181">
        <v>65687227.688936308</v>
      </c>
      <c r="I197" s="181">
        <v>0</v>
      </c>
      <c r="J197" s="181">
        <v>0</v>
      </c>
      <c r="K197" s="181">
        <v>0</v>
      </c>
    </row>
    <row r="198" spans="1:11" x14ac:dyDescent="0.35">
      <c r="A198" s="177">
        <v>2036</v>
      </c>
      <c r="B198" s="181">
        <v>24648883.505041495</v>
      </c>
      <c r="C198" s="181">
        <v>40396881.8679386</v>
      </c>
      <c r="D198" s="181">
        <v>37604874.957190186</v>
      </c>
      <c r="E198" s="181">
        <v>69564855.445111647</v>
      </c>
      <c r="F198" s="181">
        <v>89370383.688581213</v>
      </c>
      <c r="G198" s="181">
        <v>62402514.727839902</v>
      </c>
      <c r="H198" s="181">
        <v>82649778.396325588</v>
      </c>
      <c r="I198" s="181">
        <v>0</v>
      </c>
      <c r="J198" s="181">
        <v>0</v>
      </c>
      <c r="K198" s="181">
        <v>0</v>
      </c>
    </row>
    <row r="199" spans="1:11" x14ac:dyDescent="0.35">
      <c r="A199" s="177">
        <v>2037</v>
      </c>
      <c r="B199" s="181">
        <v>24525639.087516289</v>
      </c>
      <c r="C199" s="181">
        <v>40194897.458598912</v>
      </c>
      <c r="D199" s="181">
        <v>37416850.582404241</v>
      </c>
      <c r="E199" s="181">
        <v>39036059.550316259</v>
      </c>
      <c r="F199" s="181">
        <v>89207451.548312038</v>
      </c>
      <c r="G199" s="181">
        <v>62288082.507259928</v>
      </c>
      <c r="H199" s="181">
        <v>38259700.511612028</v>
      </c>
      <c r="I199" s="181">
        <v>60537349.038123697</v>
      </c>
      <c r="J199" s="181">
        <v>0</v>
      </c>
      <c r="K199" s="181">
        <v>0</v>
      </c>
    </row>
    <row r="200" spans="1:11" x14ac:dyDescent="0.35">
      <c r="A200" s="177">
        <v>2038</v>
      </c>
      <c r="B200" s="181">
        <v>24403010.892078709</v>
      </c>
      <c r="C200" s="181">
        <v>39993922.971305907</v>
      </c>
      <c r="D200" s="181">
        <v>37229766.329492211</v>
      </c>
      <c r="E200" s="181">
        <v>34656652.760546476</v>
      </c>
      <c r="F200" s="181">
        <v>64110970.778214894</v>
      </c>
      <c r="G200" s="181">
        <v>62174222.447782844</v>
      </c>
      <c r="H200" s="181">
        <v>38092644.685434937</v>
      </c>
      <c r="I200" s="181">
        <v>76170035.77005367</v>
      </c>
      <c r="J200" s="181">
        <v>0</v>
      </c>
      <c r="K200" s="181">
        <v>0</v>
      </c>
    </row>
    <row r="201" spans="1:11" x14ac:dyDescent="0.35">
      <c r="A201" s="177">
        <v>2039</v>
      </c>
      <c r="B201" s="181">
        <v>24280995.837618314</v>
      </c>
      <c r="C201" s="181">
        <v>39793953.356449381</v>
      </c>
      <c r="D201" s="181">
        <v>37043617.497844748</v>
      </c>
      <c r="E201" s="181">
        <v>34483369.496743739</v>
      </c>
      <c r="F201" s="181">
        <v>35975632.481571458</v>
      </c>
      <c r="G201" s="181">
        <v>62060931.68860314</v>
      </c>
      <c r="H201" s="181">
        <v>38022754.605461672</v>
      </c>
      <c r="I201" s="181">
        <v>35260139.991501644</v>
      </c>
      <c r="J201" s="181">
        <v>55791220.873534806</v>
      </c>
      <c r="K201" s="181">
        <v>0</v>
      </c>
    </row>
    <row r="202" spans="1:11" x14ac:dyDescent="0.35">
      <c r="A202" s="177">
        <v>2040</v>
      </c>
      <c r="B202" s="181">
        <v>24159590.858430225</v>
      </c>
      <c r="C202" s="181">
        <v>39594983.589667134</v>
      </c>
      <c r="D202" s="181">
        <v>36858399.410355523</v>
      </c>
      <c r="E202" s="181">
        <v>34310952.649260022</v>
      </c>
      <c r="F202" s="181">
        <v>31939571.184119623</v>
      </c>
      <c r="G202" s="181">
        <v>38968698.17466753</v>
      </c>
      <c r="H202" s="181">
        <v>37953213.975888282</v>
      </c>
      <c r="I202" s="181">
        <v>35106181.342096843</v>
      </c>
      <c r="J202" s="181">
        <v>70198304.965681449</v>
      </c>
      <c r="K202" s="181">
        <v>0</v>
      </c>
    </row>
    <row r="203" spans="1:11" x14ac:dyDescent="0.35">
      <c r="A203" s="177">
        <v>2041</v>
      </c>
      <c r="B203" s="181">
        <v>24038792.904138073</v>
      </c>
      <c r="C203" s="181">
        <v>39397008.671718799</v>
      </c>
      <c r="D203" s="181">
        <v>36674107.413303748</v>
      </c>
      <c r="E203" s="181">
        <v>34139397.886013716</v>
      </c>
      <c r="F203" s="181">
        <v>31779873.328199029</v>
      </c>
      <c r="G203" s="181">
        <v>24105834.568552792</v>
      </c>
      <c r="H203" s="181">
        <v>37884021.049462751</v>
      </c>
      <c r="I203" s="181">
        <v>35041770.644393481</v>
      </c>
      <c r="J203" s="181">
        <v>32495745.016167909</v>
      </c>
      <c r="K203" s="181">
        <v>102834378.31409936</v>
      </c>
    </row>
    <row r="204" spans="1:11" x14ac:dyDescent="0.35">
      <c r="A204" s="177">
        <v>2042</v>
      </c>
      <c r="B204" s="181">
        <v>23918598.939617384</v>
      </c>
      <c r="C204" s="181">
        <v>39200023.628360197</v>
      </c>
      <c r="D204" s="181">
        <v>36490736.876237229</v>
      </c>
      <c r="E204" s="181">
        <v>33968700.896583647</v>
      </c>
      <c r="F204" s="181">
        <v>31620973.961558033</v>
      </c>
      <c r="G204" s="181">
        <v>22208376.207081765</v>
      </c>
      <c r="H204" s="181">
        <v>27226216.244368672</v>
      </c>
      <c r="I204" s="181">
        <v>34977682.000178635</v>
      </c>
      <c r="J204" s="181">
        <v>32353856.724876445</v>
      </c>
      <c r="K204" s="181">
        <v>30668512.531208679</v>
      </c>
    </row>
    <row r="205" spans="1:11" x14ac:dyDescent="0.35">
      <c r="A205" s="177">
        <v>2043</v>
      </c>
      <c r="B205" s="181">
        <v>23799005.944919296</v>
      </c>
      <c r="C205" s="181">
        <v>39004023.510218397</v>
      </c>
      <c r="D205" s="181">
        <v>36308283.191856042</v>
      </c>
      <c r="E205" s="181">
        <v>33798857.392100736</v>
      </c>
      <c r="F205" s="181">
        <v>31462869.091750242</v>
      </c>
      <c r="G205" s="181">
        <v>22097334.326046355</v>
      </c>
      <c r="H205" s="181">
        <v>15277889.846023489</v>
      </c>
      <c r="I205" s="181">
        <v>34913913.799184874</v>
      </c>
      <c r="J205" s="181">
        <v>32294495.825873032</v>
      </c>
      <c r="K205" s="181">
        <v>30454385.183840349</v>
      </c>
    </row>
  </sheetData>
  <printOptions horizontalCentered="1" verticalCentered="1"/>
  <pageMargins left="0.7" right="0.7" top="0.75" bottom="0.75" header="0.3" footer="0.3"/>
  <pageSetup scale="33" fitToHeight="4" orientation="landscape" r:id="rId1"/>
  <headerFooter>
    <oddHeader>&amp;A</oddHeader>
  </headerFooter>
  <rowBreaks count="2" manualBreakCount="2">
    <brk id="17" max="16383" man="1"/>
    <brk id="44" max="16383" man="1"/>
  </rowBreaks>
  <customProperties>
    <customPr name="GU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9F846-B6DB-4A78-A0BE-EABEF70D73BB}">
  <sheetPr>
    <tabColor theme="7" tint="0.59999389629810485"/>
    <pageSetUpPr fitToPage="1"/>
  </sheetPr>
  <dimension ref="A1:R116"/>
  <sheetViews>
    <sheetView zoomScaleNormal="100" workbookViewId="0">
      <selection activeCell="L3" sqref="L3"/>
    </sheetView>
  </sheetViews>
  <sheetFormatPr defaultRowHeight="14.5" x14ac:dyDescent="0.35"/>
  <cols>
    <col min="1" max="1" width="12.54296875" bestFit="1" customWidth="1"/>
    <col min="5" max="5" width="14.54296875" bestFit="1" customWidth="1"/>
    <col min="8" max="8" width="14.6328125" bestFit="1" customWidth="1"/>
    <col min="10" max="10" width="12.54296875" bestFit="1" customWidth="1"/>
    <col min="11" max="11" width="16.08984375" bestFit="1" customWidth="1"/>
    <col min="12" max="12" width="15.453125" bestFit="1" customWidth="1"/>
    <col min="13" max="13" width="16.08984375" bestFit="1" customWidth="1"/>
    <col min="14" max="14" width="14.54296875" bestFit="1" customWidth="1"/>
    <col min="15" max="15" width="13.90625" customWidth="1"/>
    <col min="16" max="16" width="15" customWidth="1"/>
    <col min="17" max="17" width="14.453125" customWidth="1"/>
  </cols>
  <sheetData>
    <row r="1" spans="1:18" x14ac:dyDescent="0.35">
      <c r="A1" s="259" t="s">
        <v>176</v>
      </c>
      <c r="B1" s="260" t="s">
        <v>177</v>
      </c>
      <c r="C1" s="260" t="s">
        <v>177</v>
      </c>
      <c r="D1" s="260" t="s">
        <v>177</v>
      </c>
      <c r="E1" s="260" t="s">
        <v>177</v>
      </c>
      <c r="F1" s="260" t="s">
        <v>177</v>
      </c>
      <c r="G1" s="260" t="s">
        <v>177</v>
      </c>
      <c r="H1" s="261"/>
      <c r="I1" s="261"/>
      <c r="J1" s="259" t="s">
        <v>176</v>
      </c>
      <c r="K1" s="260" t="s">
        <v>177</v>
      </c>
      <c r="L1" s="260" t="s">
        <v>177</v>
      </c>
      <c r="M1" s="260" t="s">
        <v>177</v>
      </c>
      <c r="N1" s="260" t="s">
        <v>177</v>
      </c>
      <c r="O1" s="260" t="s">
        <v>177</v>
      </c>
      <c r="P1" s="262" t="s">
        <v>177</v>
      </c>
      <c r="Q1" s="261"/>
      <c r="R1" s="261" t="s">
        <v>178</v>
      </c>
    </row>
    <row r="2" spans="1:18" x14ac:dyDescent="0.35">
      <c r="A2" s="263" t="s">
        <v>1</v>
      </c>
      <c r="B2" s="264" t="s">
        <v>179</v>
      </c>
      <c r="C2" s="264" t="s">
        <v>180</v>
      </c>
      <c r="D2" s="264" t="s">
        <v>181</v>
      </c>
      <c r="E2" s="264" t="s">
        <v>182</v>
      </c>
      <c r="F2" s="264" t="s">
        <v>183</v>
      </c>
      <c r="G2" s="264" t="s">
        <v>184</v>
      </c>
      <c r="H2" s="261"/>
      <c r="I2" s="261"/>
      <c r="J2" s="263" t="s">
        <v>1</v>
      </c>
      <c r="K2" s="264" t="s">
        <v>179</v>
      </c>
      <c r="L2" s="264" t="s">
        <v>180</v>
      </c>
      <c r="M2" s="264" t="s">
        <v>181</v>
      </c>
      <c r="N2" s="264" t="s">
        <v>182</v>
      </c>
      <c r="O2" s="264" t="s">
        <v>183</v>
      </c>
      <c r="P2" s="262" t="s">
        <v>184</v>
      </c>
      <c r="Q2" s="261"/>
      <c r="R2" s="261"/>
    </row>
    <row r="3" spans="1:18" x14ac:dyDescent="0.35">
      <c r="A3" s="265" t="s">
        <v>177</v>
      </c>
      <c r="B3" s="266" t="s">
        <v>177</v>
      </c>
      <c r="C3" s="266" t="s">
        <v>177</v>
      </c>
      <c r="D3" s="266" t="s">
        <v>177</v>
      </c>
      <c r="E3" s="266" t="s">
        <v>177</v>
      </c>
      <c r="F3" s="266" t="s">
        <v>177</v>
      </c>
      <c r="G3" s="279" t="s">
        <v>177</v>
      </c>
      <c r="H3" s="261"/>
      <c r="I3" s="261"/>
      <c r="J3" s="265" t="s">
        <v>177</v>
      </c>
      <c r="K3" s="266" t="s">
        <v>177</v>
      </c>
      <c r="L3" s="266" t="s">
        <v>177</v>
      </c>
      <c r="M3" s="266" t="s">
        <v>177</v>
      </c>
      <c r="N3" s="266" t="s">
        <v>177</v>
      </c>
      <c r="O3" s="266" t="s">
        <v>177</v>
      </c>
      <c r="P3" s="267" t="s">
        <v>177</v>
      </c>
      <c r="Q3" s="261"/>
      <c r="R3" s="261"/>
    </row>
    <row r="4" spans="1:18" x14ac:dyDescent="0.35">
      <c r="A4" s="265" t="s">
        <v>17</v>
      </c>
      <c r="B4" s="268">
        <v>59377</v>
      </c>
      <c r="C4" s="268">
        <v>101670</v>
      </c>
      <c r="D4" s="268">
        <v>1333</v>
      </c>
      <c r="E4" s="266" t="s">
        <v>185</v>
      </c>
      <c r="F4" s="278" t="s">
        <v>185</v>
      </c>
      <c r="G4" s="272" t="s">
        <v>185</v>
      </c>
      <c r="H4" s="261"/>
      <c r="I4" s="261"/>
      <c r="J4" s="265" t="s">
        <v>17</v>
      </c>
      <c r="K4" s="269">
        <v>138009382</v>
      </c>
      <c r="L4" s="269">
        <v>48629161</v>
      </c>
      <c r="M4" s="269">
        <v>29989057</v>
      </c>
      <c r="N4" s="266" t="s">
        <v>186</v>
      </c>
      <c r="O4" s="266" t="s">
        <v>187</v>
      </c>
      <c r="P4" s="266" t="s">
        <v>188</v>
      </c>
      <c r="Q4" s="261"/>
      <c r="R4" s="261"/>
    </row>
    <row r="5" spans="1:18" x14ac:dyDescent="0.35">
      <c r="A5" s="265" t="s">
        <v>18</v>
      </c>
      <c r="B5" s="268">
        <v>116970</v>
      </c>
      <c r="C5" s="268">
        <v>195205</v>
      </c>
      <c r="D5" s="268">
        <v>236497</v>
      </c>
      <c r="E5" s="266" t="s">
        <v>185</v>
      </c>
      <c r="F5" s="278" t="s">
        <v>185</v>
      </c>
      <c r="G5" s="272" t="s">
        <v>185</v>
      </c>
      <c r="H5" s="261"/>
      <c r="I5" s="261"/>
      <c r="J5" s="265" t="s">
        <v>18</v>
      </c>
      <c r="K5" s="269">
        <v>62050197</v>
      </c>
      <c r="L5" s="269">
        <v>60705686</v>
      </c>
      <c r="M5" s="269">
        <v>84192312</v>
      </c>
      <c r="N5" s="266" t="s">
        <v>186</v>
      </c>
      <c r="O5" s="266" t="s">
        <v>187</v>
      </c>
      <c r="P5" s="266" t="s">
        <v>188</v>
      </c>
      <c r="Q5" s="261"/>
      <c r="R5" s="261"/>
    </row>
    <row r="6" spans="1:18" x14ac:dyDescent="0.35">
      <c r="A6" s="265" t="s">
        <v>19</v>
      </c>
      <c r="B6" s="268">
        <v>203309</v>
      </c>
      <c r="C6" s="268">
        <v>243923</v>
      </c>
      <c r="D6" s="268">
        <v>314716</v>
      </c>
      <c r="E6" s="266" t="s">
        <v>185</v>
      </c>
      <c r="F6" s="278" t="s">
        <v>185</v>
      </c>
      <c r="G6" s="272" t="s">
        <v>185</v>
      </c>
      <c r="H6" s="261"/>
      <c r="I6" s="261"/>
      <c r="J6" s="265" t="s">
        <v>19</v>
      </c>
      <c r="K6" s="269">
        <v>66248847</v>
      </c>
      <c r="L6" s="269">
        <v>74577760</v>
      </c>
      <c r="M6" s="269">
        <v>113737795</v>
      </c>
      <c r="N6" s="266" t="s">
        <v>186</v>
      </c>
      <c r="O6" s="266" t="s">
        <v>187</v>
      </c>
      <c r="P6" s="266" t="s">
        <v>188</v>
      </c>
      <c r="Q6" s="261"/>
      <c r="R6" s="261"/>
    </row>
    <row r="7" spans="1:18" x14ac:dyDescent="0.35">
      <c r="A7" s="265" t="s">
        <v>20</v>
      </c>
      <c r="B7" s="268">
        <v>273265</v>
      </c>
      <c r="C7" s="268">
        <v>353167</v>
      </c>
      <c r="D7" s="268">
        <v>530481</v>
      </c>
      <c r="E7" s="266" t="s">
        <v>189</v>
      </c>
      <c r="F7" s="278" t="s">
        <v>190</v>
      </c>
      <c r="G7" s="272" t="s">
        <v>177</v>
      </c>
      <c r="H7" s="261"/>
      <c r="I7" s="261"/>
      <c r="J7" s="265" t="s">
        <v>20</v>
      </c>
      <c r="K7" s="269">
        <v>241144178</v>
      </c>
      <c r="L7" s="269">
        <v>90525840</v>
      </c>
      <c r="M7" s="269">
        <v>131916328</v>
      </c>
      <c r="N7" s="269">
        <v>61529</v>
      </c>
      <c r="O7" s="269">
        <v>877547</v>
      </c>
      <c r="P7" s="266" t="s">
        <v>188</v>
      </c>
      <c r="Q7" s="261"/>
      <c r="R7" s="261"/>
    </row>
    <row r="8" spans="1:18" x14ac:dyDescent="0.35">
      <c r="A8" s="265" t="s">
        <v>22</v>
      </c>
      <c r="B8" s="268">
        <v>451504</v>
      </c>
      <c r="C8" s="268">
        <v>547742</v>
      </c>
      <c r="D8" s="268">
        <v>879647</v>
      </c>
      <c r="E8" s="268">
        <v>1637</v>
      </c>
      <c r="F8" s="268">
        <v>4572</v>
      </c>
      <c r="G8" s="266" t="s">
        <v>177</v>
      </c>
      <c r="H8" s="261"/>
      <c r="I8" s="261"/>
      <c r="J8" s="265" t="s">
        <v>22</v>
      </c>
      <c r="K8" s="269">
        <v>30078012</v>
      </c>
      <c r="L8" s="269">
        <v>63548483</v>
      </c>
      <c r="M8" s="269">
        <v>141211375</v>
      </c>
      <c r="N8" s="269">
        <v>875026</v>
      </c>
      <c r="O8" s="269">
        <v>6315425</v>
      </c>
      <c r="P8" s="269">
        <v>12720442</v>
      </c>
      <c r="Q8" s="261"/>
      <c r="R8" s="261"/>
    </row>
    <row r="9" spans="1:18" x14ac:dyDescent="0.35">
      <c r="A9" s="265" t="s">
        <v>23</v>
      </c>
      <c r="B9" s="268">
        <v>449577</v>
      </c>
      <c r="C9" s="268">
        <v>545856</v>
      </c>
      <c r="D9" s="268">
        <v>1527729</v>
      </c>
      <c r="E9" s="268">
        <v>24540</v>
      </c>
      <c r="F9" s="268">
        <v>100722</v>
      </c>
      <c r="G9" s="268">
        <v>427802</v>
      </c>
      <c r="H9" s="261"/>
      <c r="I9" s="261"/>
      <c r="J9" s="265" t="s">
        <v>23</v>
      </c>
      <c r="K9" s="266" t="s">
        <v>191</v>
      </c>
      <c r="L9" s="269">
        <v>45211974</v>
      </c>
      <c r="M9" s="269">
        <v>100997811</v>
      </c>
      <c r="N9" s="269">
        <v>1107425</v>
      </c>
      <c r="O9" s="269">
        <v>7769174</v>
      </c>
      <c r="P9" s="269">
        <v>30002435</v>
      </c>
      <c r="Q9" s="261"/>
      <c r="R9" s="261"/>
    </row>
    <row r="10" spans="1:18" x14ac:dyDescent="0.35">
      <c r="A10" s="265" t="s">
        <v>24</v>
      </c>
      <c r="B10" s="268">
        <v>447555</v>
      </c>
      <c r="C10" s="268">
        <v>543971</v>
      </c>
      <c r="D10" s="268">
        <v>1524571</v>
      </c>
      <c r="E10" s="268">
        <v>24524</v>
      </c>
      <c r="F10" s="268">
        <v>100238</v>
      </c>
      <c r="G10" s="268">
        <v>425668</v>
      </c>
      <c r="H10" s="261"/>
      <c r="I10" s="261"/>
      <c r="J10" s="265" t="s">
        <v>24</v>
      </c>
      <c r="K10" s="266" t="s">
        <v>191</v>
      </c>
      <c r="L10" s="269">
        <v>37282626</v>
      </c>
      <c r="M10" s="269">
        <v>72796228</v>
      </c>
      <c r="N10" s="269">
        <v>1106307</v>
      </c>
      <c r="O10" s="269">
        <v>7734461</v>
      </c>
      <c r="P10" s="269">
        <v>29852857</v>
      </c>
      <c r="Q10" s="261"/>
      <c r="R10" s="261"/>
    </row>
    <row r="11" spans="1:18" x14ac:dyDescent="0.35">
      <c r="A11" s="265" t="s">
        <v>25</v>
      </c>
      <c r="B11" s="268">
        <v>445719</v>
      </c>
      <c r="C11" s="268">
        <v>542140</v>
      </c>
      <c r="D11" s="268">
        <v>1521441</v>
      </c>
      <c r="E11" s="268">
        <v>24509</v>
      </c>
      <c r="F11" s="268">
        <v>99760</v>
      </c>
      <c r="G11" s="268">
        <v>423538</v>
      </c>
      <c r="H11" s="261"/>
      <c r="I11" s="261"/>
      <c r="J11" s="265" t="s">
        <v>25</v>
      </c>
      <c r="K11" s="266" t="s">
        <v>191</v>
      </c>
      <c r="L11" s="269">
        <v>33119730</v>
      </c>
      <c r="M11" s="269">
        <v>67489806</v>
      </c>
      <c r="N11" s="269">
        <v>1105326</v>
      </c>
      <c r="O11" s="269">
        <v>7699892</v>
      </c>
      <c r="P11" s="269">
        <v>29703424</v>
      </c>
      <c r="Q11" s="261"/>
      <c r="R11" s="261"/>
    </row>
    <row r="12" spans="1:18" x14ac:dyDescent="0.35">
      <c r="A12" s="265" t="s">
        <v>26</v>
      </c>
      <c r="B12" s="268">
        <v>443891</v>
      </c>
      <c r="C12" s="268">
        <v>540364</v>
      </c>
      <c r="D12" s="268">
        <v>1518318</v>
      </c>
      <c r="E12" s="268">
        <v>24494</v>
      </c>
      <c r="F12" s="268">
        <v>99285</v>
      </c>
      <c r="G12" s="268">
        <v>421420</v>
      </c>
      <c r="H12" s="261"/>
      <c r="I12" s="261"/>
      <c r="J12" s="265" t="s">
        <v>26</v>
      </c>
      <c r="K12" s="266" t="s">
        <v>191</v>
      </c>
      <c r="L12" s="269">
        <v>31840857</v>
      </c>
      <c r="M12" s="269">
        <v>67395539</v>
      </c>
      <c r="N12" s="269">
        <v>1104274</v>
      </c>
      <c r="O12" s="269">
        <v>7665397</v>
      </c>
      <c r="P12" s="269">
        <v>29555005</v>
      </c>
      <c r="Q12" s="261"/>
      <c r="R12" s="261"/>
    </row>
    <row r="13" spans="1:18" x14ac:dyDescent="0.35">
      <c r="A13" s="265" t="s">
        <v>27</v>
      </c>
      <c r="B13" s="268">
        <v>442079</v>
      </c>
      <c r="C13" s="268">
        <v>538520</v>
      </c>
      <c r="D13" s="268">
        <v>1515216</v>
      </c>
      <c r="E13" s="268">
        <v>24480</v>
      </c>
      <c r="F13" s="268">
        <v>98806</v>
      </c>
      <c r="G13" s="268">
        <v>419312</v>
      </c>
      <c r="H13" s="261"/>
      <c r="I13" s="261"/>
      <c r="J13" s="265" t="s">
        <v>27</v>
      </c>
      <c r="K13" s="266" t="s">
        <v>191</v>
      </c>
      <c r="L13" s="269">
        <v>23703635</v>
      </c>
      <c r="M13" s="269">
        <v>67300913</v>
      </c>
      <c r="N13" s="269">
        <v>1103294</v>
      </c>
      <c r="O13" s="269">
        <v>7631408</v>
      </c>
      <c r="P13" s="269">
        <v>29406877</v>
      </c>
      <c r="Q13" s="261"/>
      <c r="R13" s="261"/>
    </row>
    <row r="14" spans="1:18" x14ac:dyDescent="0.35">
      <c r="A14" s="265" t="s">
        <v>28</v>
      </c>
      <c r="B14" s="268">
        <v>440223</v>
      </c>
      <c r="C14" s="268">
        <v>536677</v>
      </c>
      <c r="D14" s="268">
        <v>1512120</v>
      </c>
      <c r="E14" s="268">
        <v>24465</v>
      </c>
      <c r="F14" s="268">
        <v>98341</v>
      </c>
      <c r="G14" s="268">
        <v>417214</v>
      </c>
      <c r="H14" s="261"/>
      <c r="I14" s="261"/>
      <c r="J14" s="265" t="s">
        <v>28</v>
      </c>
      <c r="K14" s="266" t="s">
        <v>191</v>
      </c>
      <c r="L14" s="269">
        <v>2063335</v>
      </c>
      <c r="M14" s="269">
        <v>67207305</v>
      </c>
      <c r="N14" s="269">
        <v>1102176</v>
      </c>
      <c r="O14" s="269">
        <v>6768481</v>
      </c>
      <c r="P14" s="269">
        <v>29259980</v>
      </c>
      <c r="Q14" s="261"/>
      <c r="R14" s="261"/>
    </row>
    <row r="15" spans="1:18" x14ac:dyDescent="0.35">
      <c r="A15" s="265" t="s">
        <v>29</v>
      </c>
      <c r="B15" s="268">
        <v>438482</v>
      </c>
      <c r="C15" s="268">
        <v>534907</v>
      </c>
      <c r="D15" s="268">
        <v>1509051</v>
      </c>
      <c r="E15" s="268">
        <v>24450</v>
      </c>
      <c r="F15" s="268">
        <v>97870</v>
      </c>
      <c r="G15" s="268">
        <v>415127</v>
      </c>
      <c r="H15" s="261"/>
      <c r="I15" s="261"/>
      <c r="J15" s="265" t="s">
        <v>29</v>
      </c>
      <c r="K15" s="266" t="s">
        <v>191</v>
      </c>
      <c r="L15" s="266" t="s">
        <v>192</v>
      </c>
      <c r="M15" s="269">
        <v>67114176</v>
      </c>
      <c r="N15" s="269">
        <v>1101261</v>
      </c>
      <c r="O15" s="269">
        <v>6734855</v>
      </c>
      <c r="P15" s="269">
        <v>29113518</v>
      </c>
      <c r="Q15" s="261"/>
      <c r="R15" s="261"/>
    </row>
    <row r="16" spans="1:18" x14ac:dyDescent="0.35">
      <c r="A16" s="265" t="s">
        <v>30</v>
      </c>
      <c r="B16" s="268">
        <v>436481</v>
      </c>
      <c r="C16" s="268">
        <v>533053</v>
      </c>
      <c r="D16" s="268">
        <v>1505995</v>
      </c>
      <c r="E16" s="268">
        <v>24436</v>
      </c>
      <c r="F16" s="268">
        <v>97405</v>
      </c>
      <c r="G16" s="268">
        <v>413051</v>
      </c>
      <c r="H16" s="261"/>
      <c r="I16" s="261"/>
      <c r="J16" s="265" t="s">
        <v>30</v>
      </c>
      <c r="K16" s="266" t="s">
        <v>191</v>
      </c>
      <c r="L16" s="266" t="s">
        <v>192</v>
      </c>
      <c r="M16" s="269">
        <v>67021346</v>
      </c>
      <c r="N16" s="269">
        <v>1100216</v>
      </c>
      <c r="O16" s="269">
        <v>6701083</v>
      </c>
      <c r="P16" s="269">
        <v>28967998</v>
      </c>
      <c r="Q16" s="261"/>
      <c r="R16" s="261"/>
    </row>
    <row r="17" spans="1:18" x14ac:dyDescent="0.35">
      <c r="A17" s="265" t="s">
        <v>31</v>
      </c>
      <c r="B17" s="268">
        <v>434675</v>
      </c>
      <c r="C17" s="268">
        <v>531273</v>
      </c>
      <c r="D17" s="268">
        <v>1502951</v>
      </c>
      <c r="E17" s="268">
        <v>24422</v>
      </c>
      <c r="F17" s="268">
        <v>96941</v>
      </c>
      <c r="G17" s="268">
        <v>410988</v>
      </c>
      <c r="H17" s="261"/>
      <c r="I17" s="261"/>
      <c r="J17" s="265" t="s">
        <v>31</v>
      </c>
      <c r="K17" s="266" t="s">
        <v>191</v>
      </c>
      <c r="L17" s="266" t="s">
        <v>192</v>
      </c>
      <c r="M17" s="269">
        <v>66928876</v>
      </c>
      <c r="N17" s="269">
        <v>1099163</v>
      </c>
      <c r="O17" s="269">
        <v>6667602</v>
      </c>
      <c r="P17" s="269">
        <v>28823276</v>
      </c>
      <c r="Q17" s="261"/>
      <c r="R17" s="261"/>
    </row>
    <row r="18" spans="1:18" x14ac:dyDescent="0.35">
      <c r="A18" s="265" t="s">
        <v>32</v>
      </c>
      <c r="B18" s="268">
        <v>379762</v>
      </c>
      <c r="C18" s="268">
        <v>443743</v>
      </c>
      <c r="D18" s="268">
        <v>1498673</v>
      </c>
      <c r="E18" s="268">
        <v>24407</v>
      </c>
      <c r="F18" s="268">
        <v>96478</v>
      </c>
      <c r="G18" s="268">
        <v>408936</v>
      </c>
      <c r="H18" s="261"/>
      <c r="I18" s="261"/>
      <c r="J18" s="265" t="s">
        <v>32</v>
      </c>
      <c r="K18" s="266" t="s">
        <v>191</v>
      </c>
      <c r="L18" s="266" t="s">
        <v>192</v>
      </c>
      <c r="M18" s="269">
        <v>66837125</v>
      </c>
      <c r="N18" s="269">
        <v>1098183</v>
      </c>
      <c r="O18" s="269">
        <v>6634049</v>
      </c>
      <c r="P18" s="269">
        <v>28679423</v>
      </c>
      <c r="Q18" s="261"/>
      <c r="R18" s="261"/>
    </row>
    <row r="19" spans="1:18" x14ac:dyDescent="0.35">
      <c r="A19" s="265" t="s">
        <v>33</v>
      </c>
      <c r="B19" s="268">
        <v>375838</v>
      </c>
      <c r="C19" s="268">
        <v>433476</v>
      </c>
      <c r="D19" s="268">
        <v>1495672</v>
      </c>
      <c r="E19" s="268">
        <v>24392</v>
      </c>
      <c r="F19" s="268">
        <v>96015</v>
      </c>
      <c r="G19" s="268">
        <v>406888</v>
      </c>
      <c r="H19" s="261"/>
      <c r="I19" s="261"/>
      <c r="J19" s="265" t="s">
        <v>33</v>
      </c>
      <c r="K19" s="266" t="s">
        <v>191</v>
      </c>
      <c r="L19" s="266" t="s">
        <v>192</v>
      </c>
      <c r="M19" s="269">
        <v>66745792</v>
      </c>
      <c r="N19" s="269">
        <v>1097137</v>
      </c>
      <c r="O19" s="269">
        <v>6601002</v>
      </c>
      <c r="P19" s="269">
        <v>28535715</v>
      </c>
      <c r="Q19" s="261"/>
      <c r="R19" s="261"/>
    </row>
    <row r="20" spans="1:18" x14ac:dyDescent="0.35">
      <c r="A20" s="265" t="s">
        <v>34</v>
      </c>
      <c r="B20" s="268">
        <v>347076</v>
      </c>
      <c r="C20" s="268">
        <v>351441</v>
      </c>
      <c r="D20" s="268">
        <v>1274544</v>
      </c>
      <c r="E20" s="268">
        <v>24378</v>
      </c>
      <c r="F20" s="268">
        <v>95562</v>
      </c>
      <c r="G20" s="268">
        <v>404854</v>
      </c>
      <c r="H20" s="261"/>
      <c r="I20" s="261"/>
      <c r="J20" s="265" t="s">
        <v>34</v>
      </c>
      <c r="K20" s="266" t="s">
        <v>191</v>
      </c>
      <c r="L20" s="266" t="s">
        <v>192</v>
      </c>
      <c r="M20" s="269">
        <v>66654580</v>
      </c>
      <c r="N20" s="269">
        <v>1096157</v>
      </c>
      <c r="O20" s="269">
        <v>6568101</v>
      </c>
      <c r="P20" s="269">
        <v>28393166</v>
      </c>
      <c r="Q20" s="261"/>
      <c r="R20" s="261"/>
    </row>
    <row r="21" spans="1:18" x14ac:dyDescent="0.35">
      <c r="A21" s="265" t="s">
        <v>35</v>
      </c>
      <c r="B21" s="268">
        <v>344718</v>
      </c>
      <c r="C21" s="268">
        <v>341056</v>
      </c>
      <c r="D21" s="268">
        <v>1199009</v>
      </c>
      <c r="E21" s="268">
        <v>24363</v>
      </c>
      <c r="F21" s="268">
        <v>95108</v>
      </c>
      <c r="G21" s="268">
        <v>402831</v>
      </c>
      <c r="H21" s="261"/>
      <c r="I21" s="261"/>
      <c r="J21" s="265" t="s">
        <v>35</v>
      </c>
      <c r="K21" s="266" t="s">
        <v>191</v>
      </c>
      <c r="L21" s="266" t="s">
        <v>192</v>
      </c>
      <c r="M21" s="269">
        <v>66564505</v>
      </c>
      <c r="N21" s="269">
        <v>1095177</v>
      </c>
      <c r="O21" s="269">
        <v>6534982</v>
      </c>
      <c r="P21" s="269">
        <v>28251053</v>
      </c>
      <c r="Q21" s="261"/>
      <c r="R21" s="261"/>
    </row>
    <row r="22" spans="1:18" x14ac:dyDescent="0.35">
      <c r="A22" s="265" t="s">
        <v>36</v>
      </c>
      <c r="B22" s="268">
        <v>321099</v>
      </c>
      <c r="C22" s="268">
        <v>320582</v>
      </c>
      <c r="D22" s="268">
        <v>1185827</v>
      </c>
      <c r="E22" s="268">
        <v>24350</v>
      </c>
      <c r="F22" s="268">
        <v>94651</v>
      </c>
      <c r="G22" s="268">
        <v>400814</v>
      </c>
      <c r="H22" s="261"/>
      <c r="I22" s="261"/>
      <c r="J22" s="265" t="s">
        <v>36</v>
      </c>
      <c r="K22" s="266" t="s">
        <v>191</v>
      </c>
      <c r="L22" s="266" t="s">
        <v>192</v>
      </c>
      <c r="M22" s="269">
        <v>66474431</v>
      </c>
      <c r="N22" s="269">
        <v>1094263</v>
      </c>
      <c r="O22" s="269">
        <v>6502371</v>
      </c>
      <c r="P22" s="269">
        <v>28109953</v>
      </c>
      <c r="Q22" s="261"/>
      <c r="R22" s="261"/>
    </row>
    <row r="23" spans="1:18" x14ac:dyDescent="0.35">
      <c r="A23" s="265" t="s">
        <v>37</v>
      </c>
      <c r="B23" s="268">
        <v>203756</v>
      </c>
      <c r="C23" s="268">
        <v>189991</v>
      </c>
      <c r="D23" s="268">
        <v>1184327</v>
      </c>
      <c r="E23" s="268">
        <v>24336</v>
      </c>
      <c r="F23" s="268">
        <v>94201</v>
      </c>
      <c r="G23" s="268">
        <v>398811</v>
      </c>
      <c r="H23" s="261"/>
      <c r="I23" s="261"/>
      <c r="J23" s="265" t="s">
        <v>37</v>
      </c>
      <c r="K23" s="266" t="s">
        <v>191</v>
      </c>
      <c r="L23" s="266" t="s">
        <v>192</v>
      </c>
      <c r="M23" s="269">
        <v>64892331</v>
      </c>
      <c r="N23" s="269">
        <v>1093217</v>
      </c>
      <c r="O23" s="269">
        <v>1380916</v>
      </c>
      <c r="P23" s="269">
        <v>27969217</v>
      </c>
      <c r="Q23" s="261"/>
      <c r="R23" s="261"/>
    </row>
    <row r="24" spans="1:18" x14ac:dyDescent="0.35">
      <c r="A24" s="265" t="s">
        <v>38</v>
      </c>
      <c r="B24" s="268">
        <v>203130</v>
      </c>
      <c r="C24" s="268">
        <v>189805</v>
      </c>
      <c r="D24" s="268">
        <v>1153953</v>
      </c>
      <c r="E24" s="268">
        <v>24322</v>
      </c>
      <c r="F24" s="268">
        <v>4572</v>
      </c>
      <c r="G24" s="268">
        <v>396820</v>
      </c>
      <c r="H24" s="261"/>
      <c r="I24" s="261"/>
      <c r="J24" s="265" t="s">
        <v>38</v>
      </c>
      <c r="K24" s="266" t="s">
        <v>191</v>
      </c>
      <c r="L24" s="266" t="s">
        <v>192</v>
      </c>
      <c r="M24" s="269">
        <v>64803155</v>
      </c>
      <c r="N24" s="269">
        <v>1092237</v>
      </c>
      <c r="O24" s="266" t="s">
        <v>187</v>
      </c>
      <c r="P24" s="269">
        <v>27829712</v>
      </c>
      <c r="Q24" s="261"/>
      <c r="R24" s="261"/>
    </row>
    <row r="25" spans="1:18" x14ac:dyDescent="0.35">
      <c r="A25" s="265" t="s">
        <v>39</v>
      </c>
      <c r="B25" s="268">
        <v>176881</v>
      </c>
      <c r="C25" s="268">
        <v>183457</v>
      </c>
      <c r="D25" s="268">
        <v>1152469</v>
      </c>
      <c r="E25" s="268">
        <v>24308</v>
      </c>
      <c r="F25" s="268">
        <v>4572</v>
      </c>
      <c r="G25" s="268">
        <v>394835</v>
      </c>
      <c r="H25" s="261"/>
      <c r="I25" s="261"/>
      <c r="J25" s="265" t="s">
        <v>39</v>
      </c>
      <c r="K25" s="266" t="s">
        <v>191</v>
      </c>
      <c r="L25" s="266" t="s">
        <v>192</v>
      </c>
      <c r="M25" s="269">
        <v>55490290</v>
      </c>
      <c r="N25" s="269">
        <v>1091322</v>
      </c>
      <c r="O25" s="266" t="s">
        <v>187</v>
      </c>
      <c r="P25" s="269">
        <v>27690425</v>
      </c>
      <c r="Q25" s="261"/>
      <c r="R25" s="261"/>
    </row>
    <row r="26" spans="1:18" x14ac:dyDescent="0.35">
      <c r="A26" s="265" t="s">
        <v>40</v>
      </c>
      <c r="B26" s="268">
        <v>76614</v>
      </c>
      <c r="C26" s="268">
        <v>61062</v>
      </c>
      <c r="D26" s="268">
        <v>945328</v>
      </c>
      <c r="E26" s="268">
        <v>24294</v>
      </c>
      <c r="F26" s="268">
        <v>4572</v>
      </c>
      <c r="G26" s="268">
        <v>392858</v>
      </c>
      <c r="H26" s="261"/>
      <c r="I26" s="261"/>
      <c r="J26" s="265" t="s">
        <v>40</v>
      </c>
      <c r="K26" s="266" t="s">
        <v>191</v>
      </c>
      <c r="L26" s="266" t="s">
        <v>192</v>
      </c>
      <c r="M26" s="269">
        <v>51805403</v>
      </c>
      <c r="N26" s="269">
        <v>1090277</v>
      </c>
      <c r="O26" s="266" t="s">
        <v>187</v>
      </c>
      <c r="P26" s="269">
        <v>27551717</v>
      </c>
      <c r="Q26" s="261"/>
      <c r="R26" s="261"/>
    </row>
    <row r="27" spans="1:18" x14ac:dyDescent="0.35">
      <c r="A27" s="265" t="s">
        <v>165</v>
      </c>
      <c r="B27" s="268">
        <v>54225</v>
      </c>
      <c r="C27" s="268">
        <v>56636</v>
      </c>
      <c r="D27" s="268">
        <v>943858</v>
      </c>
      <c r="E27" s="268">
        <v>24280</v>
      </c>
      <c r="F27" s="268">
        <v>4572</v>
      </c>
      <c r="G27" s="268">
        <v>390894</v>
      </c>
      <c r="H27" s="261"/>
      <c r="I27" s="261"/>
      <c r="J27" s="265" t="s">
        <v>165</v>
      </c>
      <c r="K27" s="266" t="s">
        <v>191</v>
      </c>
      <c r="L27" s="266" t="s">
        <v>192</v>
      </c>
      <c r="M27" s="269">
        <v>37004471</v>
      </c>
      <c r="N27" s="269">
        <v>1032751</v>
      </c>
      <c r="O27" s="266" t="s">
        <v>187</v>
      </c>
      <c r="P27" s="269">
        <v>27413879</v>
      </c>
      <c r="Q27" s="261"/>
      <c r="R27" s="261"/>
    </row>
    <row r="28" spans="1:18" x14ac:dyDescent="0.35">
      <c r="A28" s="265" t="s">
        <v>193</v>
      </c>
      <c r="B28" s="266" t="s">
        <v>190</v>
      </c>
      <c r="C28" s="266" t="s">
        <v>190</v>
      </c>
      <c r="D28" s="268">
        <v>597017</v>
      </c>
      <c r="E28" s="268">
        <v>22733</v>
      </c>
      <c r="F28" s="266" t="s">
        <v>190</v>
      </c>
      <c r="G28" s="268">
        <v>388939</v>
      </c>
      <c r="H28" s="261"/>
      <c r="I28" s="261"/>
      <c r="J28" s="265" t="s">
        <v>193</v>
      </c>
      <c r="K28" s="266" t="s">
        <v>191</v>
      </c>
      <c r="L28" s="266" t="s">
        <v>192</v>
      </c>
      <c r="M28" s="269">
        <v>34634532</v>
      </c>
      <c r="N28" s="269">
        <v>871599</v>
      </c>
      <c r="O28" s="266" t="s">
        <v>187</v>
      </c>
      <c r="P28" s="269">
        <v>15770052</v>
      </c>
      <c r="Q28" s="261"/>
      <c r="R28" s="261"/>
    </row>
    <row r="29" spans="1:18" x14ac:dyDescent="0.35">
      <c r="A29" s="261"/>
      <c r="B29" s="261"/>
      <c r="C29" s="261"/>
      <c r="D29" s="261"/>
      <c r="E29" s="261"/>
      <c r="F29" s="261"/>
      <c r="G29" s="261"/>
      <c r="H29" s="261"/>
      <c r="I29" s="261"/>
      <c r="J29" s="261"/>
      <c r="K29" s="261"/>
      <c r="L29" s="261"/>
      <c r="M29" s="261"/>
      <c r="N29" s="261"/>
      <c r="O29" s="261"/>
      <c r="P29" s="261"/>
      <c r="Q29" s="261"/>
      <c r="R29" s="261"/>
    </row>
    <row r="30" spans="1:18" x14ac:dyDescent="0.35">
      <c r="A30" s="259" t="s">
        <v>41</v>
      </c>
      <c r="B30" s="260" t="s">
        <v>177</v>
      </c>
      <c r="C30" s="260" t="s">
        <v>177</v>
      </c>
      <c r="D30" s="260" t="s">
        <v>177</v>
      </c>
      <c r="E30" s="260" t="s">
        <v>177</v>
      </c>
      <c r="F30" s="260" t="s">
        <v>177</v>
      </c>
      <c r="G30" s="260" t="s">
        <v>177</v>
      </c>
      <c r="H30" s="261"/>
      <c r="I30" s="261"/>
      <c r="J30" s="259" t="s">
        <v>41</v>
      </c>
      <c r="K30" s="260" t="s">
        <v>177</v>
      </c>
      <c r="L30" s="260" t="s">
        <v>177</v>
      </c>
      <c r="M30" s="260" t="s">
        <v>177</v>
      </c>
      <c r="N30" s="260" t="s">
        <v>177</v>
      </c>
      <c r="O30" s="260" t="s">
        <v>177</v>
      </c>
      <c r="P30" s="262" t="s">
        <v>177</v>
      </c>
      <c r="Q30" s="261"/>
      <c r="R30" s="261"/>
    </row>
    <row r="31" spans="1:18" x14ac:dyDescent="0.35">
      <c r="A31" s="263" t="s">
        <v>1</v>
      </c>
      <c r="B31" s="264" t="s">
        <v>179</v>
      </c>
      <c r="C31" s="264" t="s">
        <v>180</v>
      </c>
      <c r="D31" s="264" t="s">
        <v>181</v>
      </c>
      <c r="E31" s="264" t="s">
        <v>182</v>
      </c>
      <c r="F31" s="264" t="s">
        <v>183</v>
      </c>
      <c r="G31" s="262" t="s">
        <v>184</v>
      </c>
      <c r="H31" s="261"/>
      <c r="I31" s="261"/>
      <c r="J31" s="263" t="s">
        <v>1</v>
      </c>
      <c r="K31" s="264" t="s">
        <v>179</v>
      </c>
      <c r="L31" s="264" t="s">
        <v>180</v>
      </c>
      <c r="M31" s="264" t="s">
        <v>181</v>
      </c>
      <c r="N31" s="264" t="s">
        <v>182</v>
      </c>
      <c r="O31" s="264" t="s">
        <v>183</v>
      </c>
      <c r="P31" s="262" t="s">
        <v>184</v>
      </c>
      <c r="Q31" s="261"/>
      <c r="R31" s="261"/>
    </row>
    <row r="32" spans="1:18" x14ac:dyDescent="0.35">
      <c r="A32" s="265" t="s">
        <v>17</v>
      </c>
      <c r="B32" s="268">
        <v>13660</v>
      </c>
      <c r="C32" s="268">
        <v>43324</v>
      </c>
      <c r="D32" s="266" t="s">
        <v>194</v>
      </c>
      <c r="E32" s="266" t="s">
        <v>185</v>
      </c>
      <c r="F32" s="266" t="s">
        <v>185</v>
      </c>
      <c r="G32" s="267" t="s">
        <v>185</v>
      </c>
      <c r="H32" s="261"/>
      <c r="I32" s="261"/>
      <c r="J32" s="265" t="s">
        <v>17</v>
      </c>
      <c r="K32" s="269">
        <v>27101691</v>
      </c>
      <c r="L32" s="269">
        <v>17725074</v>
      </c>
      <c r="M32" s="269">
        <v>11306363</v>
      </c>
      <c r="N32" s="266" t="s">
        <v>195</v>
      </c>
      <c r="O32" s="266" t="s">
        <v>195</v>
      </c>
      <c r="P32" s="267" t="s">
        <v>196</v>
      </c>
      <c r="Q32" s="261"/>
      <c r="R32" s="261"/>
    </row>
    <row r="33" spans="1:18" x14ac:dyDescent="0.35">
      <c r="A33" s="265" t="s">
        <v>18</v>
      </c>
      <c r="B33" s="268">
        <v>28081</v>
      </c>
      <c r="C33" s="268">
        <v>81759</v>
      </c>
      <c r="D33" s="268">
        <v>53320</v>
      </c>
      <c r="E33" s="266" t="s">
        <v>185</v>
      </c>
      <c r="F33" s="266" t="s">
        <v>185</v>
      </c>
      <c r="G33" s="266" t="s">
        <v>185</v>
      </c>
      <c r="H33" s="261"/>
      <c r="I33" s="261"/>
      <c r="J33" s="265" t="s">
        <v>18</v>
      </c>
      <c r="K33" s="269">
        <v>16371625</v>
      </c>
      <c r="L33" s="269">
        <v>22825946</v>
      </c>
      <c r="M33" s="269">
        <v>24302184</v>
      </c>
      <c r="N33" s="266" t="s">
        <v>195</v>
      </c>
      <c r="O33" s="266" t="s">
        <v>195</v>
      </c>
      <c r="P33" s="266" t="s">
        <v>196</v>
      </c>
      <c r="Q33" s="261"/>
      <c r="R33" s="261"/>
    </row>
    <row r="34" spans="1:18" x14ac:dyDescent="0.35">
      <c r="A34" s="265" t="s">
        <v>19</v>
      </c>
      <c r="B34" s="268">
        <v>45638</v>
      </c>
      <c r="C34" s="268">
        <v>100964</v>
      </c>
      <c r="D34" s="268">
        <v>65718</v>
      </c>
      <c r="E34" s="266" t="s">
        <v>185</v>
      </c>
      <c r="F34" s="266" t="s">
        <v>185</v>
      </c>
      <c r="G34" s="266" t="s">
        <v>185</v>
      </c>
      <c r="H34" s="261"/>
      <c r="I34" s="261"/>
      <c r="J34" s="265" t="s">
        <v>19</v>
      </c>
      <c r="K34" s="269">
        <v>19157714</v>
      </c>
      <c r="L34" s="269">
        <v>24926002</v>
      </c>
      <c r="M34" s="269">
        <v>27136925</v>
      </c>
      <c r="N34" s="266" t="s">
        <v>195</v>
      </c>
      <c r="O34" s="266" t="s">
        <v>195</v>
      </c>
      <c r="P34" s="266" t="s">
        <v>196</v>
      </c>
      <c r="Q34" s="261"/>
      <c r="R34" s="261"/>
    </row>
    <row r="35" spans="1:18" x14ac:dyDescent="0.35">
      <c r="A35" s="265" t="s">
        <v>20</v>
      </c>
      <c r="B35" s="268">
        <v>62723</v>
      </c>
      <c r="C35" s="268">
        <v>139240</v>
      </c>
      <c r="D35" s="268">
        <v>121617</v>
      </c>
      <c r="E35" s="266" t="s">
        <v>189</v>
      </c>
      <c r="F35" s="266" t="s">
        <v>177</v>
      </c>
      <c r="G35" s="266" t="s">
        <v>177</v>
      </c>
      <c r="H35" s="261"/>
      <c r="I35" s="261"/>
      <c r="J35" s="265" t="s">
        <v>20</v>
      </c>
      <c r="K35" s="269">
        <v>17140617</v>
      </c>
      <c r="L35" s="269">
        <v>29837769</v>
      </c>
      <c r="M35" s="269">
        <v>30733894</v>
      </c>
      <c r="N35" s="266" t="s">
        <v>186</v>
      </c>
      <c r="O35" s="266" t="s">
        <v>187</v>
      </c>
      <c r="P35" s="266" t="s">
        <v>188</v>
      </c>
      <c r="Q35" s="261"/>
      <c r="R35" s="261"/>
    </row>
    <row r="36" spans="1:18" x14ac:dyDescent="0.35">
      <c r="A36" s="265" t="s">
        <v>22</v>
      </c>
      <c r="B36" s="268">
        <v>75995</v>
      </c>
      <c r="C36" s="268">
        <v>159360</v>
      </c>
      <c r="D36" s="268">
        <v>216901</v>
      </c>
      <c r="E36" s="266">
        <v>701</v>
      </c>
      <c r="F36" s="266" t="s">
        <v>177</v>
      </c>
      <c r="G36" s="266" t="s">
        <v>177</v>
      </c>
      <c r="H36" s="261"/>
      <c r="I36" s="261"/>
      <c r="J36" s="265" t="s">
        <v>22</v>
      </c>
      <c r="K36" s="269">
        <v>23885318</v>
      </c>
      <c r="L36" s="269">
        <v>26260774</v>
      </c>
      <c r="M36" s="269">
        <v>36514106</v>
      </c>
      <c r="N36" s="269">
        <v>46295</v>
      </c>
      <c r="O36" s="266" t="s">
        <v>187</v>
      </c>
      <c r="P36" s="266" t="s">
        <v>188</v>
      </c>
      <c r="Q36" s="261"/>
      <c r="R36" s="261"/>
    </row>
    <row r="37" spans="1:18" x14ac:dyDescent="0.35">
      <c r="A37" s="265" t="s">
        <v>23</v>
      </c>
      <c r="B37" s="268">
        <v>75688</v>
      </c>
      <c r="C37" s="268">
        <v>158788</v>
      </c>
      <c r="D37" s="268">
        <v>467235</v>
      </c>
      <c r="E37" s="268">
        <v>4815</v>
      </c>
      <c r="F37" s="268">
        <v>20441</v>
      </c>
      <c r="G37" s="268">
        <v>239349</v>
      </c>
      <c r="H37" s="261"/>
      <c r="I37" s="261"/>
      <c r="J37" s="265" t="s">
        <v>23</v>
      </c>
      <c r="K37" s="266" t="s">
        <v>191</v>
      </c>
      <c r="L37" s="269">
        <v>14635187</v>
      </c>
      <c r="M37" s="269">
        <v>37570801</v>
      </c>
      <c r="N37" s="269">
        <v>279673</v>
      </c>
      <c r="O37" s="269">
        <v>1481359</v>
      </c>
      <c r="P37" s="269">
        <v>17345622</v>
      </c>
      <c r="Q37" s="261"/>
      <c r="R37" s="261"/>
    </row>
    <row r="38" spans="1:18" x14ac:dyDescent="0.35">
      <c r="A38" s="265" t="s">
        <v>24</v>
      </c>
      <c r="B38" s="268">
        <v>75373</v>
      </c>
      <c r="C38" s="268">
        <v>158224</v>
      </c>
      <c r="D38" s="268">
        <v>466358</v>
      </c>
      <c r="E38" s="268">
        <v>4813</v>
      </c>
      <c r="F38" s="268">
        <v>20338</v>
      </c>
      <c r="G38" s="268">
        <v>238158</v>
      </c>
      <c r="H38" s="261"/>
      <c r="I38" s="261"/>
      <c r="J38" s="265" t="s">
        <v>24</v>
      </c>
      <c r="K38" s="266" t="s">
        <v>191</v>
      </c>
      <c r="L38" s="269">
        <v>9534315</v>
      </c>
      <c r="M38" s="269">
        <v>24541861</v>
      </c>
      <c r="N38" s="269">
        <v>279542</v>
      </c>
      <c r="O38" s="269">
        <v>1473895</v>
      </c>
      <c r="P38" s="269">
        <v>17259310</v>
      </c>
      <c r="Q38" s="261"/>
      <c r="R38" s="261"/>
    </row>
    <row r="39" spans="1:18" x14ac:dyDescent="0.35">
      <c r="A39" s="265" t="s">
        <v>25</v>
      </c>
      <c r="B39" s="268">
        <v>75118</v>
      </c>
      <c r="C39" s="268">
        <v>157677</v>
      </c>
      <c r="D39" s="268">
        <v>465486</v>
      </c>
      <c r="E39" s="268">
        <v>4812</v>
      </c>
      <c r="F39" s="268">
        <v>20236</v>
      </c>
      <c r="G39" s="268">
        <v>236965</v>
      </c>
      <c r="H39" s="261"/>
      <c r="I39" s="261"/>
      <c r="J39" s="265" t="s">
        <v>25</v>
      </c>
      <c r="K39" s="266" t="s">
        <v>191</v>
      </c>
      <c r="L39" s="269">
        <v>7224785</v>
      </c>
      <c r="M39" s="269">
        <v>21674240</v>
      </c>
      <c r="N39" s="269">
        <v>279477</v>
      </c>
      <c r="O39" s="269">
        <v>1466503</v>
      </c>
      <c r="P39" s="269">
        <v>17172854</v>
      </c>
      <c r="Q39" s="261"/>
      <c r="R39" s="261"/>
    </row>
    <row r="40" spans="1:18" x14ac:dyDescent="0.35">
      <c r="A40" s="265" t="s">
        <v>26</v>
      </c>
      <c r="B40" s="268">
        <v>74816</v>
      </c>
      <c r="C40" s="268">
        <v>157174</v>
      </c>
      <c r="D40" s="268">
        <v>464621</v>
      </c>
      <c r="E40" s="268">
        <v>4810</v>
      </c>
      <c r="F40" s="268">
        <v>20136</v>
      </c>
      <c r="G40" s="268">
        <v>235780</v>
      </c>
      <c r="H40" s="261"/>
      <c r="I40" s="261"/>
      <c r="J40" s="265" t="s">
        <v>26</v>
      </c>
      <c r="K40" s="266" t="s">
        <v>191</v>
      </c>
      <c r="L40" s="269">
        <v>6037421</v>
      </c>
      <c r="M40" s="269">
        <v>21641540</v>
      </c>
      <c r="N40" s="269">
        <v>279345</v>
      </c>
      <c r="O40" s="269">
        <v>1459256</v>
      </c>
      <c r="P40" s="269">
        <v>17086977</v>
      </c>
      <c r="Q40" s="261"/>
      <c r="R40" s="261"/>
    </row>
    <row r="41" spans="1:18" x14ac:dyDescent="0.35">
      <c r="A41" s="265" t="s">
        <v>27</v>
      </c>
      <c r="B41" s="268">
        <v>74538</v>
      </c>
      <c r="C41" s="268">
        <v>156628</v>
      </c>
      <c r="D41" s="268">
        <v>463752</v>
      </c>
      <c r="E41" s="268">
        <v>4809</v>
      </c>
      <c r="F41" s="268">
        <v>20033</v>
      </c>
      <c r="G41" s="268">
        <v>234599</v>
      </c>
      <c r="H41" s="261"/>
      <c r="I41" s="261"/>
      <c r="J41" s="265" t="s">
        <v>27</v>
      </c>
      <c r="K41" s="266" t="s">
        <v>191</v>
      </c>
      <c r="L41" s="269">
        <v>4910635</v>
      </c>
      <c r="M41" s="269">
        <v>21608841</v>
      </c>
      <c r="N41" s="269">
        <v>279280</v>
      </c>
      <c r="O41" s="269">
        <v>1451792</v>
      </c>
      <c r="P41" s="269">
        <v>17001390</v>
      </c>
      <c r="Q41" s="261"/>
      <c r="R41" s="261"/>
    </row>
    <row r="42" spans="1:18" x14ac:dyDescent="0.35">
      <c r="A42" s="265" t="s">
        <v>28</v>
      </c>
      <c r="B42" s="268">
        <v>74255</v>
      </c>
      <c r="C42" s="268">
        <v>156082</v>
      </c>
      <c r="D42" s="268">
        <v>462897</v>
      </c>
      <c r="E42" s="268">
        <v>4807</v>
      </c>
      <c r="F42" s="268">
        <v>19934</v>
      </c>
      <c r="G42" s="268">
        <v>233427</v>
      </c>
      <c r="H42" s="261"/>
      <c r="I42" s="261"/>
      <c r="J42" s="265" t="s">
        <v>28</v>
      </c>
      <c r="K42" s="266" t="s">
        <v>191</v>
      </c>
      <c r="L42" s="269">
        <v>1590979</v>
      </c>
      <c r="M42" s="269">
        <v>21576440</v>
      </c>
      <c r="N42" s="269">
        <v>279149</v>
      </c>
      <c r="O42" s="269">
        <v>1444617</v>
      </c>
      <c r="P42" s="269">
        <v>16916455</v>
      </c>
      <c r="Q42" s="261"/>
      <c r="R42" s="261"/>
    </row>
    <row r="43" spans="1:18" x14ac:dyDescent="0.35">
      <c r="A43" s="265" t="s">
        <v>29</v>
      </c>
      <c r="B43" s="268">
        <v>73997</v>
      </c>
      <c r="C43" s="268">
        <v>155566</v>
      </c>
      <c r="D43" s="268">
        <v>462045</v>
      </c>
      <c r="E43" s="268">
        <v>4806</v>
      </c>
      <c r="F43" s="268">
        <v>19835</v>
      </c>
      <c r="G43" s="268">
        <v>232258</v>
      </c>
      <c r="H43" s="261"/>
      <c r="I43" s="261"/>
      <c r="J43" s="265" t="s">
        <v>29</v>
      </c>
      <c r="K43" s="266" t="s">
        <v>191</v>
      </c>
      <c r="L43" s="266" t="s">
        <v>192</v>
      </c>
      <c r="M43" s="269">
        <v>21544279</v>
      </c>
      <c r="N43" s="269">
        <v>279083</v>
      </c>
      <c r="O43" s="269">
        <v>1437442</v>
      </c>
      <c r="P43" s="269">
        <v>16831737</v>
      </c>
      <c r="Q43" s="261"/>
      <c r="R43" s="261"/>
    </row>
    <row r="44" spans="1:18" x14ac:dyDescent="0.35">
      <c r="A44" s="265" t="s">
        <v>30</v>
      </c>
      <c r="B44" s="268">
        <v>73603</v>
      </c>
      <c r="C44" s="268">
        <v>154991</v>
      </c>
      <c r="D44" s="268">
        <v>461195</v>
      </c>
      <c r="E44" s="268">
        <v>4804</v>
      </c>
      <c r="F44" s="268">
        <v>19735</v>
      </c>
      <c r="G44" s="268">
        <v>231097</v>
      </c>
      <c r="H44" s="261"/>
      <c r="I44" s="261"/>
      <c r="J44" s="265" t="s">
        <v>30</v>
      </c>
      <c r="K44" s="266" t="s">
        <v>191</v>
      </c>
      <c r="L44" s="266" t="s">
        <v>192</v>
      </c>
      <c r="M44" s="269">
        <v>21512238</v>
      </c>
      <c r="N44" s="269">
        <v>278952</v>
      </c>
      <c r="O44" s="269">
        <v>1430195</v>
      </c>
      <c r="P44" s="269">
        <v>16747600</v>
      </c>
      <c r="Q44" s="261"/>
      <c r="R44" s="261"/>
    </row>
    <row r="45" spans="1:18" x14ac:dyDescent="0.35">
      <c r="A45" s="265" t="s">
        <v>31</v>
      </c>
      <c r="B45" s="268">
        <v>73346</v>
      </c>
      <c r="C45" s="268">
        <v>154469</v>
      </c>
      <c r="D45" s="268">
        <v>460348</v>
      </c>
      <c r="E45" s="268">
        <v>4803</v>
      </c>
      <c r="F45" s="268">
        <v>19637</v>
      </c>
      <c r="G45" s="268">
        <v>229943</v>
      </c>
      <c r="H45" s="261"/>
      <c r="I45" s="261"/>
      <c r="J45" s="265" t="s">
        <v>31</v>
      </c>
      <c r="K45" s="266" t="s">
        <v>191</v>
      </c>
      <c r="L45" s="266" t="s">
        <v>192</v>
      </c>
      <c r="M45" s="269">
        <v>21480257</v>
      </c>
      <c r="N45" s="269">
        <v>278886</v>
      </c>
      <c r="O45" s="269">
        <v>1423093</v>
      </c>
      <c r="P45" s="269">
        <v>16663969</v>
      </c>
      <c r="Q45" s="261"/>
      <c r="R45" s="261"/>
    </row>
    <row r="46" spans="1:18" x14ac:dyDescent="0.35">
      <c r="A46" s="265" t="s">
        <v>32</v>
      </c>
      <c r="B46" s="268">
        <v>60514</v>
      </c>
      <c r="C46" s="268">
        <v>119204</v>
      </c>
      <c r="D46" s="268">
        <v>459506</v>
      </c>
      <c r="E46" s="268">
        <v>4802</v>
      </c>
      <c r="F46" s="268">
        <v>19538</v>
      </c>
      <c r="G46" s="268">
        <v>228796</v>
      </c>
      <c r="H46" s="261"/>
      <c r="I46" s="261"/>
      <c r="J46" s="265" t="s">
        <v>32</v>
      </c>
      <c r="K46" s="266" t="s">
        <v>191</v>
      </c>
      <c r="L46" s="266" t="s">
        <v>192</v>
      </c>
      <c r="M46" s="269">
        <v>21448395</v>
      </c>
      <c r="N46" s="269">
        <v>278821</v>
      </c>
      <c r="O46" s="269">
        <v>1415919</v>
      </c>
      <c r="P46" s="269">
        <v>16580846</v>
      </c>
      <c r="Q46" s="261"/>
      <c r="R46" s="261"/>
    </row>
    <row r="47" spans="1:18" x14ac:dyDescent="0.35">
      <c r="A47" s="265" t="s">
        <v>33</v>
      </c>
      <c r="B47" s="268">
        <v>59996</v>
      </c>
      <c r="C47" s="268">
        <v>113264</v>
      </c>
      <c r="D47" s="268">
        <v>458668</v>
      </c>
      <c r="E47" s="268">
        <v>4800</v>
      </c>
      <c r="F47" s="268">
        <v>19439</v>
      </c>
      <c r="G47" s="268">
        <v>227648</v>
      </c>
      <c r="H47" s="261"/>
      <c r="I47" s="261"/>
      <c r="J47" s="265" t="s">
        <v>33</v>
      </c>
      <c r="K47" s="266" t="s">
        <v>191</v>
      </c>
      <c r="L47" s="266" t="s">
        <v>192</v>
      </c>
      <c r="M47" s="269">
        <v>21416773</v>
      </c>
      <c r="N47" s="269">
        <v>278690</v>
      </c>
      <c r="O47" s="269">
        <v>1408744</v>
      </c>
      <c r="P47" s="269">
        <v>16497651</v>
      </c>
      <c r="Q47" s="261"/>
      <c r="R47" s="261"/>
    </row>
    <row r="48" spans="1:18" x14ac:dyDescent="0.35">
      <c r="A48" s="265" t="s">
        <v>34</v>
      </c>
      <c r="B48" s="268">
        <v>54409</v>
      </c>
      <c r="C48" s="268">
        <v>78579</v>
      </c>
      <c r="D48" s="268">
        <v>408376</v>
      </c>
      <c r="E48" s="268">
        <v>4799</v>
      </c>
      <c r="F48" s="268">
        <v>19343</v>
      </c>
      <c r="G48" s="268">
        <v>226511</v>
      </c>
      <c r="H48" s="261"/>
      <c r="I48" s="261"/>
      <c r="J48" s="265" t="s">
        <v>34</v>
      </c>
      <c r="K48" s="266" t="s">
        <v>191</v>
      </c>
      <c r="L48" s="266" t="s">
        <v>192</v>
      </c>
      <c r="M48" s="269">
        <v>21385211</v>
      </c>
      <c r="N48" s="269">
        <v>278624</v>
      </c>
      <c r="O48" s="269">
        <v>1401787</v>
      </c>
      <c r="P48" s="269">
        <v>16415252</v>
      </c>
      <c r="Q48" s="261"/>
      <c r="R48" s="261"/>
    </row>
    <row r="49" spans="1:18" x14ac:dyDescent="0.35">
      <c r="A49" s="265" t="s">
        <v>35</v>
      </c>
      <c r="B49" s="268">
        <v>54135</v>
      </c>
      <c r="C49" s="268">
        <v>74177</v>
      </c>
      <c r="D49" s="268">
        <v>396048</v>
      </c>
      <c r="E49" s="268">
        <v>4797</v>
      </c>
      <c r="F49" s="268">
        <v>19247</v>
      </c>
      <c r="G49" s="268">
        <v>225379</v>
      </c>
      <c r="H49" s="261"/>
      <c r="I49" s="261"/>
      <c r="J49" s="265" t="s">
        <v>35</v>
      </c>
      <c r="K49" s="266" t="s">
        <v>191</v>
      </c>
      <c r="L49" s="266" t="s">
        <v>192</v>
      </c>
      <c r="M49" s="269">
        <v>21354009</v>
      </c>
      <c r="N49" s="269">
        <v>278493</v>
      </c>
      <c r="O49" s="269">
        <v>1394830</v>
      </c>
      <c r="P49" s="269">
        <v>16333216</v>
      </c>
      <c r="Q49" s="261"/>
      <c r="R49" s="261"/>
    </row>
    <row r="50" spans="1:18" x14ac:dyDescent="0.35">
      <c r="A50" s="265" t="s">
        <v>36</v>
      </c>
      <c r="B50" s="268">
        <v>50108</v>
      </c>
      <c r="C50" s="268">
        <v>67678</v>
      </c>
      <c r="D50" s="268">
        <v>395528</v>
      </c>
      <c r="E50" s="268">
        <v>4796</v>
      </c>
      <c r="F50" s="268">
        <v>19151</v>
      </c>
      <c r="G50" s="268">
        <v>224252</v>
      </c>
      <c r="H50" s="261"/>
      <c r="I50" s="261"/>
      <c r="J50" s="265" t="s">
        <v>36</v>
      </c>
      <c r="K50" s="266" t="s">
        <v>191</v>
      </c>
      <c r="L50" s="266" t="s">
        <v>192</v>
      </c>
      <c r="M50" s="269">
        <v>21322866</v>
      </c>
      <c r="N50" s="269">
        <v>278427</v>
      </c>
      <c r="O50" s="269">
        <v>1387873</v>
      </c>
      <c r="P50" s="269">
        <v>16251542</v>
      </c>
      <c r="Q50" s="261"/>
      <c r="R50" s="261"/>
    </row>
    <row r="51" spans="1:18" x14ac:dyDescent="0.35">
      <c r="A51" s="265" t="s">
        <v>37</v>
      </c>
      <c r="B51" s="268">
        <v>47698</v>
      </c>
      <c r="C51" s="268">
        <v>56491</v>
      </c>
      <c r="D51" s="268">
        <v>395012</v>
      </c>
      <c r="E51" s="268">
        <v>4794</v>
      </c>
      <c r="F51" s="268">
        <v>19055</v>
      </c>
      <c r="G51" s="268">
        <v>223129</v>
      </c>
      <c r="H51" s="261"/>
      <c r="I51" s="261"/>
      <c r="J51" s="265" t="s">
        <v>37</v>
      </c>
      <c r="K51" s="266" t="s">
        <v>191</v>
      </c>
      <c r="L51" s="266" t="s">
        <v>192</v>
      </c>
      <c r="M51" s="269">
        <v>21291963</v>
      </c>
      <c r="N51" s="269">
        <v>278296</v>
      </c>
      <c r="O51" s="269">
        <v>1380916</v>
      </c>
      <c r="P51" s="269">
        <v>16170159</v>
      </c>
      <c r="Q51" s="261"/>
      <c r="R51" s="261"/>
    </row>
    <row r="52" spans="1:18" x14ac:dyDescent="0.35">
      <c r="A52" s="265" t="s">
        <v>38</v>
      </c>
      <c r="B52" s="268">
        <v>47549</v>
      </c>
      <c r="C52" s="268">
        <v>56402</v>
      </c>
      <c r="D52" s="268">
        <v>394494</v>
      </c>
      <c r="E52" s="268">
        <v>4793</v>
      </c>
      <c r="F52" s="266" t="s">
        <v>177</v>
      </c>
      <c r="G52" s="268">
        <v>222017</v>
      </c>
      <c r="H52" s="261"/>
      <c r="I52" s="261"/>
      <c r="J52" s="265" t="s">
        <v>38</v>
      </c>
      <c r="K52" s="266" t="s">
        <v>191</v>
      </c>
      <c r="L52" s="266" t="s">
        <v>192</v>
      </c>
      <c r="M52" s="269">
        <v>21260940</v>
      </c>
      <c r="N52" s="269">
        <v>278231</v>
      </c>
      <c r="O52" s="266" t="s">
        <v>187</v>
      </c>
      <c r="P52" s="269">
        <v>16089572</v>
      </c>
      <c r="Q52" s="261"/>
      <c r="R52" s="261"/>
    </row>
    <row r="53" spans="1:18" x14ac:dyDescent="0.35">
      <c r="A53" s="265" t="s">
        <v>39</v>
      </c>
      <c r="B53" s="268">
        <v>39562</v>
      </c>
      <c r="C53" s="268">
        <v>55034</v>
      </c>
      <c r="D53" s="268">
        <v>393981</v>
      </c>
      <c r="E53" s="268">
        <v>4792</v>
      </c>
      <c r="F53" s="266" t="s">
        <v>177</v>
      </c>
      <c r="G53" s="268">
        <v>220905</v>
      </c>
      <c r="H53" s="261"/>
      <c r="I53" s="261"/>
      <c r="J53" s="265" t="s">
        <v>39</v>
      </c>
      <c r="K53" s="266" t="s">
        <v>191</v>
      </c>
      <c r="L53" s="266" t="s">
        <v>192</v>
      </c>
      <c r="M53" s="269">
        <v>21230216</v>
      </c>
      <c r="N53" s="269">
        <v>278165</v>
      </c>
      <c r="O53" s="266" t="s">
        <v>187</v>
      </c>
      <c r="P53" s="269">
        <v>16008985</v>
      </c>
      <c r="Q53" s="261"/>
      <c r="R53" s="261"/>
    </row>
    <row r="54" spans="1:18" x14ac:dyDescent="0.35">
      <c r="A54" s="265" t="s">
        <v>40</v>
      </c>
      <c r="B54" s="268">
        <v>18972</v>
      </c>
      <c r="C54" s="268">
        <v>12334</v>
      </c>
      <c r="D54" s="268">
        <v>337246</v>
      </c>
      <c r="E54" s="268">
        <v>4790</v>
      </c>
      <c r="F54" s="266" t="s">
        <v>177</v>
      </c>
      <c r="G54" s="268">
        <v>219798</v>
      </c>
      <c r="H54" s="261"/>
      <c r="I54" s="261"/>
      <c r="J54" s="265" t="s">
        <v>40</v>
      </c>
      <c r="K54" s="266" t="s">
        <v>191</v>
      </c>
      <c r="L54" s="266" t="s">
        <v>192</v>
      </c>
      <c r="M54" s="269">
        <v>17602942</v>
      </c>
      <c r="N54" s="269">
        <v>278034</v>
      </c>
      <c r="O54" s="266" t="s">
        <v>187</v>
      </c>
      <c r="P54" s="269">
        <v>15928761</v>
      </c>
      <c r="Q54" s="261"/>
      <c r="R54" s="261"/>
    </row>
    <row r="55" spans="1:18" x14ac:dyDescent="0.35">
      <c r="A55" s="265" t="s">
        <v>165</v>
      </c>
      <c r="B55" s="268">
        <v>11178</v>
      </c>
      <c r="C55" s="268">
        <v>9414</v>
      </c>
      <c r="D55" s="268">
        <v>336738</v>
      </c>
      <c r="E55" s="268">
        <v>4789</v>
      </c>
      <c r="F55" s="266" t="s">
        <v>177</v>
      </c>
      <c r="G55" s="268">
        <v>218700</v>
      </c>
      <c r="H55" s="261"/>
      <c r="I55" s="261"/>
      <c r="J55" s="265" t="s">
        <v>165</v>
      </c>
      <c r="K55" s="266" t="s">
        <v>177</v>
      </c>
      <c r="L55" s="266" t="s">
        <v>177</v>
      </c>
      <c r="M55" s="269">
        <v>17572518</v>
      </c>
      <c r="N55" s="269">
        <v>277968</v>
      </c>
      <c r="O55" s="266" t="s">
        <v>187</v>
      </c>
      <c r="P55" s="269">
        <v>15849189</v>
      </c>
      <c r="Q55" s="261"/>
      <c r="R55" s="261"/>
    </row>
    <row r="56" spans="1:18" x14ac:dyDescent="0.35">
      <c r="A56" s="265" t="s">
        <v>193</v>
      </c>
      <c r="B56" s="266" t="s">
        <v>190</v>
      </c>
      <c r="C56" s="266" t="s">
        <v>190</v>
      </c>
      <c r="D56" s="268">
        <v>243194</v>
      </c>
      <c r="E56" s="268">
        <v>4115</v>
      </c>
      <c r="F56" s="266" t="s">
        <v>177</v>
      </c>
      <c r="G56" s="268">
        <v>217608</v>
      </c>
      <c r="H56" s="261"/>
      <c r="I56" s="261"/>
      <c r="J56" s="265" t="s">
        <v>193</v>
      </c>
      <c r="K56" s="266" t="s">
        <v>177</v>
      </c>
      <c r="L56" s="266" t="s">
        <v>177</v>
      </c>
      <c r="M56" s="269">
        <v>11915919</v>
      </c>
      <c r="N56" s="269">
        <v>233444</v>
      </c>
      <c r="O56" s="266" t="s">
        <v>187</v>
      </c>
      <c r="P56" s="269">
        <v>15770052</v>
      </c>
      <c r="Q56" s="261"/>
      <c r="R56" s="261"/>
    </row>
    <row r="57" spans="1:18" x14ac:dyDescent="0.35">
      <c r="A57" s="270" t="s">
        <v>197</v>
      </c>
      <c r="B57" s="261"/>
      <c r="C57" s="261"/>
      <c r="D57" s="261"/>
      <c r="E57" s="261"/>
      <c r="F57" s="261"/>
      <c r="G57" s="261"/>
      <c r="H57" s="261"/>
      <c r="I57" s="261"/>
      <c r="J57" s="270" t="s">
        <v>198</v>
      </c>
      <c r="K57" s="261"/>
      <c r="L57" s="261"/>
      <c r="M57" s="261"/>
      <c r="N57" s="261"/>
      <c r="O57" s="261"/>
      <c r="P57" s="261"/>
      <c r="Q57" s="261"/>
      <c r="R57" s="261"/>
    </row>
    <row r="58" spans="1:18" x14ac:dyDescent="0.35">
      <c r="A58" s="261"/>
      <c r="B58" s="261"/>
      <c r="C58" s="261"/>
      <c r="D58" s="261"/>
      <c r="E58" s="261"/>
      <c r="F58" s="261"/>
      <c r="G58" s="261"/>
      <c r="H58" s="261"/>
      <c r="I58" s="261"/>
      <c r="J58" s="261"/>
      <c r="K58" s="261"/>
      <c r="L58" s="261"/>
      <c r="M58" s="261"/>
      <c r="N58" s="261"/>
      <c r="O58" s="261"/>
      <c r="P58" s="261"/>
      <c r="Q58" s="261"/>
      <c r="R58" s="261"/>
    </row>
    <row r="59" spans="1:18" x14ac:dyDescent="0.35">
      <c r="A59" s="259" t="s">
        <v>43</v>
      </c>
      <c r="B59" s="260" t="s">
        <v>177</v>
      </c>
      <c r="C59" s="260" t="s">
        <v>177</v>
      </c>
      <c r="D59" s="260" t="s">
        <v>177</v>
      </c>
      <c r="E59" s="260" t="s">
        <v>177</v>
      </c>
      <c r="F59" s="260" t="s">
        <v>177</v>
      </c>
      <c r="G59" s="260" t="s">
        <v>177</v>
      </c>
      <c r="H59" s="261"/>
      <c r="I59" s="261"/>
      <c r="J59" s="259" t="s">
        <v>43</v>
      </c>
      <c r="K59" s="260" t="s">
        <v>177</v>
      </c>
      <c r="L59" s="260" t="s">
        <v>177</v>
      </c>
      <c r="M59" s="260" t="s">
        <v>177</v>
      </c>
      <c r="N59" s="260" t="s">
        <v>177</v>
      </c>
      <c r="O59" s="260" t="s">
        <v>177</v>
      </c>
      <c r="P59" s="260" t="s">
        <v>177</v>
      </c>
      <c r="Q59" s="261"/>
      <c r="R59" s="261"/>
    </row>
    <row r="60" spans="1:18" x14ac:dyDescent="0.35">
      <c r="A60" s="263" t="s">
        <v>1</v>
      </c>
      <c r="B60" s="264" t="s">
        <v>179</v>
      </c>
      <c r="C60" s="264" t="s">
        <v>180</v>
      </c>
      <c r="D60" s="264" t="s">
        <v>181</v>
      </c>
      <c r="E60" s="264" t="s">
        <v>182</v>
      </c>
      <c r="F60" s="264" t="s">
        <v>183</v>
      </c>
      <c r="G60" s="262" t="s">
        <v>184</v>
      </c>
      <c r="H60" s="261"/>
      <c r="I60" s="261"/>
      <c r="J60" s="263" t="s">
        <v>1</v>
      </c>
      <c r="K60" s="264" t="s">
        <v>179</v>
      </c>
      <c r="L60" s="264" t="s">
        <v>180</v>
      </c>
      <c r="M60" s="264" t="s">
        <v>181</v>
      </c>
      <c r="N60" s="264" t="s">
        <v>182</v>
      </c>
      <c r="O60" s="264" t="s">
        <v>183</v>
      </c>
      <c r="P60" s="262" t="s">
        <v>184</v>
      </c>
      <c r="Q60" s="261"/>
      <c r="R60" s="261"/>
    </row>
    <row r="61" spans="1:18" x14ac:dyDescent="0.35">
      <c r="A61" s="265" t="s">
        <v>177</v>
      </c>
      <c r="B61" s="266" t="s">
        <v>177</v>
      </c>
      <c r="C61" s="266" t="s">
        <v>177</v>
      </c>
      <c r="D61" s="266" t="s">
        <v>177</v>
      </c>
      <c r="E61" s="266" t="s">
        <v>177</v>
      </c>
      <c r="F61" s="266" t="s">
        <v>177</v>
      </c>
      <c r="G61" s="267" t="s">
        <v>177</v>
      </c>
      <c r="H61" s="261"/>
      <c r="I61" s="261"/>
      <c r="J61" s="265" t="s">
        <v>177</v>
      </c>
      <c r="K61" s="266" t="s">
        <v>177</v>
      </c>
      <c r="L61" s="266" t="s">
        <v>177</v>
      </c>
      <c r="M61" s="266" t="s">
        <v>177</v>
      </c>
      <c r="N61" s="266" t="s">
        <v>177</v>
      </c>
      <c r="O61" s="266" t="s">
        <v>177</v>
      </c>
      <c r="P61" s="267" t="s">
        <v>177</v>
      </c>
      <c r="Q61" s="261"/>
      <c r="R61" s="261"/>
    </row>
    <row r="62" spans="1:18" x14ac:dyDescent="0.35">
      <c r="A62" s="265" t="s">
        <v>17</v>
      </c>
      <c r="B62" s="268">
        <v>45717</v>
      </c>
      <c r="C62" s="268">
        <v>58346</v>
      </c>
      <c r="D62" s="268">
        <v>1333</v>
      </c>
      <c r="E62" s="266" t="s">
        <v>185</v>
      </c>
      <c r="F62" s="266" t="s">
        <v>185</v>
      </c>
      <c r="G62" s="266" t="s">
        <v>185</v>
      </c>
      <c r="H62" s="261"/>
      <c r="I62" s="261"/>
      <c r="J62" s="265" t="s">
        <v>17</v>
      </c>
      <c r="K62" s="269">
        <v>110907691</v>
      </c>
      <c r="L62" s="269">
        <v>30863965</v>
      </c>
      <c r="M62" s="269">
        <v>18682694</v>
      </c>
      <c r="N62" s="266" t="s">
        <v>199</v>
      </c>
      <c r="O62" s="266" t="s">
        <v>199</v>
      </c>
      <c r="P62" s="266" t="s">
        <v>200</v>
      </c>
      <c r="Q62" s="261"/>
      <c r="R62" s="261"/>
    </row>
    <row r="63" spans="1:18" x14ac:dyDescent="0.35">
      <c r="A63" s="265" t="s">
        <v>18</v>
      </c>
      <c r="B63" s="268">
        <v>88889</v>
      </c>
      <c r="C63" s="268">
        <v>110615</v>
      </c>
      <c r="D63" s="268">
        <v>183177</v>
      </c>
      <c r="E63" s="266" t="s">
        <v>185</v>
      </c>
      <c r="F63" s="266" t="s">
        <v>185</v>
      </c>
      <c r="G63" s="266" t="s">
        <v>185</v>
      </c>
      <c r="H63" s="261"/>
      <c r="I63" s="261"/>
      <c r="J63" s="265" t="s">
        <v>18</v>
      </c>
      <c r="K63" s="269">
        <v>45678572</v>
      </c>
      <c r="L63" s="269">
        <v>37506981</v>
      </c>
      <c r="M63" s="269">
        <v>59890128</v>
      </c>
      <c r="N63" s="266" t="s">
        <v>199</v>
      </c>
      <c r="O63" s="266" t="s">
        <v>199</v>
      </c>
      <c r="P63" s="266" t="s">
        <v>200</v>
      </c>
      <c r="Q63" s="261"/>
      <c r="R63" s="261"/>
    </row>
    <row r="64" spans="1:18" x14ac:dyDescent="0.35">
      <c r="A64" s="265" t="s">
        <v>19</v>
      </c>
      <c r="B64" s="268">
        <v>157405</v>
      </c>
      <c r="C64" s="268">
        <v>139595</v>
      </c>
      <c r="D64" s="268">
        <v>248998</v>
      </c>
      <c r="E64" s="266" t="s">
        <v>185</v>
      </c>
      <c r="F64" s="266" t="s">
        <v>185</v>
      </c>
      <c r="G64" s="266" t="s">
        <v>185</v>
      </c>
      <c r="H64" s="261"/>
      <c r="I64" s="261"/>
      <c r="J64" s="265" t="s">
        <v>19</v>
      </c>
      <c r="K64" s="269">
        <v>46795874</v>
      </c>
      <c r="L64" s="269">
        <v>49213739</v>
      </c>
      <c r="M64" s="269">
        <v>86600870</v>
      </c>
      <c r="N64" s="266">
        <v>0</v>
      </c>
      <c r="O64" s="266">
        <v>0</v>
      </c>
      <c r="P64" s="266">
        <v>0</v>
      </c>
      <c r="Q64" s="261"/>
      <c r="R64" s="261"/>
    </row>
    <row r="65" spans="1:18" x14ac:dyDescent="0.35">
      <c r="A65" s="265" t="s">
        <v>20</v>
      </c>
      <c r="B65" s="268">
        <v>209218</v>
      </c>
      <c r="C65" s="268">
        <v>205401</v>
      </c>
      <c r="D65" s="268">
        <v>408864</v>
      </c>
      <c r="E65" s="266" t="s">
        <v>189</v>
      </c>
      <c r="F65" s="266" t="s">
        <v>190</v>
      </c>
      <c r="G65" s="266" t="s">
        <v>177</v>
      </c>
      <c r="H65" s="261"/>
      <c r="I65" s="261"/>
      <c r="J65" s="265" t="s">
        <v>20</v>
      </c>
      <c r="K65" s="269">
        <v>223302008</v>
      </c>
      <c r="L65" s="269">
        <v>59620474</v>
      </c>
      <c r="M65" s="269">
        <v>101182434</v>
      </c>
      <c r="N65" s="266">
        <v>61528.56</v>
      </c>
      <c r="O65" s="266">
        <v>877546.85699999996</v>
      </c>
      <c r="P65" s="266">
        <v>0</v>
      </c>
      <c r="Q65" s="261"/>
      <c r="R65" s="261"/>
    </row>
    <row r="66" spans="1:18" x14ac:dyDescent="0.35">
      <c r="A66" s="265" t="s">
        <v>22</v>
      </c>
      <c r="B66" s="268">
        <v>369332</v>
      </c>
      <c r="C66" s="268">
        <v>376527</v>
      </c>
      <c r="D66" s="268">
        <v>662746</v>
      </c>
      <c r="E66" s="266">
        <v>936</v>
      </c>
      <c r="F66" s="268">
        <v>4572</v>
      </c>
      <c r="G66" s="266" t="s">
        <v>177</v>
      </c>
      <c r="H66" s="261"/>
      <c r="I66" s="261"/>
      <c r="J66" s="265" t="s">
        <v>22</v>
      </c>
      <c r="K66" s="269">
        <v>0</v>
      </c>
      <c r="L66" s="269">
        <v>35749864</v>
      </c>
      <c r="M66" s="269">
        <v>104697269</v>
      </c>
      <c r="N66" s="266">
        <v>828731.43</v>
      </c>
      <c r="O66" s="266">
        <v>6315425.4840000002</v>
      </c>
      <c r="P66" s="266">
        <v>12720441.689999999</v>
      </c>
      <c r="Q66" s="261"/>
      <c r="R66" s="261"/>
    </row>
    <row r="67" spans="1:18" x14ac:dyDescent="0.35">
      <c r="A67" s="265" t="s">
        <v>23</v>
      </c>
      <c r="B67" s="268">
        <v>367746</v>
      </c>
      <c r="C67" s="268">
        <v>375233</v>
      </c>
      <c r="D67" s="268">
        <v>1060494</v>
      </c>
      <c r="E67" s="268">
        <v>19725</v>
      </c>
      <c r="F67" s="268">
        <v>80281</v>
      </c>
      <c r="G67" s="268">
        <v>188453</v>
      </c>
      <c r="H67" s="261"/>
      <c r="I67" s="261"/>
      <c r="J67" s="265" t="s">
        <v>23</v>
      </c>
      <c r="K67" s="269">
        <v>0</v>
      </c>
      <c r="L67" s="269">
        <v>29106848</v>
      </c>
      <c r="M67" s="269">
        <v>63427010</v>
      </c>
      <c r="N67" s="269">
        <v>827751</v>
      </c>
      <c r="O67" s="269">
        <v>6287814</v>
      </c>
      <c r="P67" s="266">
        <v>12656813.029999999</v>
      </c>
      <c r="Q67" s="261"/>
      <c r="R67" s="261"/>
    </row>
    <row r="68" spans="1:18" x14ac:dyDescent="0.35">
      <c r="A68" s="265" t="s">
        <v>24</v>
      </c>
      <c r="B68" s="268">
        <v>366067</v>
      </c>
      <c r="C68" s="268">
        <v>373933</v>
      </c>
      <c r="D68" s="268">
        <v>1058213</v>
      </c>
      <c r="E68" s="268">
        <v>19711</v>
      </c>
      <c r="F68" s="268">
        <v>79900</v>
      </c>
      <c r="G68" s="268">
        <v>187510</v>
      </c>
      <c r="H68" s="261"/>
      <c r="I68" s="261"/>
      <c r="J68" s="265" t="s">
        <v>24</v>
      </c>
      <c r="K68" s="266">
        <v>0</v>
      </c>
      <c r="L68" s="269">
        <v>26611010</v>
      </c>
      <c r="M68" s="269">
        <v>48254366</v>
      </c>
      <c r="N68" s="269">
        <v>826764</v>
      </c>
      <c r="O68" s="269">
        <v>6260566</v>
      </c>
      <c r="P68" s="266">
        <v>12593546.720000001</v>
      </c>
      <c r="Q68" s="261"/>
      <c r="R68" s="261"/>
    </row>
    <row r="69" spans="1:18" x14ac:dyDescent="0.35">
      <c r="A69" s="265" t="s">
        <v>25</v>
      </c>
      <c r="B69" s="268">
        <v>364511</v>
      </c>
      <c r="C69" s="268">
        <v>372667</v>
      </c>
      <c r="D69" s="268">
        <v>1055955</v>
      </c>
      <c r="E69" s="268">
        <v>19697</v>
      </c>
      <c r="F69" s="268">
        <v>79524</v>
      </c>
      <c r="G69" s="268">
        <v>186573</v>
      </c>
      <c r="H69" s="261"/>
      <c r="I69" s="261"/>
      <c r="J69" s="265" t="s">
        <v>25</v>
      </c>
      <c r="K69" s="266">
        <v>0</v>
      </c>
      <c r="L69" s="269">
        <v>24822904</v>
      </c>
      <c r="M69" s="269">
        <v>45815565</v>
      </c>
      <c r="N69" s="269">
        <v>825850</v>
      </c>
      <c r="O69" s="269">
        <v>6233389</v>
      </c>
      <c r="P69" s="266">
        <v>12530570.289999999</v>
      </c>
      <c r="Q69" s="261"/>
      <c r="R69" s="261"/>
    </row>
    <row r="70" spans="1:18" x14ac:dyDescent="0.35">
      <c r="A70" s="265" t="s">
        <v>26</v>
      </c>
      <c r="B70" s="268">
        <v>363006</v>
      </c>
      <c r="C70" s="268">
        <v>371413</v>
      </c>
      <c r="D70" s="268">
        <v>1053697</v>
      </c>
      <c r="E70" s="268">
        <v>19684</v>
      </c>
      <c r="F70" s="268">
        <v>79149</v>
      </c>
      <c r="G70" s="268">
        <v>185640</v>
      </c>
      <c r="H70" s="261"/>
      <c r="I70" s="261"/>
      <c r="J70" s="265" t="s">
        <v>26</v>
      </c>
      <c r="K70" s="266">
        <v>0</v>
      </c>
      <c r="L70" s="269">
        <v>24822904</v>
      </c>
      <c r="M70" s="269">
        <v>45753998</v>
      </c>
      <c r="N70" s="269">
        <v>824928</v>
      </c>
      <c r="O70" s="269">
        <v>6206141</v>
      </c>
      <c r="P70" s="266">
        <v>12468028.68</v>
      </c>
      <c r="Q70" s="261"/>
      <c r="R70" s="261"/>
    </row>
    <row r="71" spans="1:18" x14ac:dyDescent="0.35">
      <c r="A71" s="265" t="s">
        <v>27</v>
      </c>
      <c r="B71" s="268">
        <v>361496</v>
      </c>
      <c r="C71" s="268">
        <v>370136</v>
      </c>
      <c r="D71" s="268">
        <v>1051464</v>
      </c>
      <c r="E71" s="268">
        <v>19671</v>
      </c>
      <c r="F71" s="268">
        <v>78773</v>
      </c>
      <c r="G71" s="268">
        <v>184713</v>
      </c>
      <c r="H71" s="261"/>
      <c r="I71" s="261"/>
      <c r="J71" s="265" t="s">
        <v>27</v>
      </c>
      <c r="K71" s="266">
        <v>0</v>
      </c>
      <c r="L71" s="269">
        <v>17812469</v>
      </c>
      <c r="M71" s="269">
        <v>45692072</v>
      </c>
      <c r="N71" s="269">
        <v>824014</v>
      </c>
      <c r="O71" s="269">
        <v>6179617</v>
      </c>
      <c r="P71" s="266">
        <v>12405487.07</v>
      </c>
      <c r="Q71" s="261"/>
      <c r="R71" s="261"/>
    </row>
    <row r="72" spans="1:18" x14ac:dyDescent="0.35">
      <c r="A72" s="265" t="s">
        <v>28</v>
      </c>
      <c r="B72" s="268">
        <v>359952</v>
      </c>
      <c r="C72" s="268">
        <v>368860</v>
      </c>
      <c r="D72" s="268">
        <v>1049223</v>
      </c>
      <c r="E72" s="268">
        <v>19658</v>
      </c>
      <c r="F72" s="268">
        <v>78407</v>
      </c>
      <c r="G72" s="268">
        <v>183787</v>
      </c>
      <c r="H72" s="261"/>
      <c r="I72" s="261"/>
      <c r="J72" s="265" t="s">
        <v>28</v>
      </c>
      <c r="K72" s="266">
        <v>0</v>
      </c>
      <c r="L72" s="269">
        <v>0</v>
      </c>
      <c r="M72" s="269">
        <v>45630865</v>
      </c>
      <c r="N72" s="269">
        <v>823027</v>
      </c>
      <c r="O72" s="269">
        <v>5323864</v>
      </c>
      <c r="P72" s="266">
        <v>12343525.220000001</v>
      </c>
      <c r="Q72" s="261"/>
      <c r="R72" s="261"/>
    </row>
    <row r="73" spans="1:18" x14ac:dyDescent="0.35">
      <c r="A73" s="265" t="s">
        <v>29</v>
      </c>
      <c r="B73" s="268">
        <v>358495</v>
      </c>
      <c r="C73" s="268">
        <v>367622</v>
      </c>
      <c r="D73" s="268">
        <v>1047006</v>
      </c>
      <c r="E73" s="268">
        <v>19644</v>
      </c>
      <c r="F73" s="268">
        <v>78035</v>
      </c>
      <c r="G73" s="268">
        <v>182869</v>
      </c>
      <c r="H73" s="261"/>
      <c r="I73" s="261"/>
      <c r="J73" s="265" t="s">
        <v>29</v>
      </c>
      <c r="K73" s="266">
        <v>0</v>
      </c>
      <c r="L73" s="269">
        <v>0</v>
      </c>
      <c r="M73" s="269">
        <v>45569897</v>
      </c>
      <c r="N73" s="269">
        <v>822178</v>
      </c>
      <c r="O73" s="269">
        <v>5297412</v>
      </c>
      <c r="P73" s="266">
        <v>12281780.779999999</v>
      </c>
      <c r="Q73" s="261"/>
      <c r="R73" s="261"/>
    </row>
    <row r="74" spans="1:18" x14ac:dyDescent="0.35">
      <c r="A74" s="265" t="s">
        <v>30</v>
      </c>
      <c r="B74" s="268">
        <v>356910</v>
      </c>
      <c r="C74" s="268">
        <v>366360</v>
      </c>
      <c r="D74" s="268">
        <v>1044800</v>
      </c>
      <c r="E74" s="268">
        <v>19632</v>
      </c>
      <c r="F74" s="268">
        <v>77670</v>
      </c>
      <c r="G74" s="268">
        <v>181954</v>
      </c>
      <c r="H74" s="261"/>
      <c r="I74" s="261"/>
      <c r="J74" s="265" t="s">
        <v>30</v>
      </c>
      <c r="K74" s="266">
        <v>0</v>
      </c>
      <c r="L74" s="266">
        <v>0</v>
      </c>
      <c r="M74" s="269">
        <v>45509108</v>
      </c>
      <c r="N74" s="269">
        <v>821264</v>
      </c>
      <c r="O74" s="266">
        <v>5270888.04</v>
      </c>
      <c r="P74" s="266">
        <v>12220398.689999999</v>
      </c>
      <c r="Q74" s="261"/>
      <c r="R74" s="261"/>
    </row>
    <row r="75" spans="1:18" x14ac:dyDescent="0.35">
      <c r="A75" s="265" t="s">
        <v>31</v>
      </c>
      <c r="B75" s="268">
        <v>355396</v>
      </c>
      <c r="C75" s="268">
        <v>365123</v>
      </c>
      <c r="D75" s="268">
        <v>1042603</v>
      </c>
      <c r="E75" s="268">
        <v>19619</v>
      </c>
      <c r="F75" s="268">
        <v>77304</v>
      </c>
      <c r="G75" s="268">
        <v>181045</v>
      </c>
      <c r="H75" s="261"/>
      <c r="I75" s="261"/>
      <c r="J75" s="265" t="s">
        <v>31</v>
      </c>
      <c r="K75" s="266">
        <v>0</v>
      </c>
      <c r="L75" s="266">
        <v>0</v>
      </c>
      <c r="M75" s="269">
        <v>45448619</v>
      </c>
      <c r="N75" s="269">
        <v>820277</v>
      </c>
      <c r="O75" s="266">
        <v>5244508.96</v>
      </c>
      <c r="P75" s="266">
        <v>12159306.48</v>
      </c>
      <c r="Q75" s="261"/>
      <c r="R75" s="261"/>
    </row>
    <row r="76" spans="1:18" x14ac:dyDescent="0.35">
      <c r="A76" s="265" t="s">
        <v>32</v>
      </c>
      <c r="B76" s="268">
        <v>313341</v>
      </c>
      <c r="C76" s="268">
        <v>312876</v>
      </c>
      <c r="D76" s="268">
        <v>1039167</v>
      </c>
      <c r="E76" s="268">
        <v>19605</v>
      </c>
      <c r="F76" s="268">
        <v>76940</v>
      </c>
      <c r="G76" s="268">
        <v>180140</v>
      </c>
      <c r="H76" s="261"/>
      <c r="I76" s="261"/>
      <c r="J76" s="265" t="s">
        <v>32</v>
      </c>
      <c r="K76" s="266">
        <v>0</v>
      </c>
      <c r="L76" s="266">
        <v>0</v>
      </c>
      <c r="M76" s="269">
        <v>45388729</v>
      </c>
      <c r="N76" s="269">
        <v>819362</v>
      </c>
      <c r="O76" s="266">
        <v>5218129.88</v>
      </c>
      <c r="P76" s="266">
        <v>12098576.619999999</v>
      </c>
      <c r="Q76" s="261"/>
      <c r="R76" s="261"/>
    </row>
    <row r="77" spans="1:18" x14ac:dyDescent="0.35">
      <c r="A77" s="265" t="s">
        <v>33</v>
      </c>
      <c r="B77" s="268">
        <v>309964</v>
      </c>
      <c r="C77" s="268">
        <v>308568</v>
      </c>
      <c r="D77" s="268">
        <v>1037004</v>
      </c>
      <c r="E77" s="268">
        <v>19592</v>
      </c>
      <c r="F77" s="268">
        <v>76576</v>
      </c>
      <c r="G77" s="268">
        <v>179240</v>
      </c>
      <c r="H77" s="261"/>
      <c r="I77" s="261"/>
      <c r="J77" s="265" t="s">
        <v>33</v>
      </c>
      <c r="K77" s="266">
        <v>0</v>
      </c>
      <c r="L77" s="266">
        <v>0</v>
      </c>
      <c r="M77" s="269">
        <v>45329019</v>
      </c>
      <c r="N77" s="269">
        <v>818448</v>
      </c>
      <c r="O77" s="266">
        <v>5192258.09</v>
      </c>
      <c r="P77" s="266">
        <v>12038064.17</v>
      </c>
      <c r="Q77" s="261"/>
      <c r="R77" s="261"/>
    </row>
    <row r="78" spans="1:18" x14ac:dyDescent="0.35">
      <c r="A78" s="265" t="s">
        <v>34</v>
      </c>
      <c r="B78" s="268">
        <v>286813</v>
      </c>
      <c r="C78" s="268">
        <v>263863</v>
      </c>
      <c r="D78" s="268">
        <v>866168</v>
      </c>
      <c r="E78" s="268">
        <v>19579</v>
      </c>
      <c r="F78" s="268">
        <v>76219</v>
      </c>
      <c r="G78" s="268">
        <v>178343</v>
      </c>
      <c r="H78" s="261"/>
      <c r="I78" s="261"/>
      <c r="J78" s="265" t="s">
        <v>34</v>
      </c>
      <c r="K78" s="266">
        <v>0</v>
      </c>
      <c r="L78" s="266">
        <v>0</v>
      </c>
      <c r="M78" s="269">
        <v>45269369</v>
      </c>
      <c r="N78" s="269">
        <v>817533</v>
      </c>
      <c r="O78" s="266">
        <v>5166313.83</v>
      </c>
      <c r="P78" s="266">
        <v>11977914.07</v>
      </c>
      <c r="Q78" s="261"/>
      <c r="R78" s="261"/>
    </row>
    <row r="79" spans="1:18" x14ac:dyDescent="0.35">
      <c r="A79" s="265" t="s">
        <v>35</v>
      </c>
      <c r="B79" s="268">
        <v>284757</v>
      </c>
      <c r="C79" s="268">
        <v>257886</v>
      </c>
      <c r="D79" s="268">
        <v>802961</v>
      </c>
      <c r="E79" s="268">
        <v>19566</v>
      </c>
      <c r="F79" s="268">
        <v>75861</v>
      </c>
      <c r="G79" s="268">
        <v>177452</v>
      </c>
      <c r="H79" s="261"/>
      <c r="I79" s="261"/>
      <c r="J79" s="265" t="s">
        <v>35</v>
      </c>
      <c r="K79" s="266">
        <v>0</v>
      </c>
      <c r="L79" s="266">
        <v>0</v>
      </c>
      <c r="M79" s="269">
        <v>45210497</v>
      </c>
      <c r="N79" s="269">
        <v>816684</v>
      </c>
      <c r="O79" s="266">
        <v>5140152.16</v>
      </c>
      <c r="P79" s="266">
        <v>11917836.439999999</v>
      </c>
      <c r="Q79" s="261"/>
      <c r="R79" s="261"/>
    </row>
    <row r="80" spans="1:18" x14ac:dyDescent="0.35">
      <c r="A80" s="265" t="s">
        <v>36</v>
      </c>
      <c r="B80" s="268">
        <v>265692</v>
      </c>
      <c r="C80" s="268">
        <v>244707</v>
      </c>
      <c r="D80" s="268">
        <v>790299</v>
      </c>
      <c r="E80" s="268">
        <v>19554</v>
      </c>
      <c r="F80" s="268">
        <v>75500</v>
      </c>
      <c r="G80" s="268">
        <v>176562</v>
      </c>
      <c r="H80" s="261"/>
      <c r="I80" s="261"/>
      <c r="J80" s="265" t="s">
        <v>36</v>
      </c>
      <c r="K80" s="266">
        <v>0</v>
      </c>
      <c r="L80" s="266">
        <v>0</v>
      </c>
      <c r="M80" s="269">
        <v>45151565</v>
      </c>
      <c r="N80" s="269">
        <v>815835</v>
      </c>
      <c r="O80" s="266">
        <v>5114497.78</v>
      </c>
      <c r="P80" s="266">
        <v>11858411.039999999</v>
      </c>
      <c r="Q80" s="261"/>
      <c r="R80" s="261"/>
    </row>
    <row r="81" spans="1:18" x14ac:dyDescent="0.35">
      <c r="A81" s="265" t="s">
        <v>37</v>
      </c>
      <c r="B81" s="268">
        <v>155011</v>
      </c>
      <c r="C81" s="268">
        <v>125798</v>
      </c>
      <c r="D81" s="268">
        <v>789315</v>
      </c>
      <c r="E81" s="268">
        <v>19542</v>
      </c>
      <c r="F81" s="268">
        <v>75146</v>
      </c>
      <c r="G81" s="268">
        <v>175682</v>
      </c>
      <c r="H81" s="261"/>
      <c r="I81" s="261"/>
      <c r="J81" s="265" t="s">
        <v>37</v>
      </c>
      <c r="K81" s="266">
        <v>0</v>
      </c>
      <c r="L81" s="266">
        <v>0</v>
      </c>
      <c r="M81" s="269">
        <v>43600368</v>
      </c>
      <c r="N81" s="269">
        <v>814921</v>
      </c>
      <c r="O81" s="266">
        <v>0</v>
      </c>
      <c r="P81" s="266">
        <v>11799058.109999999</v>
      </c>
      <c r="Q81" s="261"/>
      <c r="R81" s="261"/>
    </row>
    <row r="82" spans="1:18" x14ac:dyDescent="0.35">
      <c r="A82" s="265" t="s">
        <v>38</v>
      </c>
      <c r="B82" s="268">
        <v>154538</v>
      </c>
      <c r="C82" s="268">
        <v>125704</v>
      </c>
      <c r="D82" s="268">
        <v>759459</v>
      </c>
      <c r="E82" s="268">
        <v>19529</v>
      </c>
      <c r="F82" s="268">
        <v>4572</v>
      </c>
      <c r="G82" s="268">
        <v>174803</v>
      </c>
      <c r="H82" s="261"/>
      <c r="I82" s="261"/>
      <c r="J82" s="265" t="s">
        <v>38</v>
      </c>
      <c r="K82" s="266">
        <v>0</v>
      </c>
      <c r="L82" s="266">
        <v>0</v>
      </c>
      <c r="M82" s="269">
        <v>43542215</v>
      </c>
      <c r="N82" s="269">
        <v>814006</v>
      </c>
      <c r="O82" s="266">
        <v>0</v>
      </c>
      <c r="P82" s="266">
        <v>11740140</v>
      </c>
      <c r="Q82" s="261"/>
      <c r="R82" s="261"/>
    </row>
    <row r="83" spans="1:18" x14ac:dyDescent="0.35">
      <c r="A83" s="265" t="s">
        <v>39</v>
      </c>
      <c r="B83" s="268">
        <v>136277</v>
      </c>
      <c r="C83" s="268">
        <v>120727</v>
      </c>
      <c r="D83" s="268">
        <v>758488</v>
      </c>
      <c r="E83" s="268">
        <v>19516</v>
      </c>
      <c r="F83" s="268">
        <v>4572</v>
      </c>
      <c r="G83" s="268">
        <v>173930</v>
      </c>
      <c r="H83" s="261"/>
      <c r="I83" s="261"/>
      <c r="J83" s="265" t="s">
        <v>39</v>
      </c>
      <c r="K83" s="266">
        <v>0</v>
      </c>
      <c r="L83" s="266">
        <v>0</v>
      </c>
      <c r="M83" s="269">
        <v>34260074</v>
      </c>
      <c r="N83" s="269">
        <v>813157</v>
      </c>
      <c r="O83" s="266">
        <v>0</v>
      </c>
      <c r="P83" s="266">
        <v>11681439.300000001</v>
      </c>
      <c r="Q83" s="261"/>
      <c r="R83" s="261"/>
    </row>
    <row r="84" spans="1:18" x14ac:dyDescent="0.35">
      <c r="A84" s="265" t="s">
        <v>40</v>
      </c>
      <c r="B84" s="268">
        <v>57181</v>
      </c>
      <c r="C84" s="268">
        <v>45845</v>
      </c>
      <c r="D84" s="268">
        <v>608082</v>
      </c>
      <c r="E84" s="268">
        <v>19504</v>
      </c>
      <c r="F84" s="268">
        <v>4572</v>
      </c>
      <c r="G84" s="268">
        <v>173060</v>
      </c>
      <c r="H84" s="261"/>
      <c r="I84" s="261"/>
      <c r="J84" s="265" t="s">
        <v>40</v>
      </c>
      <c r="K84" s="266" t="s">
        <v>177</v>
      </c>
      <c r="L84" s="266" t="s">
        <v>177</v>
      </c>
      <c r="M84" s="269">
        <v>34202460</v>
      </c>
      <c r="N84" s="269">
        <v>812243</v>
      </c>
      <c r="O84" s="266">
        <v>0</v>
      </c>
      <c r="P84" s="266">
        <v>11622956.01</v>
      </c>
      <c r="Q84" s="261"/>
      <c r="R84" s="261"/>
    </row>
    <row r="85" spans="1:18" x14ac:dyDescent="0.35">
      <c r="A85" s="265" t="s">
        <v>165</v>
      </c>
      <c r="B85" s="268">
        <v>42748</v>
      </c>
      <c r="C85" s="268">
        <v>44402</v>
      </c>
      <c r="D85" s="268">
        <v>607120</v>
      </c>
      <c r="E85" s="268">
        <v>19491</v>
      </c>
      <c r="F85" s="268">
        <v>4572</v>
      </c>
      <c r="G85" s="268">
        <v>172194</v>
      </c>
      <c r="H85" s="261"/>
      <c r="I85" s="261"/>
      <c r="J85" s="265" t="s">
        <v>165</v>
      </c>
      <c r="K85" s="266" t="s">
        <v>177</v>
      </c>
      <c r="L85" s="266" t="s">
        <v>177</v>
      </c>
      <c r="M85" s="269">
        <v>19431952</v>
      </c>
      <c r="N85" s="269">
        <v>754783</v>
      </c>
      <c r="O85" s="266">
        <v>0</v>
      </c>
      <c r="P85" s="266">
        <v>11564690.130000001</v>
      </c>
      <c r="Q85" s="261"/>
      <c r="R85" s="261"/>
    </row>
    <row r="86" spans="1:18" x14ac:dyDescent="0.35">
      <c r="A86" s="265" t="s">
        <v>193</v>
      </c>
      <c r="B86" s="266" t="s">
        <v>190</v>
      </c>
      <c r="C86" s="266" t="s">
        <v>190</v>
      </c>
      <c r="D86" s="268">
        <v>353823</v>
      </c>
      <c r="E86" s="268">
        <v>18618</v>
      </c>
      <c r="F86" s="266" t="s">
        <v>190</v>
      </c>
      <c r="G86" s="268">
        <v>171331</v>
      </c>
      <c r="H86" s="261"/>
      <c r="I86" s="261"/>
      <c r="J86" s="265" t="s">
        <v>193</v>
      </c>
      <c r="K86" s="266" t="s">
        <v>201</v>
      </c>
      <c r="L86" s="266" t="s">
        <v>202</v>
      </c>
      <c r="M86" s="269">
        <v>22718613</v>
      </c>
      <c r="N86" s="269">
        <v>638155</v>
      </c>
      <c r="O86" s="266" t="s">
        <v>199</v>
      </c>
      <c r="P86" s="266" t="s">
        <v>200</v>
      </c>
      <c r="Q86" s="261"/>
      <c r="R86" s="261"/>
    </row>
    <row r="87" spans="1:18" x14ac:dyDescent="0.35">
      <c r="A87" s="261"/>
      <c r="B87" s="261"/>
      <c r="C87" s="261"/>
      <c r="D87" s="261"/>
      <c r="E87" s="261"/>
      <c r="F87" s="261"/>
      <c r="G87" s="261"/>
      <c r="H87" s="261"/>
      <c r="I87" s="261"/>
      <c r="J87" s="261"/>
      <c r="K87" s="261"/>
      <c r="L87" s="261"/>
      <c r="M87" s="261"/>
      <c r="N87" s="261"/>
      <c r="O87" s="261"/>
      <c r="P87" s="261"/>
      <c r="Q87" s="261"/>
      <c r="R87" s="261"/>
    </row>
    <row r="88" spans="1:18" x14ac:dyDescent="0.35">
      <c r="A88" s="261"/>
      <c r="B88" s="261"/>
      <c r="C88" s="261"/>
      <c r="D88" s="261"/>
      <c r="E88" s="261"/>
      <c r="F88" s="261"/>
      <c r="G88" s="261"/>
      <c r="H88" s="261"/>
      <c r="I88" s="261"/>
      <c r="J88" s="261"/>
      <c r="K88" s="261"/>
      <c r="L88" s="261"/>
      <c r="M88" s="261"/>
      <c r="N88" s="261"/>
      <c r="O88" s="261"/>
      <c r="P88" s="261"/>
      <c r="Q88" s="261"/>
      <c r="R88" s="261"/>
    </row>
    <row r="89" spans="1:18" x14ac:dyDescent="0.35">
      <c r="A89" s="271" t="s">
        <v>44</v>
      </c>
      <c r="B89" s="271" t="s">
        <v>177</v>
      </c>
      <c r="C89" s="271" t="s">
        <v>177</v>
      </c>
      <c r="D89" s="271" t="s">
        <v>177</v>
      </c>
      <c r="E89" s="271" t="s">
        <v>177</v>
      </c>
      <c r="F89" s="271" t="s">
        <v>177</v>
      </c>
      <c r="G89" s="276" t="s">
        <v>177</v>
      </c>
      <c r="H89" s="261"/>
      <c r="I89" s="261"/>
      <c r="J89" s="259" t="s">
        <v>44</v>
      </c>
      <c r="K89" s="260" t="s">
        <v>177</v>
      </c>
      <c r="L89" s="260" t="s">
        <v>177</v>
      </c>
      <c r="M89" s="260" t="s">
        <v>177</v>
      </c>
      <c r="N89" s="260" t="s">
        <v>177</v>
      </c>
      <c r="O89" s="260" t="s">
        <v>177</v>
      </c>
      <c r="P89" s="260" t="s">
        <v>177</v>
      </c>
      <c r="Q89" s="261"/>
      <c r="R89" s="261"/>
    </row>
    <row r="90" spans="1:18" x14ac:dyDescent="0.35">
      <c r="A90" s="271" t="s">
        <v>1</v>
      </c>
      <c r="B90" s="271" t="s">
        <v>179</v>
      </c>
      <c r="C90" s="271" t="s">
        <v>180</v>
      </c>
      <c r="D90" s="271" t="s">
        <v>181</v>
      </c>
      <c r="E90" s="271" t="s">
        <v>182</v>
      </c>
      <c r="F90" s="274" t="s">
        <v>183</v>
      </c>
      <c r="G90" s="271" t="s">
        <v>184</v>
      </c>
      <c r="H90" s="261"/>
      <c r="I90" s="261"/>
      <c r="J90" s="263" t="s">
        <v>1</v>
      </c>
      <c r="K90" s="264" t="s">
        <v>179</v>
      </c>
      <c r="L90" s="264" t="s">
        <v>180</v>
      </c>
      <c r="M90" s="264" t="s">
        <v>181</v>
      </c>
      <c r="N90" s="264" t="s">
        <v>182</v>
      </c>
      <c r="O90" s="264" t="s">
        <v>183</v>
      </c>
      <c r="P90" s="262" t="s">
        <v>184</v>
      </c>
      <c r="Q90" s="261"/>
      <c r="R90" s="261"/>
    </row>
    <row r="91" spans="1:18" x14ac:dyDescent="0.35">
      <c r="A91" s="272" t="s">
        <v>177</v>
      </c>
      <c r="B91" s="272" t="s">
        <v>177</v>
      </c>
      <c r="C91" s="272" t="s">
        <v>177</v>
      </c>
      <c r="D91" s="272" t="s">
        <v>177</v>
      </c>
      <c r="E91" s="272" t="s">
        <v>177</v>
      </c>
      <c r="F91" s="275" t="s">
        <v>177</v>
      </c>
      <c r="G91" s="272" t="s">
        <v>177</v>
      </c>
      <c r="H91" s="261"/>
      <c r="I91" s="261"/>
      <c r="J91" s="265" t="s">
        <v>177</v>
      </c>
      <c r="K91" s="266" t="s">
        <v>177</v>
      </c>
      <c r="L91" s="266" t="s">
        <v>177</v>
      </c>
      <c r="M91" s="266" t="s">
        <v>177</v>
      </c>
      <c r="N91" s="266" t="s">
        <v>177</v>
      </c>
      <c r="O91" s="266" t="s">
        <v>177</v>
      </c>
      <c r="P91" s="267" t="s">
        <v>177</v>
      </c>
      <c r="Q91" s="261"/>
      <c r="R91" s="261"/>
    </row>
    <row r="92" spans="1:18" x14ac:dyDescent="0.35">
      <c r="A92" s="272" t="s">
        <v>17</v>
      </c>
      <c r="B92" s="272" t="s">
        <v>203</v>
      </c>
      <c r="C92" s="272" t="s">
        <v>185</v>
      </c>
      <c r="D92" s="272" t="s">
        <v>194</v>
      </c>
      <c r="E92" s="272" t="s">
        <v>185</v>
      </c>
      <c r="F92" s="275" t="s">
        <v>185</v>
      </c>
      <c r="G92" s="272" t="s">
        <v>185</v>
      </c>
      <c r="H92" s="261"/>
      <c r="I92" s="261"/>
      <c r="J92" s="265" t="s">
        <v>17</v>
      </c>
      <c r="K92" s="266" t="s">
        <v>204</v>
      </c>
      <c r="L92" s="269">
        <v>40122</v>
      </c>
      <c r="M92" s="266" t="s">
        <v>204</v>
      </c>
      <c r="N92" s="266" t="s">
        <v>205</v>
      </c>
      <c r="O92" s="266" t="s">
        <v>205</v>
      </c>
      <c r="P92" s="266" t="s">
        <v>206</v>
      </c>
      <c r="Q92" s="261"/>
      <c r="R92" s="261"/>
    </row>
    <row r="93" spans="1:18" x14ac:dyDescent="0.35">
      <c r="A93" s="272" t="s">
        <v>18</v>
      </c>
      <c r="B93" s="272" t="s">
        <v>203</v>
      </c>
      <c r="C93" s="273">
        <v>2831</v>
      </c>
      <c r="D93" s="272" t="s">
        <v>194</v>
      </c>
      <c r="E93" s="272" t="s">
        <v>185</v>
      </c>
      <c r="F93" s="275" t="s">
        <v>185</v>
      </c>
      <c r="G93" s="272" t="s">
        <v>185</v>
      </c>
      <c r="H93" s="261"/>
      <c r="I93" s="261"/>
      <c r="J93" s="265" t="s">
        <v>18</v>
      </c>
      <c r="K93" s="266" t="s">
        <v>204</v>
      </c>
      <c r="L93" s="269">
        <v>372759</v>
      </c>
      <c r="M93" s="266" t="s">
        <v>204</v>
      </c>
      <c r="N93" s="266" t="s">
        <v>205</v>
      </c>
      <c r="O93" s="266" t="s">
        <v>205</v>
      </c>
      <c r="P93" s="266" t="s">
        <v>206</v>
      </c>
      <c r="Q93" s="261"/>
      <c r="R93" s="261"/>
    </row>
    <row r="94" spans="1:18" x14ac:dyDescent="0.35">
      <c r="A94" s="272" t="s">
        <v>19</v>
      </c>
      <c r="B94" s="272">
        <v>266</v>
      </c>
      <c r="C94" s="273">
        <v>3364</v>
      </c>
      <c r="D94" s="272" t="s">
        <v>194</v>
      </c>
      <c r="E94" s="272" t="s">
        <v>185</v>
      </c>
      <c r="F94" s="275" t="s">
        <v>185</v>
      </c>
      <c r="G94" s="272" t="s">
        <v>185</v>
      </c>
      <c r="H94" s="261"/>
      <c r="I94" s="261"/>
      <c r="J94" s="265" t="s">
        <v>19</v>
      </c>
      <c r="K94" s="269">
        <v>295259</v>
      </c>
      <c r="L94" s="269">
        <v>438019</v>
      </c>
      <c r="M94" s="266" t="s">
        <v>204</v>
      </c>
      <c r="N94" s="266" t="s">
        <v>205</v>
      </c>
      <c r="O94" s="266" t="s">
        <v>205</v>
      </c>
      <c r="P94" s="266" t="s">
        <v>206</v>
      </c>
      <c r="Q94" s="261"/>
      <c r="R94" s="261"/>
    </row>
    <row r="95" spans="1:18" x14ac:dyDescent="0.35">
      <c r="A95" s="272" t="s">
        <v>20</v>
      </c>
      <c r="B95" s="273">
        <v>1324</v>
      </c>
      <c r="C95" s="273">
        <v>8526</v>
      </c>
      <c r="D95" s="272" t="s">
        <v>194</v>
      </c>
      <c r="E95" s="272" t="s">
        <v>185</v>
      </c>
      <c r="F95" s="275" t="s">
        <v>185</v>
      </c>
      <c r="G95" s="272" t="s">
        <v>185</v>
      </c>
      <c r="H95" s="261"/>
      <c r="I95" s="261"/>
      <c r="J95" s="265" t="s">
        <v>20</v>
      </c>
      <c r="K95" s="269">
        <v>701554</v>
      </c>
      <c r="L95" s="269">
        <v>1067597</v>
      </c>
      <c r="M95" s="266" t="s">
        <v>204</v>
      </c>
      <c r="N95" s="266" t="s">
        <v>205</v>
      </c>
      <c r="O95" s="266" t="s">
        <v>205</v>
      </c>
      <c r="P95" s="266" t="s">
        <v>206</v>
      </c>
      <c r="Q95" s="261"/>
      <c r="R95" s="261"/>
    </row>
    <row r="96" spans="1:18" x14ac:dyDescent="0.35">
      <c r="A96" s="272" t="s">
        <v>22</v>
      </c>
      <c r="B96" s="273">
        <v>6177</v>
      </c>
      <c r="C96" s="273">
        <v>11855</v>
      </c>
      <c r="D96" s="272" t="s">
        <v>194</v>
      </c>
      <c r="E96" s="272" t="s">
        <v>185</v>
      </c>
      <c r="F96" s="275" t="s">
        <v>185</v>
      </c>
      <c r="G96" s="272" t="s">
        <v>185</v>
      </c>
      <c r="H96" s="261"/>
      <c r="I96" s="261"/>
      <c r="J96" s="265" t="s">
        <v>22</v>
      </c>
      <c r="K96" s="269">
        <v>6192695</v>
      </c>
      <c r="L96" s="269">
        <v>1537845</v>
      </c>
      <c r="M96" s="266" t="s">
        <v>204</v>
      </c>
      <c r="N96" s="266" t="s">
        <v>205</v>
      </c>
      <c r="O96" s="266" t="s">
        <v>205</v>
      </c>
      <c r="P96" s="266" t="s">
        <v>206</v>
      </c>
      <c r="Q96" s="261"/>
      <c r="R96" s="261"/>
    </row>
    <row r="97" spans="1:18" x14ac:dyDescent="0.35">
      <c r="A97" s="272" t="s">
        <v>23</v>
      </c>
      <c r="B97" s="273">
        <v>6143</v>
      </c>
      <c r="C97" s="273">
        <v>11835</v>
      </c>
      <c r="D97" s="272" t="s">
        <v>194</v>
      </c>
      <c r="E97" s="272" t="s">
        <v>185</v>
      </c>
      <c r="F97" s="275" t="s">
        <v>185</v>
      </c>
      <c r="G97" s="272" t="s">
        <v>185</v>
      </c>
      <c r="H97" s="261"/>
      <c r="I97" s="261"/>
      <c r="J97" s="265" t="s">
        <v>23</v>
      </c>
      <c r="K97" s="266" t="s">
        <v>191</v>
      </c>
      <c r="L97" s="269">
        <v>1469938</v>
      </c>
      <c r="M97" s="266" t="s">
        <v>204</v>
      </c>
      <c r="N97" s="266" t="s">
        <v>205</v>
      </c>
      <c r="O97" s="266" t="s">
        <v>205</v>
      </c>
      <c r="P97" s="266" t="s">
        <v>206</v>
      </c>
      <c r="Q97" s="261"/>
      <c r="R97" s="261"/>
    </row>
    <row r="98" spans="1:18" x14ac:dyDescent="0.35">
      <c r="A98" s="272" t="s">
        <v>24</v>
      </c>
      <c r="B98" s="273">
        <v>6115</v>
      </c>
      <c r="C98" s="273">
        <v>11814</v>
      </c>
      <c r="D98" s="272" t="s">
        <v>194</v>
      </c>
      <c r="E98" s="272" t="s">
        <v>185</v>
      </c>
      <c r="F98" s="275" t="s">
        <v>185</v>
      </c>
      <c r="G98" s="272" t="s">
        <v>185</v>
      </c>
      <c r="H98" s="261"/>
      <c r="I98" s="261"/>
      <c r="J98" s="265" t="s">
        <v>24</v>
      </c>
      <c r="K98" s="266" t="s">
        <v>191</v>
      </c>
      <c r="L98" s="269">
        <v>1137301</v>
      </c>
      <c r="M98" s="266" t="s">
        <v>204</v>
      </c>
      <c r="N98" s="266" t="s">
        <v>205</v>
      </c>
      <c r="O98" s="266" t="s">
        <v>205</v>
      </c>
      <c r="P98" s="266" t="s">
        <v>206</v>
      </c>
      <c r="Q98" s="261"/>
      <c r="R98" s="261"/>
    </row>
    <row r="99" spans="1:18" x14ac:dyDescent="0.35">
      <c r="A99" s="272" t="s">
        <v>25</v>
      </c>
      <c r="B99" s="273">
        <v>6090</v>
      </c>
      <c r="C99" s="273">
        <v>11796</v>
      </c>
      <c r="D99" s="272" t="s">
        <v>194</v>
      </c>
      <c r="E99" s="272" t="s">
        <v>185</v>
      </c>
      <c r="F99" s="275" t="s">
        <v>185</v>
      </c>
      <c r="G99" s="272" t="s">
        <v>185</v>
      </c>
      <c r="H99" s="261"/>
      <c r="I99" s="261"/>
      <c r="J99" s="265" t="s">
        <v>25</v>
      </c>
      <c r="K99" s="266" t="s">
        <v>191</v>
      </c>
      <c r="L99" s="269">
        <v>1072040</v>
      </c>
      <c r="M99" s="266" t="s">
        <v>204</v>
      </c>
      <c r="N99" s="266" t="s">
        <v>205</v>
      </c>
      <c r="O99" s="266" t="s">
        <v>205</v>
      </c>
      <c r="P99" s="266" t="s">
        <v>206</v>
      </c>
      <c r="Q99" s="261"/>
      <c r="R99" s="261"/>
    </row>
    <row r="100" spans="1:18" x14ac:dyDescent="0.35">
      <c r="A100" s="272" t="s">
        <v>26</v>
      </c>
      <c r="B100" s="273">
        <v>6069</v>
      </c>
      <c r="C100" s="273">
        <v>11777</v>
      </c>
      <c r="D100" s="272" t="s">
        <v>194</v>
      </c>
      <c r="E100" s="272" t="s">
        <v>185</v>
      </c>
      <c r="F100" s="275" t="s">
        <v>185</v>
      </c>
      <c r="G100" s="272" t="s">
        <v>185</v>
      </c>
      <c r="H100" s="261"/>
      <c r="I100" s="261"/>
      <c r="J100" s="265" t="s">
        <v>26</v>
      </c>
      <c r="K100" s="266" t="s">
        <v>191</v>
      </c>
      <c r="L100" s="269">
        <v>980531</v>
      </c>
      <c r="M100" s="266" t="s">
        <v>204</v>
      </c>
      <c r="N100" s="266" t="s">
        <v>205</v>
      </c>
      <c r="O100" s="266" t="s">
        <v>205</v>
      </c>
      <c r="P100" s="266" t="s">
        <v>206</v>
      </c>
      <c r="Q100" s="261"/>
      <c r="R100" s="261"/>
    </row>
    <row r="101" spans="1:18" x14ac:dyDescent="0.35">
      <c r="A101" s="272" t="s">
        <v>27</v>
      </c>
      <c r="B101" s="273">
        <v>6045</v>
      </c>
      <c r="C101" s="273">
        <v>11756</v>
      </c>
      <c r="D101" s="272" t="s">
        <v>194</v>
      </c>
      <c r="E101" s="272" t="s">
        <v>185</v>
      </c>
      <c r="F101" s="275" t="s">
        <v>185</v>
      </c>
      <c r="G101" s="272" t="s">
        <v>185</v>
      </c>
      <c r="H101" s="261"/>
      <c r="I101" s="261"/>
      <c r="J101" s="265" t="s">
        <v>27</v>
      </c>
      <c r="K101" s="266" t="s">
        <v>191</v>
      </c>
      <c r="L101" s="269">
        <v>980531</v>
      </c>
      <c r="M101" s="266" t="s">
        <v>204</v>
      </c>
      <c r="N101" s="266" t="s">
        <v>205</v>
      </c>
      <c r="O101" s="266" t="s">
        <v>205</v>
      </c>
      <c r="P101" s="266" t="s">
        <v>206</v>
      </c>
      <c r="Q101" s="261"/>
      <c r="R101" s="261"/>
    </row>
    <row r="102" spans="1:18" x14ac:dyDescent="0.35">
      <c r="A102" s="272" t="s">
        <v>28</v>
      </c>
      <c r="B102" s="273">
        <v>6016</v>
      </c>
      <c r="C102" s="273">
        <v>11735</v>
      </c>
      <c r="D102" s="272" t="s">
        <v>194</v>
      </c>
      <c r="E102" s="272" t="s">
        <v>185</v>
      </c>
      <c r="F102" s="275" t="s">
        <v>185</v>
      </c>
      <c r="G102" s="272" t="s">
        <v>185</v>
      </c>
      <c r="H102" s="261"/>
      <c r="I102" s="261"/>
      <c r="J102" s="265" t="s">
        <v>28</v>
      </c>
      <c r="K102" s="266" t="s">
        <v>191</v>
      </c>
      <c r="L102" s="269">
        <v>472356</v>
      </c>
      <c r="M102" s="266" t="s">
        <v>204</v>
      </c>
      <c r="N102" s="266" t="s">
        <v>205</v>
      </c>
      <c r="O102" s="266" t="s">
        <v>205</v>
      </c>
      <c r="P102" s="266" t="s">
        <v>206</v>
      </c>
      <c r="Q102" s="261"/>
      <c r="R102" s="261"/>
    </row>
    <row r="103" spans="1:18" x14ac:dyDescent="0.35">
      <c r="A103" s="272" t="s">
        <v>29</v>
      </c>
      <c r="B103" s="273">
        <v>5990</v>
      </c>
      <c r="C103" s="273">
        <v>11719</v>
      </c>
      <c r="D103" s="272" t="s">
        <v>194</v>
      </c>
      <c r="E103" s="272" t="s">
        <v>185</v>
      </c>
      <c r="F103" s="275" t="s">
        <v>185</v>
      </c>
      <c r="G103" s="272" t="s">
        <v>185</v>
      </c>
      <c r="H103" s="261"/>
      <c r="I103" s="261"/>
      <c r="J103" s="265" t="s">
        <v>29</v>
      </c>
      <c r="K103" s="266" t="s">
        <v>191</v>
      </c>
      <c r="L103" s="266" t="s">
        <v>192</v>
      </c>
      <c r="M103" s="266" t="s">
        <v>204</v>
      </c>
      <c r="N103" s="266" t="s">
        <v>205</v>
      </c>
      <c r="O103" s="266" t="s">
        <v>205</v>
      </c>
      <c r="P103" s="266" t="s">
        <v>206</v>
      </c>
      <c r="Q103" s="261"/>
      <c r="R103" s="261"/>
    </row>
    <row r="104" spans="1:18" x14ac:dyDescent="0.35">
      <c r="A104" s="272" t="s">
        <v>30</v>
      </c>
      <c r="B104" s="273">
        <v>5968</v>
      </c>
      <c r="C104" s="273">
        <v>11702</v>
      </c>
      <c r="D104" s="272" t="s">
        <v>194</v>
      </c>
      <c r="E104" s="272" t="s">
        <v>185</v>
      </c>
      <c r="F104" s="275" t="s">
        <v>185</v>
      </c>
      <c r="G104" s="272" t="s">
        <v>185</v>
      </c>
      <c r="H104" s="261"/>
      <c r="I104" s="261"/>
      <c r="J104" s="265" t="s">
        <v>30</v>
      </c>
      <c r="K104" s="266" t="s">
        <v>191</v>
      </c>
      <c r="L104" s="266" t="s">
        <v>192</v>
      </c>
      <c r="M104" s="266" t="s">
        <v>204</v>
      </c>
      <c r="N104" s="266" t="s">
        <v>205</v>
      </c>
      <c r="O104" s="266" t="s">
        <v>205</v>
      </c>
      <c r="P104" s="266" t="s">
        <v>206</v>
      </c>
      <c r="Q104" s="261"/>
      <c r="R104" s="261"/>
    </row>
    <row r="105" spans="1:18" x14ac:dyDescent="0.35">
      <c r="A105" s="272" t="s">
        <v>31</v>
      </c>
      <c r="B105" s="273">
        <v>5933</v>
      </c>
      <c r="C105" s="273">
        <v>11681</v>
      </c>
      <c r="D105" s="272" t="s">
        <v>194</v>
      </c>
      <c r="E105" s="272" t="s">
        <v>185</v>
      </c>
      <c r="F105" s="275" t="s">
        <v>185</v>
      </c>
      <c r="G105" s="272" t="s">
        <v>185</v>
      </c>
      <c r="H105" s="261"/>
      <c r="I105" s="261"/>
      <c r="J105" s="265" t="s">
        <v>31</v>
      </c>
      <c r="K105" s="266" t="s">
        <v>191</v>
      </c>
      <c r="L105" s="266" t="s">
        <v>192</v>
      </c>
      <c r="M105" s="266" t="s">
        <v>204</v>
      </c>
      <c r="N105" s="266" t="s">
        <v>205</v>
      </c>
      <c r="O105" s="266" t="s">
        <v>205</v>
      </c>
      <c r="P105" s="266" t="s">
        <v>206</v>
      </c>
      <c r="Q105" s="261"/>
      <c r="R105" s="261"/>
    </row>
    <row r="106" spans="1:18" x14ac:dyDescent="0.35">
      <c r="A106" s="272" t="s">
        <v>32</v>
      </c>
      <c r="B106" s="273">
        <v>5907</v>
      </c>
      <c r="C106" s="273">
        <v>11663</v>
      </c>
      <c r="D106" s="272" t="s">
        <v>194</v>
      </c>
      <c r="E106" s="272" t="s">
        <v>185</v>
      </c>
      <c r="F106" s="275" t="s">
        <v>185</v>
      </c>
      <c r="G106" s="272" t="s">
        <v>185</v>
      </c>
      <c r="H106" s="261"/>
      <c r="I106" s="261"/>
      <c r="J106" s="265" t="s">
        <v>32</v>
      </c>
      <c r="K106" s="266" t="s">
        <v>191</v>
      </c>
      <c r="L106" s="266" t="s">
        <v>192</v>
      </c>
      <c r="M106" s="266" t="s">
        <v>204</v>
      </c>
      <c r="N106" s="266" t="s">
        <v>205</v>
      </c>
      <c r="O106" s="266" t="s">
        <v>205</v>
      </c>
      <c r="P106" s="266" t="s">
        <v>206</v>
      </c>
      <c r="Q106" s="261"/>
      <c r="R106" s="261"/>
    </row>
    <row r="107" spans="1:18" x14ac:dyDescent="0.35">
      <c r="A107" s="272" t="s">
        <v>33</v>
      </c>
      <c r="B107" s="273">
        <v>5878</v>
      </c>
      <c r="C107" s="273">
        <v>11644</v>
      </c>
      <c r="D107" s="272" t="s">
        <v>194</v>
      </c>
      <c r="E107" s="272" t="s">
        <v>185</v>
      </c>
      <c r="F107" s="275" t="s">
        <v>185</v>
      </c>
      <c r="G107" s="272" t="s">
        <v>185</v>
      </c>
      <c r="H107" s="261"/>
      <c r="I107" s="261"/>
      <c r="J107" s="265" t="s">
        <v>33</v>
      </c>
      <c r="K107" s="266" t="s">
        <v>191</v>
      </c>
      <c r="L107" s="266" t="s">
        <v>192</v>
      </c>
      <c r="M107" s="266" t="s">
        <v>204</v>
      </c>
      <c r="N107" s="266" t="s">
        <v>205</v>
      </c>
      <c r="O107" s="266" t="s">
        <v>205</v>
      </c>
      <c r="P107" s="266" t="s">
        <v>206</v>
      </c>
      <c r="Q107" s="261"/>
      <c r="R107" s="261"/>
    </row>
    <row r="108" spans="1:18" x14ac:dyDescent="0.35">
      <c r="A108" s="272" t="s">
        <v>34</v>
      </c>
      <c r="B108" s="273">
        <v>5854</v>
      </c>
      <c r="C108" s="273">
        <v>8999</v>
      </c>
      <c r="D108" s="272" t="s">
        <v>194</v>
      </c>
      <c r="E108" s="272" t="s">
        <v>185</v>
      </c>
      <c r="F108" s="275" t="s">
        <v>185</v>
      </c>
      <c r="G108" s="272" t="s">
        <v>185</v>
      </c>
      <c r="H108" s="261"/>
      <c r="I108" s="261"/>
      <c r="J108" s="265" t="s">
        <v>34</v>
      </c>
      <c r="K108" s="266" t="s">
        <v>191</v>
      </c>
      <c r="L108" s="266" t="s">
        <v>192</v>
      </c>
      <c r="M108" s="266" t="s">
        <v>204</v>
      </c>
      <c r="N108" s="266" t="s">
        <v>205</v>
      </c>
      <c r="O108" s="266" t="s">
        <v>205</v>
      </c>
      <c r="P108" s="266" t="s">
        <v>206</v>
      </c>
      <c r="Q108" s="261"/>
      <c r="R108" s="261"/>
    </row>
    <row r="109" spans="1:18" x14ac:dyDescent="0.35">
      <c r="A109" s="272" t="s">
        <v>35</v>
      </c>
      <c r="B109" s="273">
        <v>5826</v>
      </c>
      <c r="C109" s="273">
        <v>8993</v>
      </c>
      <c r="D109" s="272" t="s">
        <v>194</v>
      </c>
      <c r="E109" s="272" t="s">
        <v>185</v>
      </c>
      <c r="F109" s="275" t="s">
        <v>185</v>
      </c>
      <c r="G109" s="272" t="s">
        <v>185</v>
      </c>
      <c r="H109" s="261"/>
      <c r="I109" s="261"/>
      <c r="J109" s="265" t="s">
        <v>35</v>
      </c>
      <c r="K109" s="266" t="s">
        <v>191</v>
      </c>
      <c r="L109" s="266" t="s">
        <v>192</v>
      </c>
      <c r="M109" s="266" t="s">
        <v>204</v>
      </c>
      <c r="N109" s="266" t="s">
        <v>205</v>
      </c>
      <c r="O109" s="266" t="s">
        <v>205</v>
      </c>
      <c r="P109" s="266" t="s">
        <v>206</v>
      </c>
      <c r="Q109" s="261"/>
      <c r="R109" s="261"/>
    </row>
    <row r="110" spans="1:18" x14ac:dyDescent="0.35">
      <c r="A110" s="272" t="s">
        <v>36</v>
      </c>
      <c r="B110" s="273">
        <v>5299</v>
      </c>
      <c r="C110" s="273">
        <v>8197</v>
      </c>
      <c r="D110" s="272" t="s">
        <v>194</v>
      </c>
      <c r="E110" s="272" t="s">
        <v>185</v>
      </c>
      <c r="F110" s="275" t="s">
        <v>185</v>
      </c>
      <c r="G110" s="272" t="s">
        <v>185</v>
      </c>
      <c r="H110" s="261"/>
      <c r="I110" s="261"/>
      <c r="J110" s="265" t="s">
        <v>36</v>
      </c>
      <c r="K110" s="266" t="s">
        <v>191</v>
      </c>
      <c r="L110" s="266" t="s">
        <v>192</v>
      </c>
      <c r="M110" s="266" t="s">
        <v>204</v>
      </c>
      <c r="N110" s="266" t="s">
        <v>205</v>
      </c>
      <c r="O110" s="266" t="s">
        <v>205</v>
      </c>
      <c r="P110" s="266" t="s">
        <v>206</v>
      </c>
      <c r="Q110" s="261"/>
      <c r="R110" s="261"/>
    </row>
    <row r="111" spans="1:18" x14ac:dyDescent="0.35">
      <c r="A111" s="272" t="s">
        <v>37</v>
      </c>
      <c r="B111" s="273">
        <v>1047</v>
      </c>
      <c r="C111" s="273">
        <v>7702</v>
      </c>
      <c r="D111" s="272" t="s">
        <v>194</v>
      </c>
      <c r="E111" s="272" t="s">
        <v>185</v>
      </c>
      <c r="F111" s="275" t="s">
        <v>185</v>
      </c>
      <c r="G111" s="272" t="s">
        <v>185</v>
      </c>
      <c r="H111" s="261"/>
      <c r="I111" s="261"/>
      <c r="J111" s="265" t="s">
        <v>37</v>
      </c>
      <c r="K111" s="266" t="s">
        <v>191</v>
      </c>
      <c r="L111" s="266" t="s">
        <v>192</v>
      </c>
      <c r="M111" s="266" t="s">
        <v>204</v>
      </c>
      <c r="N111" s="266" t="s">
        <v>205</v>
      </c>
      <c r="O111" s="266" t="s">
        <v>205</v>
      </c>
      <c r="P111" s="266" t="s">
        <v>206</v>
      </c>
      <c r="Q111" s="261"/>
      <c r="R111" s="261"/>
    </row>
    <row r="112" spans="1:18" x14ac:dyDescent="0.35">
      <c r="A112" s="272" t="s">
        <v>38</v>
      </c>
      <c r="B112" s="273">
        <v>1043</v>
      </c>
      <c r="C112" s="273">
        <v>7699</v>
      </c>
      <c r="D112" s="272" t="s">
        <v>194</v>
      </c>
      <c r="E112" s="272" t="s">
        <v>185</v>
      </c>
      <c r="F112" s="275" t="s">
        <v>185</v>
      </c>
      <c r="G112" s="272" t="s">
        <v>185</v>
      </c>
      <c r="H112" s="261"/>
      <c r="I112" s="261"/>
      <c r="J112" s="265" t="s">
        <v>38</v>
      </c>
      <c r="K112" s="266" t="s">
        <v>191</v>
      </c>
      <c r="L112" s="266" t="s">
        <v>192</v>
      </c>
      <c r="M112" s="266" t="s">
        <v>204</v>
      </c>
      <c r="N112" s="266" t="s">
        <v>205</v>
      </c>
      <c r="O112" s="266" t="s">
        <v>205</v>
      </c>
      <c r="P112" s="266" t="s">
        <v>206</v>
      </c>
      <c r="Q112" s="261"/>
      <c r="R112" s="261"/>
    </row>
    <row r="113" spans="1:18" x14ac:dyDescent="0.35">
      <c r="A113" s="272" t="s">
        <v>39</v>
      </c>
      <c r="B113" s="273">
        <v>1042</v>
      </c>
      <c r="C113" s="273">
        <v>7696</v>
      </c>
      <c r="D113" s="272" t="s">
        <v>194</v>
      </c>
      <c r="E113" s="272" t="s">
        <v>185</v>
      </c>
      <c r="F113" s="275" t="s">
        <v>185</v>
      </c>
      <c r="G113" s="272" t="s">
        <v>185</v>
      </c>
      <c r="H113" s="261"/>
      <c r="I113" s="261"/>
      <c r="J113" s="265" t="s">
        <v>39</v>
      </c>
      <c r="K113" s="266" t="s">
        <v>191</v>
      </c>
      <c r="L113" s="266" t="s">
        <v>192</v>
      </c>
      <c r="M113" s="266" t="s">
        <v>204</v>
      </c>
      <c r="N113" s="266" t="s">
        <v>205</v>
      </c>
      <c r="O113" s="266" t="s">
        <v>205</v>
      </c>
      <c r="P113" s="266" t="s">
        <v>206</v>
      </c>
      <c r="Q113" s="261"/>
      <c r="R113" s="261"/>
    </row>
    <row r="114" spans="1:18" x14ac:dyDescent="0.35">
      <c r="A114" s="272" t="s">
        <v>40</v>
      </c>
      <c r="B114" s="272">
        <v>461</v>
      </c>
      <c r="C114" s="273">
        <v>2883</v>
      </c>
      <c r="D114" s="272" t="s">
        <v>194</v>
      </c>
      <c r="E114" s="272" t="s">
        <v>185</v>
      </c>
      <c r="F114" s="275" t="s">
        <v>185</v>
      </c>
      <c r="G114" s="272" t="s">
        <v>185</v>
      </c>
      <c r="H114" s="261"/>
      <c r="I114" s="261"/>
      <c r="J114" s="265" t="s">
        <v>40</v>
      </c>
      <c r="K114" s="266" t="s">
        <v>191</v>
      </c>
      <c r="L114" s="266" t="s">
        <v>192</v>
      </c>
      <c r="M114" s="266" t="s">
        <v>204</v>
      </c>
      <c r="N114" s="266" t="s">
        <v>205</v>
      </c>
      <c r="O114" s="266" t="s">
        <v>205</v>
      </c>
      <c r="P114" s="266" t="s">
        <v>206</v>
      </c>
      <c r="Q114" s="261"/>
      <c r="R114" s="261"/>
    </row>
    <row r="115" spans="1:18" x14ac:dyDescent="0.35">
      <c r="A115" s="272" t="s">
        <v>165</v>
      </c>
      <c r="B115" s="272">
        <v>299</v>
      </c>
      <c r="C115" s="273">
        <v>2820</v>
      </c>
      <c r="D115" s="272" t="s">
        <v>194</v>
      </c>
      <c r="E115" s="272" t="s">
        <v>185</v>
      </c>
      <c r="F115" s="275" t="s">
        <v>185</v>
      </c>
      <c r="G115" s="272" t="s">
        <v>185</v>
      </c>
      <c r="H115" s="261"/>
      <c r="I115" s="261"/>
      <c r="J115" s="265" t="s">
        <v>165</v>
      </c>
      <c r="K115" s="266" t="s">
        <v>177</v>
      </c>
      <c r="L115" s="266" t="s">
        <v>177</v>
      </c>
      <c r="M115" s="266" t="s">
        <v>204</v>
      </c>
      <c r="N115" s="266" t="s">
        <v>205</v>
      </c>
      <c r="O115" s="266" t="s">
        <v>205</v>
      </c>
      <c r="P115" s="266" t="s">
        <v>206</v>
      </c>
      <c r="Q115" s="261"/>
      <c r="R115" s="261"/>
    </row>
    <row r="116" spans="1:18" x14ac:dyDescent="0.35">
      <c r="A116" s="272" t="s">
        <v>193</v>
      </c>
      <c r="B116" s="272" t="s">
        <v>190</v>
      </c>
      <c r="C116" s="272" t="s">
        <v>190</v>
      </c>
      <c r="D116" s="272" t="s">
        <v>194</v>
      </c>
      <c r="E116" s="272" t="s">
        <v>185</v>
      </c>
      <c r="F116" s="272" t="s">
        <v>185</v>
      </c>
      <c r="G116" s="277" t="s">
        <v>185</v>
      </c>
      <c r="H116" s="261"/>
      <c r="I116" s="261"/>
      <c r="J116" s="265" t="s">
        <v>193</v>
      </c>
      <c r="K116" s="266" t="s">
        <v>177</v>
      </c>
      <c r="L116" s="266" t="s">
        <v>177</v>
      </c>
      <c r="M116" s="266" t="s">
        <v>204</v>
      </c>
      <c r="N116" s="266" t="s">
        <v>205</v>
      </c>
      <c r="O116" s="266" t="s">
        <v>205</v>
      </c>
      <c r="P116" s="266" t="s">
        <v>206</v>
      </c>
      <c r="Q116" s="261"/>
      <c r="R116" s="261"/>
    </row>
  </sheetData>
  <pageMargins left="0.7" right="0.7" top="0.75" bottom="0.75" header="0.3" footer="0.3"/>
  <pageSetup scale="35" fitToHeight="3" orientation="portrait" r:id="rId1"/>
  <customProperties>
    <customPr name="GU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CB913-FDFD-49DA-AF1D-5FCC39021B6C}">
  <sheetPr>
    <pageSetUpPr fitToPage="1"/>
  </sheetPr>
  <dimension ref="A1:AN146"/>
  <sheetViews>
    <sheetView zoomScaleNormal="100" workbookViewId="0">
      <pane xSplit="1" topLeftCell="K1" activePane="topRight" state="frozen"/>
      <selection activeCell="L3" sqref="L3"/>
      <selection pane="topRight" activeCell="L3" sqref="L3"/>
    </sheetView>
  </sheetViews>
  <sheetFormatPr defaultRowHeight="14.5" x14ac:dyDescent="0.35"/>
  <cols>
    <col min="1" max="1" width="17.453125" bestFit="1" customWidth="1"/>
    <col min="2" max="3" width="14.453125" bestFit="1" customWidth="1"/>
    <col min="4" max="4" width="12.54296875" bestFit="1" customWidth="1"/>
    <col min="5" max="7" width="12.54296875" customWidth="1"/>
    <col min="8" max="8" width="23.453125" customWidth="1"/>
    <col min="9" max="9" width="13.08984375" customWidth="1"/>
    <col min="10" max="10" width="10.54296875" customWidth="1"/>
    <col min="11" max="11" width="14.453125" bestFit="1" customWidth="1"/>
    <col min="12" max="12" width="18" customWidth="1"/>
    <col min="13" max="13" width="17.54296875" customWidth="1"/>
    <col min="14" max="14" width="18.453125" bestFit="1" customWidth="1"/>
    <col min="15" max="15" width="16.08984375" customWidth="1"/>
    <col min="16" max="16" width="21.90625" bestFit="1" customWidth="1"/>
    <col min="17" max="17" width="12.54296875" customWidth="1"/>
    <col min="18" max="18" width="39.54296875" bestFit="1" customWidth="1"/>
    <col min="19" max="19" width="24.54296875" bestFit="1" customWidth="1"/>
    <col min="20" max="20" width="25" bestFit="1" customWidth="1"/>
    <col min="21" max="21" width="19.54296875" bestFit="1" customWidth="1"/>
    <col min="22" max="22" width="17.54296875" bestFit="1" customWidth="1"/>
    <col min="23" max="23" width="24" bestFit="1" customWidth="1"/>
    <col min="24" max="24" width="22.453125" bestFit="1" customWidth="1"/>
    <col min="25" max="25" width="19.54296875" bestFit="1" customWidth="1"/>
    <col min="26" max="26" width="23.54296875" bestFit="1" customWidth="1"/>
    <col min="27" max="27" width="18.453125" bestFit="1" customWidth="1"/>
    <col min="28" max="28" width="15.453125" bestFit="1" customWidth="1"/>
    <col min="29" max="29" width="15.54296875" bestFit="1" customWidth="1"/>
    <col min="30" max="30" width="14.453125" bestFit="1" customWidth="1"/>
    <col min="31" max="31" width="14.453125" customWidth="1"/>
    <col min="32" max="32" width="21" bestFit="1" customWidth="1"/>
    <col min="33" max="33" width="20.54296875" bestFit="1" customWidth="1"/>
    <col min="34" max="34" width="14.54296875" bestFit="1" customWidth="1"/>
    <col min="35" max="35" width="14.54296875" customWidth="1"/>
    <col min="36" max="36" width="10.453125" bestFit="1" customWidth="1"/>
    <col min="37" max="37" width="17.54296875" customWidth="1"/>
    <col min="38" max="38" width="12.08984375" bestFit="1" customWidth="1"/>
    <col min="39" max="39" width="13.54296875" bestFit="1" customWidth="1"/>
  </cols>
  <sheetData>
    <row r="1" spans="1:40" x14ac:dyDescent="0.35">
      <c r="A1" t="s">
        <v>176</v>
      </c>
      <c r="B1" s="170" t="s">
        <v>207</v>
      </c>
      <c r="C1" s="170"/>
      <c r="D1" s="170"/>
      <c r="E1" s="170"/>
      <c r="F1" s="170"/>
      <c r="G1" s="170"/>
      <c r="H1" s="170"/>
      <c r="I1" s="170"/>
      <c r="J1" s="170"/>
      <c r="K1" s="170"/>
      <c r="L1" s="170"/>
      <c r="M1" s="170"/>
      <c r="N1" s="170"/>
      <c r="O1" s="170"/>
      <c r="P1" s="170"/>
      <c r="Q1" s="170"/>
      <c r="R1" s="170"/>
      <c r="S1" s="170"/>
      <c r="T1" s="170"/>
      <c r="U1" s="170"/>
      <c r="V1" s="191" t="s">
        <v>92</v>
      </c>
      <c r="W1" s="191"/>
      <c r="X1" s="191"/>
      <c r="Y1" s="191"/>
      <c r="Z1" s="191"/>
      <c r="AA1" s="191"/>
      <c r="AB1" s="191"/>
      <c r="AC1" s="191"/>
      <c r="AD1" s="191"/>
      <c r="AE1" s="191"/>
      <c r="AF1" s="191"/>
    </row>
    <row r="2" spans="1:40" ht="29" x14ac:dyDescent="0.35">
      <c r="A2" s="184" t="s">
        <v>1</v>
      </c>
      <c r="B2" s="1" t="s">
        <v>208</v>
      </c>
      <c r="C2" s="1" t="s">
        <v>209</v>
      </c>
      <c r="D2" s="1" t="s">
        <v>210</v>
      </c>
      <c r="E2" s="1" t="s">
        <v>182</v>
      </c>
      <c r="F2" s="1" t="s">
        <v>183</v>
      </c>
      <c r="G2" s="1" t="s">
        <v>184</v>
      </c>
      <c r="H2" s="24" t="s">
        <v>211</v>
      </c>
      <c r="I2" s="184" t="s">
        <v>212</v>
      </c>
      <c r="J2" s="184" t="s">
        <v>213</v>
      </c>
      <c r="K2" s="184" t="s">
        <v>214</v>
      </c>
      <c r="L2" s="184" t="s">
        <v>215</v>
      </c>
      <c r="M2" s="184" t="s">
        <v>216</v>
      </c>
      <c r="N2" s="184" t="s">
        <v>217</v>
      </c>
      <c r="O2" s="184" t="s">
        <v>218</v>
      </c>
      <c r="P2" s="184" t="s">
        <v>219</v>
      </c>
      <c r="Q2" s="240" t="s">
        <v>220</v>
      </c>
      <c r="R2" s="24" t="s">
        <v>221</v>
      </c>
      <c r="S2" s="24" t="s">
        <v>222</v>
      </c>
      <c r="T2" s="24" t="s">
        <v>223</v>
      </c>
      <c r="U2" s="24" t="s">
        <v>224</v>
      </c>
      <c r="V2" s="184" t="s">
        <v>131</v>
      </c>
      <c r="W2" s="184" t="s">
        <v>137</v>
      </c>
      <c r="X2" s="25" t="s">
        <v>146</v>
      </c>
      <c r="Y2" s="184" t="s">
        <v>151</v>
      </c>
      <c r="Z2" s="25" t="s">
        <v>155</v>
      </c>
      <c r="AA2" s="25" t="s">
        <v>158</v>
      </c>
      <c r="AB2" s="184" t="s">
        <v>87</v>
      </c>
      <c r="AC2" s="184" t="s">
        <v>88</v>
      </c>
      <c r="AD2" s="184" t="s">
        <v>83</v>
      </c>
      <c r="AE2" s="184" t="s">
        <v>225</v>
      </c>
      <c r="AF2" s="25" t="s">
        <v>226</v>
      </c>
      <c r="AG2" s="193" t="s">
        <v>227</v>
      </c>
      <c r="AH2" s="24" t="s">
        <v>228</v>
      </c>
      <c r="AI2" s="24" t="s">
        <v>229</v>
      </c>
      <c r="AK2" s="76" t="s">
        <v>230</v>
      </c>
      <c r="AL2" s="76" t="s">
        <v>231</v>
      </c>
      <c r="AM2" t="s">
        <v>232</v>
      </c>
      <c r="AN2" t="s">
        <v>233</v>
      </c>
    </row>
    <row r="3" spans="1:40" x14ac:dyDescent="0.35">
      <c r="A3" s="184"/>
      <c r="B3" s="184"/>
      <c r="C3" s="184"/>
      <c r="D3" s="184"/>
      <c r="E3" s="184"/>
      <c r="F3" s="184"/>
      <c r="G3" s="184"/>
      <c r="H3" s="24"/>
      <c r="I3" s="184"/>
      <c r="J3" s="184"/>
      <c r="K3" s="184"/>
      <c r="L3" s="184"/>
      <c r="M3" s="184"/>
      <c r="N3" s="184"/>
      <c r="O3" s="184"/>
      <c r="P3" s="184"/>
      <c r="Q3" s="184"/>
      <c r="R3" s="24"/>
      <c r="S3" s="24"/>
      <c r="T3" s="24"/>
      <c r="U3" s="24"/>
      <c r="V3" s="184"/>
      <c r="W3" s="184"/>
      <c r="X3" s="184"/>
      <c r="Y3" s="184"/>
      <c r="Z3" s="184"/>
      <c r="AA3" s="184"/>
      <c r="AB3" s="184"/>
      <c r="AC3" s="184"/>
      <c r="AD3" s="184"/>
      <c r="AE3" s="184"/>
      <c r="AF3" s="184"/>
      <c r="AG3" s="24"/>
      <c r="AH3" s="24"/>
      <c r="AI3" s="24"/>
    </row>
    <row r="4" spans="1:40" x14ac:dyDescent="0.35">
      <c r="A4" s="177" t="s">
        <v>17</v>
      </c>
      <c r="B4" s="178">
        <f>'ABP Under Contract'!B4</f>
        <v>59377</v>
      </c>
      <c r="C4" s="178">
        <f>'ABP Under Contract'!C4</f>
        <v>101670</v>
      </c>
      <c r="D4" s="178">
        <f>'ABP Under Contract'!D4</f>
        <v>1333</v>
      </c>
      <c r="E4" s="178" t="str">
        <f>'ABP Under Contract'!E4</f>
        <v xml:space="preserve">                -   </v>
      </c>
      <c r="F4" s="178" t="str">
        <f>'ABP Under Contract'!F4</f>
        <v xml:space="preserve">                -   </v>
      </c>
      <c r="G4" s="178" t="str">
        <f>'ABP Under Contract'!G4</f>
        <v xml:space="preserve">                -   </v>
      </c>
      <c r="H4" s="174">
        <f>SUM(B4:G4)</f>
        <v>162380</v>
      </c>
      <c r="I4" s="178">
        <v>1830409</v>
      </c>
      <c r="J4" s="178">
        <v>31316</v>
      </c>
      <c r="K4" s="178">
        <v>3273</v>
      </c>
      <c r="L4" s="178">
        <v>730000</v>
      </c>
      <c r="M4" s="178">
        <f>M33+M61+M89</f>
        <v>24313.292300000001</v>
      </c>
      <c r="N4" s="178" cm="1">
        <f t="array" ref="N4:P27">TRANSPOSE('Indexed REC Activities'!C74:Z76)</f>
        <v>0</v>
      </c>
      <c r="O4" s="178">
        <v>0</v>
      </c>
      <c r="P4" s="178">
        <v>0</v>
      </c>
      <c r="Q4" s="178">
        <v>58271.600000000006</v>
      </c>
      <c r="R4" s="174">
        <f t="shared" ref="R4:R26" si="0">SUM(I4:Q4)</f>
        <v>2677582.8922999999</v>
      </c>
      <c r="S4" s="174">
        <f>H4+J4+K4+M4+O4+P4+Q4</f>
        <v>279553.89230000001</v>
      </c>
      <c r="T4" s="174">
        <f>I4+L4+N4</f>
        <v>2560409</v>
      </c>
      <c r="U4" s="174">
        <f t="shared" ref="U4:U27" si="1">H4+R4</f>
        <v>2839962.8922999999</v>
      </c>
      <c r="V4" s="26"/>
      <c r="W4" s="26"/>
      <c r="X4" s="26"/>
      <c r="Y4" s="26"/>
      <c r="Z4" s="26"/>
      <c r="AA4" s="26"/>
      <c r="AB4" s="26" cm="1">
        <f t="array" ref="AB4:AD27">TRANSPOSE('Indexed REC Activities'!C80:Z82)</f>
        <v>0</v>
      </c>
      <c r="AC4" s="26">
        <v>0</v>
      </c>
      <c r="AD4" s="26">
        <v>0</v>
      </c>
      <c r="AE4" s="26"/>
      <c r="AF4" s="26"/>
      <c r="AG4" s="174">
        <f>SUM(V4:AF4)</f>
        <v>0</v>
      </c>
      <c r="AH4" s="174">
        <f>H4+R4+AG4</f>
        <v>2839962.8922999999</v>
      </c>
      <c r="AI4" s="192">
        <f>AH4/'Collections and ACP'!E7</f>
        <v>2.3499419619209219E-2</v>
      </c>
      <c r="AK4" s="172">
        <f>H4+J4+K4+M4+Q4+V4+W4+X4+Y4+Z4+AA4+AC4+AD4+AF4+O4+P4+AE4</f>
        <v>279553.89230000001</v>
      </c>
      <c r="AL4" s="172">
        <f>I4+L4+AB4+N4</f>
        <v>2560409</v>
      </c>
      <c r="AM4" s="105">
        <f>AK4/(AK4+AL4)</f>
        <v>9.8435755290308666E-2</v>
      </c>
      <c r="AN4" s="105">
        <f>1-AM4</f>
        <v>0.90156424470969132</v>
      </c>
    </row>
    <row r="5" spans="1:40" x14ac:dyDescent="0.35">
      <c r="A5" s="177" t="s">
        <v>18</v>
      </c>
      <c r="B5" s="178">
        <f>'ABP Under Contract'!B5</f>
        <v>116970</v>
      </c>
      <c r="C5" s="178">
        <f>'ABP Under Contract'!C5</f>
        <v>195205</v>
      </c>
      <c r="D5" s="178">
        <f>'ABP Under Contract'!D5</f>
        <v>236497</v>
      </c>
      <c r="E5" s="178" t="str">
        <f>'ABP Under Contract'!E5</f>
        <v xml:space="preserve">                -   </v>
      </c>
      <c r="F5" s="178" t="str">
        <f>'ABP Under Contract'!F5</f>
        <v xml:space="preserve">                -   </v>
      </c>
      <c r="G5" s="178" t="str">
        <f>'ABP Under Contract'!G5</f>
        <v xml:space="preserve">                -   </v>
      </c>
      <c r="H5" s="174">
        <f t="shared" ref="H5:H26" si="2">SUM(B5:G5)</f>
        <v>548672</v>
      </c>
      <c r="I5" s="178">
        <v>1830409</v>
      </c>
      <c r="J5" s="178">
        <v>31316</v>
      </c>
      <c r="K5" s="178">
        <v>21732</v>
      </c>
      <c r="L5" s="178">
        <v>2065519</v>
      </c>
      <c r="M5" s="178">
        <f t="shared" ref="M5:M27" si="3">M34+M62+M90</f>
        <v>927320.57460000005</v>
      </c>
      <c r="N5" s="178">
        <v>0</v>
      </c>
      <c r="O5" s="178">
        <v>0</v>
      </c>
      <c r="P5" s="178">
        <v>0</v>
      </c>
      <c r="Q5" s="178">
        <v>65181.53333333334</v>
      </c>
      <c r="R5" s="174">
        <f t="shared" si="0"/>
        <v>4941478.1079333331</v>
      </c>
      <c r="S5" s="174">
        <f t="shared" ref="S5:S27" si="4">H5+J5+K5+M5+O5+P5+Q5</f>
        <v>1594222.1079333334</v>
      </c>
      <c r="T5" s="174">
        <f t="shared" ref="T5:T27" si="5">I5+L5+N5</f>
        <v>3895928</v>
      </c>
      <c r="U5" s="174">
        <f t="shared" si="1"/>
        <v>5490150.1079333331</v>
      </c>
      <c r="V5" s="174"/>
      <c r="W5" s="174"/>
      <c r="X5" s="174"/>
      <c r="Y5" s="174"/>
      <c r="Z5" s="174"/>
      <c r="AA5" s="174"/>
      <c r="AB5" s="174">
        <v>0</v>
      </c>
      <c r="AC5" s="174">
        <v>0</v>
      </c>
      <c r="AD5" s="174">
        <v>0</v>
      </c>
      <c r="AE5" s="27"/>
      <c r="AF5" s="27"/>
      <c r="AG5" s="174">
        <f t="shared" ref="AG5:AG26" si="6">SUM(V5:AF5)</f>
        <v>0</v>
      </c>
      <c r="AH5" s="174">
        <f t="shared" ref="AH5:AH26" si="7">H5+R5+AG5</f>
        <v>5490150.1079333331</v>
      </c>
      <c r="AI5" s="192">
        <f>AH5/'Collections and ACP'!E8</f>
        <v>4.578046067094968E-2</v>
      </c>
      <c r="AK5" s="172">
        <f t="shared" ref="AK5:AK27" si="8">H5+J5+K5+M5+Q5+V5+W5+X5+Y5+Z5+AA5+AC5+AD5+AF5+O5+P5+AE5</f>
        <v>1594222.1079333334</v>
      </c>
      <c r="AL5" s="172">
        <f t="shared" ref="AL5:AL27" si="9">I5+L5+AB5+N5</f>
        <v>3895928</v>
      </c>
      <c r="AM5" s="105">
        <f t="shared" ref="AM5:AM27" si="10">AK5/(AK5+AL5)</f>
        <v>0.29037860105676588</v>
      </c>
      <c r="AN5" s="105">
        <f t="shared" ref="AN5:AN27" si="11">1-AM5</f>
        <v>0.70962139894323406</v>
      </c>
    </row>
    <row r="6" spans="1:40" x14ac:dyDescent="0.35">
      <c r="A6" s="177" t="s">
        <v>19</v>
      </c>
      <c r="B6" s="178">
        <f>'ABP Under Contract'!B6</f>
        <v>203309</v>
      </c>
      <c r="C6" s="178">
        <f>'ABP Under Contract'!C6</f>
        <v>243923</v>
      </c>
      <c r="D6" s="178">
        <f>'ABP Under Contract'!D6</f>
        <v>314716</v>
      </c>
      <c r="E6" s="178" t="str">
        <f>'ABP Under Contract'!E6</f>
        <v xml:space="preserve">                -   </v>
      </c>
      <c r="F6" s="178" t="str">
        <f>'ABP Under Contract'!F6</f>
        <v xml:space="preserve">                -   </v>
      </c>
      <c r="G6" s="178" t="str">
        <f>'ABP Under Contract'!G6</f>
        <v xml:space="preserve">                -   </v>
      </c>
      <c r="H6" s="174">
        <f t="shared" si="2"/>
        <v>761948</v>
      </c>
      <c r="I6" s="178">
        <v>1830409</v>
      </c>
      <c r="J6" s="178">
        <v>31316</v>
      </c>
      <c r="K6" s="178">
        <v>5613</v>
      </c>
      <c r="L6" s="178">
        <v>2065519</v>
      </c>
      <c r="M6" s="178">
        <f t="shared" si="3"/>
        <v>1995629.5746000002</v>
      </c>
      <c r="N6" s="178">
        <v>0</v>
      </c>
      <c r="O6" s="178">
        <v>0</v>
      </c>
      <c r="P6" s="178">
        <v>0</v>
      </c>
      <c r="Q6" s="178">
        <v>64855.625666666674</v>
      </c>
      <c r="R6" s="174">
        <f t="shared" si="0"/>
        <v>5993342.2002666667</v>
      </c>
      <c r="S6" s="174">
        <f t="shared" si="4"/>
        <v>2859362.2002666667</v>
      </c>
      <c r="T6" s="174">
        <f>I6+L6+N6</f>
        <v>3895928</v>
      </c>
      <c r="U6" s="174">
        <f t="shared" si="1"/>
        <v>6755290.2002666667</v>
      </c>
      <c r="V6" s="28"/>
      <c r="W6" s="28"/>
      <c r="X6" s="28"/>
      <c r="Y6" s="28"/>
      <c r="Z6" s="28"/>
      <c r="AA6" s="28"/>
      <c r="AB6" s="29">
        <v>0</v>
      </c>
      <c r="AC6" s="29">
        <v>0</v>
      </c>
      <c r="AD6" s="29">
        <v>0</v>
      </c>
      <c r="AE6" s="29"/>
      <c r="AF6" s="29"/>
      <c r="AG6" s="174">
        <f t="shared" si="6"/>
        <v>0</v>
      </c>
      <c r="AH6" s="174">
        <f t="shared" si="7"/>
        <v>6755290.2002666667</v>
      </c>
      <c r="AI6" s="192">
        <f>AH6/'Collections and ACP'!E9</f>
        <v>5.6152614328541656E-2</v>
      </c>
      <c r="AJ6" s="172"/>
      <c r="AK6" s="172">
        <f t="shared" si="8"/>
        <v>2859362.2002666667</v>
      </c>
      <c r="AL6" s="172">
        <f t="shared" si="9"/>
        <v>3895928</v>
      </c>
      <c r="AM6" s="105">
        <f t="shared" si="10"/>
        <v>0.42327747816870881</v>
      </c>
      <c r="AN6" s="105">
        <f t="shared" si="11"/>
        <v>0.57672252183129125</v>
      </c>
    </row>
    <row r="7" spans="1:40" x14ac:dyDescent="0.35">
      <c r="A7" s="177" t="s">
        <v>20</v>
      </c>
      <c r="B7" s="178">
        <f>'ABP Under Contract'!B7</f>
        <v>273265</v>
      </c>
      <c r="C7" s="178">
        <f>'ABP Under Contract'!C7</f>
        <v>353167</v>
      </c>
      <c r="D7" s="178">
        <f>'ABP Under Contract'!D7</f>
        <v>530481</v>
      </c>
      <c r="E7" s="178" t="str">
        <f>'ABP Under Contract'!E7</f>
        <v xml:space="preserve">                           -  </v>
      </c>
      <c r="F7" s="178" t="str">
        <f>'ABP Under Contract'!F7</f>
        <v xml:space="preserve">                   -  </v>
      </c>
      <c r="G7" s="178" t="str">
        <f>'ABP Under Contract'!G7</f>
        <v> </v>
      </c>
      <c r="H7" s="174">
        <f t="shared" si="2"/>
        <v>1156913</v>
      </c>
      <c r="I7" s="178">
        <v>1830409</v>
      </c>
      <c r="J7" s="178">
        <v>31316</v>
      </c>
      <c r="K7" s="30"/>
      <c r="L7" s="178">
        <v>2065519</v>
      </c>
      <c r="M7" s="178">
        <f t="shared" si="3"/>
        <v>1995629.5746000002</v>
      </c>
      <c r="N7" s="178">
        <v>0</v>
      </c>
      <c r="O7" s="178">
        <v>0</v>
      </c>
      <c r="P7" s="178">
        <v>0</v>
      </c>
      <c r="Q7" s="178">
        <v>64531.347538333343</v>
      </c>
      <c r="R7" s="174">
        <f t="shared" si="0"/>
        <v>5987404.9221383333</v>
      </c>
      <c r="S7" s="174">
        <f t="shared" si="4"/>
        <v>3248389.9221383333</v>
      </c>
      <c r="T7" s="174">
        <f t="shared" si="5"/>
        <v>3895928</v>
      </c>
      <c r="U7" s="174">
        <f t="shared" si="1"/>
        <v>7144317.9221383333</v>
      </c>
      <c r="V7" s="28"/>
      <c r="W7" s="28"/>
      <c r="X7" s="28"/>
      <c r="Y7" s="28"/>
      <c r="Z7" s="28"/>
      <c r="AA7" s="28"/>
      <c r="AB7" s="29">
        <v>0</v>
      </c>
      <c r="AC7" s="29">
        <v>0</v>
      </c>
      <c r="AD7" s="29">
        <v>0</v>
      </c>
      <c r="AE7" s="29"/>
      <c r="AF7" s="29">
        <v>47000</v>
      </c>
      <c r="AG7" s="174">
        <f>SUM(V7:AF7)</f>
        <v>47000</v>
      </c>
      <c r="AH7" s="174">
        <f>H7+R7+AG7</f>
        <v>7191317.9221383333</v>
      </c>
      <c r="AI7" s="192">
        <f>AH7/'Collections and ACP'!E10</f>
        <v>6.0796754178634484E-2</v>
      </c>
      <c r="AJ7" s="172"/>
      <c r="AK7" s="172">
        <f t="shared" si="8"/>
        <v>3295389.9221383333</v>
      </c>
      <c r="AL7" s="172">
        <f t="shared" si="9"/>
        <v>3895928</v>
      </c>
      <c r="AM7" s="105">
        <f t="shared" si="10"/>
        <v>0.45824561753743903</v>
      </c>
      <c r="AN7" s="105">
        <f t="shared" si="11"/>
        <v>0.54175438246256102</v>
      </c>
    </row>
    <row r="8" spans="1:40" x14ac:dyDescent="0.35">
      <c r="A8" s="177" t="s">
        <v>22</v>
      </c>
      <c r="B8" s="178">
        <f>'ABP Under Contract'!B8</f>
        <v>451504</v>
      </c>
      <c r="C8" s="178">
        <f>'ABP Under Contract'!C8</f>
        <v>547742</v>
      </c>
      <c r="D8" s="178">
        <f>'ABP Under Contract'!D8</f>
        <v>879647</v>
      </c>
      <c r="E8" s="178">
        <f>'ABP Under Contract'!E8</f>
        <v>1637</v>
      </c>
      <c r="F8" s="178">
        <f>'ABP Under Contract'!F8</f>
        <v>4572</v>
      </c>
      <c r="G8" s="178" t="str">
        <f>'ABP Under Contract'!G8</f>
        <v> </v>
      </c>
      <c r="H8" s="174">
        <f t="shared" si="2"/>
        <v>1885102</v>
      </c>
      <c r="I8" s="178">
        <v>1830409</v>
      </c>
      <c r="J8" s="178">
        <v>31316</v>
      </c>
      <c r="K8" s="30"/>
      <c r="L8" s="178">
        <v>2065519</v>
      </c>
      <c r="M8" s="178">
        <f t="shared" si="3"/>
        <v>1995629.5746000002</v>
      </c>
      <c r="N8" s="178">
        <v>0</v>
      </c>
      <c r="O8" s="178">
        <v>0</v>
      </c>
      <c r="P8" s="178">
        <v>0</v>
      </c>
      <c r="Q8" s="178">
        <v>64208.690800641678</v>
      </c>
      <c r="R8" s="174">
        <f t="shared" si="0"/>
        <v>5987082.2654006416</v>
      </c>
      <c r="S8" s="174">
        <f t="shared" si="4"/>
        <v>3976256.2654006416</v>
      </c>
      <c r="T8" s="174">
        <f t="shared" si="5"/>
        <v>3895928</v>
      </c>
      <c r="U8" s="174">
        <f t="shared" si="1"/>
        <v>7872184.2654006416</v>
      </c>
      <c r="V8" s="13" cm="1">
        <f t="array" ref="V8:AA27">TRANSPOSE('Projected ABP RECs'!B164:U169)</f>
        <v>152270.70136704002</v>
      </c>
      <c r="W8" s="28">
        <v>210469.22732669531</v>
      </c>
      <c r="X8" s="28">
        <v>0</v>
      </c>
      <c r="Y8" s="28">
        <v>363986.64227199997</v>
      </c>
      <c r="Z8" s="28">
        <v>0</v>
      </c>
      <c r="AA8" s="28">
        <v>162901.72193382742</v>
      </c>
      <c r="AB8" s="29">
        <v>0</v>
      </c>
      <c r="AC8" s="29">
        <v>0</v>
      </c>
      <c r="AD8" s="29">
        <v>0</v>
      </c>
      <c r="AE8" s="29">
        <v>464564</v>
      </c>
      <c r="AF8" s="29">
        <v>93530</v>
      </c>
      <c r="AG8" s="174">
        <f>SUM(V8:AF8)</f>
        <v>1447722.2928995625</v>
      </c>
      <c r="AH8" s="174">
        <f t="shared" si="7"/>
        <v>9319906.5583002046</v>
      </c>
      <c r="AI8" s="192">
        <f>AH8/'Collections and ACP'!E11</f>
        <v>7.9353110742765534E-2</v>
      </c>
      <c r="AJ8" s="172"/>
      <c r="AK8" s="172">
        <f t="shared" si="8"/>
        <v>5423978.5583002046</v>
      </c>
      <c r="AL8" s="172">
        <f t="shared" si="9"/>
        <v>3895928</v>
      </c>
      <c r="AM8" s="105">
        <f t="shared" si="10"/>
        <v>0.5819777831859988</v>
      </c>
      <c r="AN8" s="105">
        <f t="shared" si="11"/>
        <v>0.4180222168140012</v>
      </c>
    </row>
    <row r="9" spans="1:40" x14ac:dyDescent="0.35">
      <c r="A9" s="177" t="s">
        <v>23</v>
      </c>
      <c r="B9" s="178">
        <f>'ABP Under Contract'!B9</f>
        <v>449577</v>
      </c>
      <c r="C9" s="178">
        <f>'ABP Under Contract'!C9</f>
        <v>545856</v>
      </c>
      <c r="D9" s="178">
        <f>'ABP Under Contract'!D9</f>
        <v>1527729</v>
      </c>
      <c r="E9" s="178">
        <f>'ABP Under Contract'!E9</f>
        <v>24540</v>
      </c>
      <c r="F9" s="178">
        <f>'ABP Under Contract'!F9</f>
        <v>100722</v>
      </c>
      <c r="G9" s="178">
        <f>'ABP Under Contract'!G9</f>
        <v>427802</v>
      </c>
      <c r="H9" s="174">
        <f t="shared" si="2"/>
        <v>3076226</v>
      </c>
      <c r="I9" s="178">
        <v>1830409</v>
      </c>
      <c r="J9" s="178">
        <v>31316</v>
      </c>
      <c r="K9" s="30"/>
      <c r="L9" s="178">
        <v>2065519</v>
      </c>
      <c r="M9" s="178">
        <f t="shared" si="3"/>
        <v>1995629.5746000002</v>
      </c>
      <c r="N9" s="178">
        <v>460000</v>
      </c>
      <c r="O9" s="178">
        <v>1891521</v>
      </c>
      <c r="P9" s="178">
        <v>57870</v>
      </c>
      <c r="Q9" s="178">
        <v>63887.64734663847</v>
      </c>
      <c r="R9" s="174">
        <f t="shared" si="0"/>
        <v>8396152.2219466381</v>
      </c>
      <c r="S9" s="174">
        <f t="shared" si="4"/>
        <v>7116450.2219466381</v>
      </c>
      <c r="T9" s="174">
        <f t="shared" si="5"/>
        <v>4355928</v>
      </c>
      <c r="U9" s="174">
        <f t="shared" si="1"/>
        <v>11472378.221946638</v>
      </c>
      <c r="V9" s="13">
        <v>297416.20793575683</v>
      </c>
      <c r="W9" s="13">
        <v>364759.22092127509</v>
      </c>
      <c r="X9" s="13">
        <v>163834.10498400001</v>
      </c>
      <c r="Y9" s="13">
        <v>490588.83203263994</v>
      </c>
      <c r="Z9" s="13">
        <v>28436.221439999998</v>
      </c>
      <c r="AA9" s="13">
        <v>334689.81302550633</v>
      </c>
      <c r="AB9" s="29">
        <v>0</v>
      </c>
      <c r="AC9" s="29">
        <v>0</v>
      </c>
      <c r="AD9" s="29">
        <v>0</v>
      </c>
      <c r="AE9" s="29">
        <v>464564</v>
      </c>
      <c r="AF9" s="29">
        <v>140295</v>
      </c>
      <c r="AG9" s="174">
        <f t="shared" si="6"/>
        <v>2284583.4003391783</v>
      </c>
      <c r="AH9" s="174">
        <f t="shared" si="7"/>
        <v>13756961.622285817</v>
      </c>
      <c r="AI9" s="192">
        <f>AH9/'Collections and ACP'!E12</f>
        <v>0.11858513246498627</v>
      </c>
      <c r="AJ9" s="172"/>
      <c r="AK9" s="172">
        <f t="shared" si="8"/>
        <v>9401033.6222858168</v>
      </c>
      <c r="AL9" s="172">
        <f t="shared" si="9"/>
        <v>4355928</v>
      </c>
      <c r="AM9" s="105">
        <f t="shared" si="10"/>
        <v>0.68336554832401786</v>
      </c>
      <c r="AN9" s="105">
        <f t="shared" si="11"/>
        <v>0.31663445167598214</v>
      </c>
    </row>
    <row r="10" spans="1:40" x14ac:dyDescent="0.35">
      <c r="A10" s="177" t="s">
        <v>24</v>
      </c>
      <c r="B10" s="178">
        <f>'ABP Under Contract'!B10</f>
        <v>447555</v>
      </c>
      <c r="C10" s="178">
        <f>'ABP Under Contract'!C10</f>
        <v>543971</v>
      </c>
      <c r="D10" s="178">
        <f>'ABP Under Contract'!D10</f>
        <v>1524571</v>
      </c>
      <c r="E10" s="178">
        <f>'ABP Under Contract'!E10</f>
        <v>24524</v>
      </c>
      <c r="F10" s="178">
        <f>'ABP Under Contract'!F10</f>
        <v>100238</v>
      </c>
      <c r="G10" s="178">
        <f>'ABP Under Contract'!G10</f>
        <v>425668</v>
      </c>
      <c r="H10" s="174">
        <f t="shared" si="2"/>
        <v>3066527</v>
      </c>
      <c r="I10" s="178">
        <v>1830409</v>
      </c>
      <c r="J10" s="178">
        <v>31316</v>
      </c>
      <c r="K10" s="30"/>
      <c r="L10" s="178">
        <v>2065519</v>
      </c>
      <c r="M10" s="178">
        <f t="shared" si="3"/>
        <v>1995629.5746000002</v>
      </c>
      <c r="N10" s="178">
        <v>460000</v>
      </c>
      <c r="O10" s="178">
        <v>2938633.395</v>
      </c>
      <c r="P10" s="178">
        <v>142580.65</v>
      </c>
      <c r="Q10" s="178">
        <v>63568.209109905278</v>
      </c>
      <c r="R10" s="174">
        <f t="shared" si="0"/>
        <v>9527655.828709906</v>
      </c>
      <c r="S10" s="174">
        <f t="shared" si="4"/>
        <v>8238254.828709905</v>
      </c>
      <c r="T10" s="174">
        <f t="shared" si="5"/>
        <v>4355928</v>
      </c>
      <c r="U10" s="174">
        <f t="shared" si="1"/>
        <v>12594182.828709906</v>
      </c>
      <c r="V10" s="13">
        <v>441835.98697163002</v>
      </c>
      <c r="W10" s="13">
        <v>518277.76454788202</v>
      </c>
      <c r="X10" s="13">
        <v>429737.80524708005</v>
      </c>
      <c r="Y10" s="13">
        <v>616558.01084447675</v>
      </c>
      <c r="Z10" s="13">
        <v>67808.539708800003</v>
      </c>
      <c r="AA10" s="13">
        <v>505618.96366172691</v>
      </c>
      <c r="AB10" s="29">
        <v>0</v>
      </c>
      <c r="AC10" s="29">
        <v>1056570</v>
      </c>
      <c r="AD10" s="29">
        <v>85000</v>
      </c>
      <c r="AE10" s="29">
        <v>464564</v>
      </c>
      <c r="AF10" s="29">
        <v>187060</v>
      </c>
      <c r="AG10" s="174">
        <f t="shared" si="6"/>
        <v>4373031.0709815957</v>
      </c>
      <c r="AH10" s="174">
        <f t="shared" si="7"/>
        <v>16967213.8996915</v>
      </c>
      <c r="AI10" s="192">
        <f>AH10/'Collections and ACP'!E13</f>
        <v>0.14721471034291064</v>
      </c>
      <c r="AJ10" s="172"/>
      <c r="AK10" s="172">
        <f t="shared" si="8"/>
        <v>12611285.899691498</v>
      </c>
      <c r="AL10" s="172">
        <f t="shared" si="9"/>
        <v>4355928</v>
      </c>
      <c r="AM10" s="105">
        <f t="shared" si="10"/>
        <v>0.74327382057232139</v>
      </c>
      <c r="AN10" s="105">
        <f t="shared" si="11"/>
        <v>0.25672617942767861</v>
      </c>
    </row>
    <row r="11" spans="1:40" x14ac:dyDescent="0.35">
      <c r="A11" s="177" t="s">
        <v>25</v>
      </c>
      <c r="B11" s="178">
        <f>'ABP Under Contract'!B11</f>
        <v>445719</v>
      </c>
      <c r="C11" s="178">
        <f>'ABP Under Contract'!C11</f>
        <v>542140</v>
      </c>
      <c r="D11" s="178">
        <f>'ABP Under Contract'!D11</f>
        <v>1521441</v>
      </c>
      <c r="E11" s="178">
        <f>'ABP Under Contract'!E11</f>
        <v>24509</v>
      </c>
      <c r="F11" s="178">
        <f>'ABP Under Contract'!F11</f>
        <v>99760</v>
      </c>
      <c r="G11" s="178">
        <f>'ABP Under Contract'!G11</f>
        <v>423538</v>
      </c>
      <c r="H11" s="174">
        <f t="shared" si="2"/>
        <v>3057107</v>
      </c>
      <c r="I11" s="178">
        <v>1830409</v>
      </c>
      <c r="J11" s="178">
        <v>31316</v>
      </c>
      <c r="K11" s="30"/>
      <c r="L11" s="178">
        <v>2065519</v>
      </c>
      <c r="M11" s="178">
        <f t="shared" si="3"/>
        <v>1995629.5746000002</v>
      </c>
      <c r="N11" s="178">
        <v>460000</v>
      </c>
      <c r="O11" s="178">
        <v>2923940.2280249996</v>
      </c>
      <c r="P11" s="178">
        <v>141867.74674999999</v>
      </c>
      <c r="Q11" s="178">
        <v>63250.368064355753</v>
      </c>
      <c r="R11" s="174">
        <f t="shared" si="0"/>
        <v>9511931.9174393564</v>
      </c>
      <c r="S11" s="174">
        <f t="shared" si="4"/>
        <v>8213110.9174393555</v>
      </c>
      <c r="T11" s="174">
        <f t="shared" si="5"/>
        <v>4355928</v>
      </c>
      <c r="U11" s="174">
        <f t="shared" si="1"/>
        <v>12569038.917439356</v>
      </c>
      <c r="V11" s="13">
        <v>585533.66711232392</v>
      </c>
      <c r="W11" s="13">
        <v>671028.71545635583</v>
      </c>
      <c r="X11" s="13">
        <v>694311.98700884462</v>
      </c>
      <c r="Y11" s="13">
        <v>741897.34376225434</v>
      </c>
      <c r="Z11" s="13">
        <v>106983.99638625598</v>
      </c>
      <c r="AA11" s="13">
        <v>675693.46854476642</v>
      </c>
      <c r="AB11" s="29">
        <v>7500000</v>
      </c>
      <c r="AC11" s="29">
        <v>2551287.15</v>
      </c>
      <c r="AD11" s="29">
        <v>169575</v>
      </c>
      <c r="AE11" s="29">
        <v>464564</v>
      </c>
      <c r="AF11" s="29">
        <v>233825</v>
      </c>
      <c r="AG11" s="174">
        <f t="shared" si="6"/>
        <v>14394700.328270802</v>
      </c>
      <c r="AH11" s="174">
        <f t="shared" si="7"/>
        <v>26963739.245710157</v>
      </c>
      <c r="AI11" s="192">
        <f>AH11/'Collections and ACP'!E14</f>
        <v>0.23434591053653117</v>
      </c>
      <c r="AJ11" s="172"/>
      <c r="AK11" s="172">
        <f t="shared" si="8"/>
        <v>15107811.245710157</v>
      </c>
      <c r="AL11" s="172">
        <f t="shared" si="9"/>
        <v>11855928</v>
      </c>
      <c r="AM11" s="105">
        <f t="shared" si="10"/>
        <v>0.56030104385888391</v>
      </c>
      <c r="AN11" s="105">
        <f t="shared" si="11"/>
        <v>0.43969895614111609</v>
      </c>
    </row>
    <row r="12" spans="1:40" x14ac:dyDescent="0.35">
      <c r="A12" s="177" t="s">
        <v>26</v>
      </c>
      <c r="B12" s="178">
        <f>'ABP Under Contract'!B12</f>
        <v>443891</v>
      </c>
      <c r="C12" s="178">
        <f>'ABP Under Contract'!C12</f>
        <v>540364</v>
      </c>
      <c r="D12" s="178">
        <f>'ABP Under Contract'!D12</f>
        <v>1518318</v>
      </c>
      <c r="E12" s="178">
        <f>'ABP Under Contract'!E12</f>
        <v>24494</v>
      </c>
      <c r="F12" s="178">
        <f>'ABP Under Contract'!F12</f>
        <v>99285</v>
      </c>
      <c r="G12" s="178">
        <f>'ABP Under Contract'!G12</f>
        <v>421420</v>
      </c>
      <c r="H12" s="174">
        <f>SUM(B12:G12)</f>
        <v>3047772</v>
      </c>
      <c r="I12" s="178">
        <v>1830409</v>
      </c>
      <c r="J12" s="178">
        <v>31316</v>
      </c>
      <c r="K12" s="30"/>
      <c r="L12" s="178">
        <v>2065519</v>
      </c>
      <c r="M12" s="178">
        <f t="shared" si="3"/>
        <v>1995629.5746000002</v>
      </c>
      <c r="N12" s="178">
        <v>460000</v>
      </c>
      <c r="O12" s="178">
        <v>2909320.5268848753</v>
      </c>
      <c r="P12" s="178">
        <v>141158.40801625</v>
      </c>
      <c r="Q12" s="178">
        <v>62934.116224033976</v>
      </c>
      <c r="R12" s="174">
        <f t="shared" si="0"/>
        <v>9496286.6257251594</v>
      </c>
      <c r="S12" s="174">
        <f t="shared" si="4"/>
        <v>8188130.6257251594</v>
      </c>
      <c r="T12" s="174">
        <f t="shared" si="5"/>
        <v>4355928</v>
      </c>
      <c r="U12" s="174">
        <f t="shared" si="1"/>
        <v>12544058.625725159</v>
      </c>
      <c r="V12" s="13">
        <v>728512.8588523143</v>
      </c>
      <c r="W12" s="13">
        <v>823015.91161028738</v>
      </c>
      <c r="X12" s="13">
        <v>957563.29786180053</v>
      </c>
      <c r="Y12" s="13">
        <v>866609.98001544294</v>
      </c>
      <c r="Z12" s="13">
        <v>145963.57578032473</v>
      </c>
      <c r="AA12" s="13">
        <v>844917.60090339056</v>
      </c>
      <c r="AB12" s="29">
        <v>10000000</v>
      </c>
      <c r="AC12" s="29">
        <v>4038530.7142500002</v>
      </c>
      <c r="AD12" s="29">
        <v>253727.125</v>
      </c>
      <c r="AE12" s="29">
        <v>464564</v>
      </c>
      <c r="AF12" s="29">
        <v>280590</v>
      </c>
      <c r="AG12" s="174">
        <f t="shared" si="6"/>
        <v>19403995.064273559</v>
      </c>
      <c r="AH12" s="174">
        <f t="shared" si="7"/>
        <v>31948053.689998716</v>
      </c>
      <c r="AI12" s="192">
        <f>AH12/'Collections and ACP'!E15</f>
        <v>0.27696130265965907</v>
      </c>
      <c r="AJ12" s="172"/>
      <c r="AK12" s="172">
        <f t="shared" si="8"/>
        <v>17592125.68999872</v>
      </c>
      <c r="AL12" s="172">
        <f t="shared" si="9"/>
        <v>14355928</v>
      </c>
      <c r="AM12" s="105">
        <f t="shared" si="10"/>
        <v>0.55064780661445745</v>
      </c>
      <c r="AN12" s="105">
        <f t="shared" si="11"/>
        <v>0.44935219338554255</v>
      </c>
    </row>
    <row r="13" spans="1:40" x14ac:dyDescent="0.35">
      <c r="A13" s="177" t="s">
        <v>27</v>
      </c>
      <c r="B13" s="178">
        <f>'ABP Under Contract'!B13</f>
        <v>442079</v>
      </c>
      <c r="C13" s="178">
        <f>'ABP Under Contract'!C13</f>
        <v>538520</v>
      </c>
      <c r="D13" s="178">
        <f>'ABP Under Contract'!D13</f>
        <v>1515216</v>
      </c>
      <c r="E13" s="178">
        <f>'ABP Under Contract'!E13</f>
        <v>24480</v>
      </c>
      <c r="F13" s="178">
        <f>'ABP Under Contract'!F13</f>
        <v>98806</v>
      </c>
      <c r="G13" s="178">
        <f>'ABP Under Contract'!G13</f>
        <v>419312</v>
      </c>
      <c r="H13" s="174">
        <f t="shared" si="2"/>
        <v>3038413</v>
      </c>
      <c r="I13" s="178">
        <v>1830409</v>
      </c>
      <c r="J13" s="178">
        <v>31316</v>
      </c>
      <c r="K13" s="30"/>
      <c r="L13" s="178">
        <v>2065519</v>
      </c>
      <c r="M13" s="178">
        <f t="shared" si="3"/>
        <v>1995629.5746000002</v>
      </c>
      <c r="N13" s="178">
        <v>460000</v>
      </c>
      <c r="O13" s="178">
        <v>2894773.9242504505</v>
      </c>
      <c r="P13" s="178">
        <v>140452.61597616874</v>
      </c>
      <c r="Q13" s="178">
        <v>62619.445642913808</v>
      </c>
      <c r="R13" s="174">
        <f t="shared" si="0"/>
        <v>9480719.5604695324</v>
      </c>
      <c r="S13" s="174">
        <f t="shared" si="4"/>
        <v>8163204.5604695324</v>
      </c>
      <c r="T13" s="174">
        <f t="shared" si="5"/>
        <v>4355928</v>
      </c>
      <c r="U13" s="174">
        <f t="shared" si="1"/>
        <v>12519132.560469532</v>
      </c>
      <c r="V13" s="13">
        <v>870777.15463360469</v>
      </c>
      <c r="W13" s="13">
        <v>974243.17178344924</v>
      </c>
      <c r="X13" s="13">
        <v>1219498.3521604915</v>
      </c>
      <c r="Y13" s="13">
        <v>990699.05308736581</v>
      </c>
      <c r="Z13" s="13">
        <v>184748.25727742308</v>
      </c>
      <c r="AA13" s="13">
        <v>1013295.6126002219</v>
      </c>
      <c r="AB13" s="29">
        <v>12500000</v>
      </c>
      <c r="AC13" s="29">
        <v>5518338.0606787503</v>
      </c>
      <c r="AD13" s="29">
        <v>337458.489375</v>
      </c>
      <c r="AE13" s="29">
        <v>464564</v>
      </c>
      <c r="AF13" s="29">
        <v>315751.65413533832</v>
      </c>
      <c r="AG13" s="174">
        <f t="shared" si="6"/>
        <v>24389373.805731643</v>
      </c>
      <c r="AH13" s="174">
        <f t="shared" si="7"/>
        <v>36908506.366201177</v>
      </c>
      <c r="AI13" s="192">
        <f>AH13/'Collections and ACP'!E16</f>
        <v>0.31970695889723394</v>
      </c>
      <c r="AJ13" s="172"/>
      <c r="AK13" s="172">
        <f t="shared" si="8"/>
        <v>20052578.366201181</v>
      </c>
      <c r="AL13" s="172">
        <f t="shared" si="9"/>
        <v>16855928</v>
      </c>
      <c r="AM13" s="105">
        <f t="shared" si="10"/>
        <v>0.54330506272029078</v>
      </c>
      <c r="AN13" s="105">
        <f t="shared" si="11"/>
        <v>0.45669493727970922</v>
      </c>
    </row>
    <row r="14" spans="1:40" x14ac:dyDescent="0.35">
      <c r="A14" s="177" t="s">
        <v>28</v>
      </c>
      <c r="B14" s="178">
        <f>'ABP Under Contract'!B14</f>
        <v>440223</v>
      </c>
      <c r="C14" s="178">
        <f>'ABP Under Contract'!C14</f>
        <v>536677</v>
      </c>
      <c r="D14" s="178">
        <f>'ABP Under Contract'!D14</f>
        <v>1512120</v>
      </c>
      <c r="E14" s="178">
        <f>'ABP Under Contract'!E14</f>
        <v>24465</v>
      </c>
      <c r="F14" s="178">
        <f>'ABP Under Contract'!F14</f>
        <v>98341</v>
      </c>
      <c r="G14" s="178">
        <f>'ABP Under Contract'!G14</f>
        <v>417214</v>
      </c>
      <c r="H14" s="174">
        <f t="shared" si="2"/>
        <v>3029040</v>
      </c>
      <c r="I14" s="178">
        <v>1830409</v>
      </c>
      <c r="J14" s="178">
        <v>31316</v>
      </c>
      <c r="K14" s="30"/>
      <c r="L14" s="178">
        <v>2065519</v>
      </c>
      <c r="M14" s="178">
        <f t="shared" si="3"/>
        <v>1995629.5746000002</v>
      </c>
      <c r="N14" s="178">
        <v>460000</v>
      </c>
      <c r="O14" s="178">
        <v>2880300.0546291983</v>
      </c>
      <c r="P14" s="178">
        <v>139750.35289628792</v>
      </c>
      <c r="Q14" s="178">
        <v>62306.348414699241</v>
      </c>
      <c r="R14" s="174">
        <f t="shared" si="0"/>
        <v>9465230.3305401858</v>
      </c>
      <c r="S14" s="174">
        <f t="shared" si="4"/>
        <v>8138342.3305401858</v>
      </c>
      <c r="T14" s="174">
        <f t="shared" si="5"/>
        <v>4355928</v>
      </c>
      <c r="U14" s="174">
        <f t="shared" si="1"/>
        <v>12494270.330540186</v>
      </c>
      <c r="V14" s="13">
        <v>1012330.1289359888</v>
      </c>
      <c r="W14" s="13">
        <v>1124714.2956557451</v>
      </c>
      <c r="X14" s="13">
        <v>1480123.7311876889</v>
      </c>
      <c r="Y14" s="13">
        <v>1114167.6807939289</v>
      </c>
      <c r="Z14" s="13">
        <v>223339.01536703599</v>
      </c>
      <c r="AA14" s="13">
        <v>1180831.7342385687</v>
      </c>
      <c r="AB14" s="29">
        <v>15000000</v>
      </c>
      <c r="AC14" s="29">
        <v>6990746.3703753557</v>
      </c>
      <c r="AD14" s="29">
        <v>420771.19692812499</v>
      </c>
      <c r="AE14" s="29">
        <v>464564</v>
      </c>
      <c r="AF14" s="29">
        <v>350913.30827067664</v>
      </c>
      <c r="AG14" s="174">
        <f t="shared" si="6"/>
        <v>29362501.461753119</v>
      </c>
      <c r="AH14" s="174">
        <f t="shared" si="7"/>
        <v>41856771.792293303</v>
      </c>
      <c r="AI14" s="192">
        <f>AH14/'Collections and ACP'!E17</f>
        <v>0.36043515119403363</v>
      </c>
      <c r="AJ14" s="172"/>
      <c r="AK14" s="172">
        <f t="shared" si="8"/>
        <v>22500843.792293303</v>
      </c>
      <c r="AL14" s="172">
        <f t="shared" si="9"/>
        <v>19355928</v>
      </c>
      <c r="AM14" s="105">
        <f t="shared" si="10"/>
        <v>0.53756758652935999</v>
      </c>
      <c r="AN14" s="105">
        <f t="shared" si="11"/>
        <v>0.46243241347064001</v>
      </c>
    </row>
    <row r="15" spans="1:40" x14ac:dyDescent="0.35">
      <c r="A15" s="177" t="s">
        <v>29</v>
      </c>
      <c r="B15" s="178">
        <f>'ABP Under Contract'!B15</f>
        <v>438482</v>
      </c>
      <c r="C15" s="178">
        <f>'ABP Under Contract'!C15</f>
        <v>534907</v>
      </c>
      <c r="D15" s="178">
        <f>'ABP Under Contract'!D15</f>
        <v>1509051</v>
      </c>
      <c r="E15" s="178">
        <f>'ABP Under Contract'!E15</f>
        <v>24450</v>
      </c>
      <c r="F15" s="178">
        <f>'ABP Under Contract'!F15</f>
        <v>97870</v>
      </c>
      <c r="G15" s="178">
        <f>'ABP Under Contract'!G15</f>
        <v>415127</v>
      </c>
      <c r="H15" s="174">
        <f t="shared" si="2"/>
        <v>3019887</v>
      </c>
      <c r="I15" s="178">
        <v>1830409</v>
      </c>
      <c r="J15" s="178">
        <v>31316</v>
      </c>
      <c r="K15" s="30"/>
      <c r="L15" s="178">
        <v>2065519</v>
      </c>
      <c r="M15" s="178">
        <f t="shared" si="3"/>
        <v>1995629.5746000002</v>
      </c>
      <c r="N15" s="178">
        <v>460000</v>
      </c>
      <c r="O15" s="178">
        <v>2865898.5543560521</v>
      </c>
      <c r="P15" s="178">
        <v>139051.60113180647</v>
      </c>
      <c r="Q15" s="178">
        <v>61994.816672625748</v>
      </c>
      <c r="R15" s="174">
        <f t="shared" si="0"/>
        <v>9449818.5467604827</v>
      </c>
      <c r="S15" s="174">
        <f t="shared" si="4"/>
        <v>8113777.5467604836</v>
      </c>
      <c r="T15" s="174">
        <f t="shared" si="5"/>
        <v>4355928</v>
      </c>
      <c r="U15" s="174">
        <f t="shared" si="1"/>
        <v>12469705.546760483</v>
      </c>
      <c r="V15" s="13">
        <v>1169387.2117085888</v>
      </c>
      <c r="W15" s="13">
        <v>1291693.3238788147</v>
      </c>
      <c r="X15" s="13">
        <v>1739445.9833197505</v>
      </c>
      <c r="Y15" s="13">
        <v>1256776.2150499593</v>
      </c>
      <c r="Z15" s="13">
        <v>261736.81966620081</v>
      </c>
      <c r="AA15" s="13">
        <v>1261228.87541805</v>
      </c>
      <c r="AB15" s="29">
        <v>17500000</v>
      </c>
      <c r="AC15" s="29">
        <v>7955792.6385234799</v>
      </c>
      <c r="AD15" s="29">
        <v>503667.34094348439</v>
      </c>
      <c r="AE15" s="29">
        <v>464564</v>
      </c>
      <c r="AF15" s="29">
        <v>386074.96240601491</v>
      </c>
      <c r="AG15" s="174">
        <f t="shared" si="6"/>
        <v>33790367.370914347</v>
      </c>
      <c r="AH15" s="174">
        <f t="shared" si="7"/>
        <v>46260072.917674832</v>
      </c>
      <c r="AI15" s="192">
        <f>AH15/'Collections and ACP'!E18</f>
        <v>0.39615513926496337</v>
      </c>
      <c r="AJ15" s="172"/>
      <c r="AK15" s="172">
        <f t="shared" si="8"/>
        <v>24404144.917674832</v>
      </c>
      <c r="AL15" s="172">
        <f t="shared" si="9"/>
        <v>21855928</v>
      </c>
      <c r="AM15" s="105">
        <f t="shared" si="10"/>
        <v>0.52754229248848872</v>
      </c>
      <c r="AN15" s="105">
        <f t="shared" si="11"/>
        <v>0.47245770751151128</v>
      </c>
    </row>
    <row r="16" spans="1:40" x14ac:dyDescent="0.35">
      <c r="A16" s="177" t="s">
        <v>30</v>
      </c>
      <c r="B16" s="178">
        <f>'ABP Under Contract'!B16</f>
        <v>436481</v>
      </c>
      <c r="C16" s="178">
        <f>'ABP Under Contract'!C16</f>
        <v>533053</v>
      </c>
      <c r="D16" s="178">
        <f>'ABP Under Contract'!D16</f>
        <v>1505995</v>
      </c>
      <c r="E16" s="178">
        <f>'ABP Under Contract'!E16</f>
        <v>24436</v>
      </c>
      <c r="F16" s="178">
        <f>'ABP Under Contract'!F16</f>
        <v>97405</v>
      </c>
      <c r="G16" s="178">
        <f>'ABP Under Contract'!G16</f>
        <v>413051</v>
      </c>
      <c r="H16" s="174">
        <f t="shared" si="2"/>
        <v>3010421</v>
      </c>
      <c r="I16" s="30"/>
      <c r="J16" s="30"/>
      <c r="K16" s="30"/>
      <c r="L16" s="178">
        <v>2065519</v>
      </c>
      <c r="M16" s="178">
        <f t="shared" si="3"/>
        <v>1995629.5746000002</v>
      </c>
      <c r="N16" s="178">
        <v>460000</v>
      </c>
      <c r="O16" s="178">
        <v>2851569.061584272</v>
      </c>
      <c r="P16" s="178">
        <v>138356.34312614743</v>
      </c>
      <c r="Q16" s="178">
        <v>61684.842589262618</v>
      </c>
      <c r="R16" s="174">
        <f t="shared" si="0"/>
        <v>7572758.8218996814</v>
      </c>
      <c r="S16" s="174">
        <f t="shared" si="4"/>
        <v>8057660.8218996814</v>
      </c>
      <c r="T16" s="174">
        <f t="shared" si="5"/>
        <v>2525519</v>
      </c>
      <c r="U16" s="174">
        <f t="shared" si="1"/>
        <v>10583179.821899682</v>
      </c>
      <c r="V16" s="13">
        <v>1325659.0090673259</v>
      </c>
      <c r="W16" s="13">
        <v>1457837.4569607684</v>
      </c>
      <c r="X16" s="13">
        <v>2027107.4987231516</v>
      </c>
      <c r="Y16" s="13">
        <v>1398671.7066347096</v>
      </c>
      <c r="Z16" s="13">
        <v>309821.25978786981</v>
      </c>
      <c r="AA16" s="13">
        <v>1341224.0308916338</v>
      </c>
      <c r="AB16" s="29">
        <v>20000000</v>
      </c>
      <c r="AC16" s="29">
        <v>8916013.6753308624</v>
      </c>
      <c r="AD16" s="29">
        <v>586149.00423876697</v>
      </c>
      <c r="AE16" s="29">
        <v>464564</v>
      </c>
      <c r="AF16" s="29">
        <v>421236.61654135323</v>
      </c>
      <c r="AG16" s="174">
        <f t="shared" si="6"/>
        <v>38248284.258176446</v>
      </c>
      <c r="AH16" s="174">
        <f t="shared" si="7"/>
        <v>48831464.080076128</v>
      </c>
      <c r="AI16" s="192">
        <f>AH16/'Collections and ACP'!E19</f>
        <v>0.41548472752778942</v>
      </c>
      <c r="AJ16" s="172"/>
      <c r="AK16" s="172">
        <f t="shared" si="8"/>
        <v>26305945.080076121</v>
      </c>
      <c r="AL16" s="172">
        <f t="shared" si="9"/>
        <v>22525519</v>
      </c>
      <c r="AM16" s="105">
        <f t="shared" si="10"/>
        <v>0.53870891597553583</v>
      </c>
      <c r="AN16" s="105">
        <f t="shared" si="11"/>
        <v>0.46129108402446417</v>
      </c>
    </row>
    <row r="17" spans="1:40" x14ac:dyDescent="0.35">
      <c r="A17" s="177" t="s">
        <v>31</v>
      </c>
      <c r="B17" s="178">
        <f>'ABP Under Contract'!B17</f>
        <v>434675</v>
      </c>
      <c r="C17" s="178">
        <f>'ABP Under Contract'!C17</f>
        <v>531273</v>
      </c>
      <c r="D17" s="178">
        <f>'ABP Under Contract'!D17</f>
        <v>1502951</v>
      </c>
      <c r="E17" s="178">
        <f>'ABP Under Contract'!E17</f>
        <v>24422</v>
      </c>
      <c r="F17" s="178">
        <f>'ABP Under Contract'!F17</f>
        <v>96941</v>
      </c>
      <c r="G17" s="178">
        <f>'ABP Under Contract'!G17</f>
        <v>410988</v>
      </c>
      <c r="H17" s="174">
        <f t="shared" si="2"/>
        <v>3001250</v>
      </c>
      <c r="I17" s="30"/>
      <c r="J17" s="30"/>
      <c r="K17" s="30"/>
      <c r="L17" s="178">
        <v>1635519</v>
      </c>
      <c r="M17" s="178">
        <f t="shared" si="3"/>
        <v>1995629.5746000002</v>
      </c>
      <c r="N17" s="178">
        <v>460000</v>
      </c>
      <c r="O17" s="178">
        <v>2837311.2162763504</v>
      </c>
      <c r="P17" s="178">
        <v>137664.56141051668</v>
      </c>
      <c r="Q17" s="178">
        <v>61376.418376316302</v>
      </c>
      <c r="R17" s="174">
        <f t="shared" si="0"/>
        <v>7127500.7706631832</v>
      </c>
      <c r="S17" s="174">
        <f t="shared" si="4"/>
        <v>8033231.7706631832</v>
      </c>
      <c r="T17" s="174">
        <f t="shared" si="5"/>
        <v>2095519</v>
      </c>
      <c r="U17" s="174">
        <f t="shared" si="1"/>
        <v>10128750.770663183</v>
      </c>
      <c r="V17" s="13">
        <v>1481149.4474392692</v>
      </c>
      <c r="W17" s="13">
        <v>1623150.8693773127</v>
      </c>
      <c r="X17" s="13">
        <v>2313330.706549536</v>
      </c>
      <c r="Y17" s="13">
        <v>1539857.7207615357</v>
      </c>
      <c r="Z17" s="13">
        <v>357665.27770893049</v>
      </c>
      <c r="AA17" s="13">
        <v>1420819.2105878496</v>
      </c>
      <c r="AB17" s="29">
        <v>19500000</v>
      </c>
      <c r="AC17" s="29">
        <v>9621433.6069542076</v>
      </c>
      <c r="AD17" s="29">
        <v>633218.2592175731</v>
      </c>
      <c r="AE17" s="29">
        <v>464564</v>
      </c>
      <c r="AF17" s="29">
        <v>456398.27067669155</v>
      </c>
      <c r="AG17" s="174">
        <f t="shared" si="6"/>
        <v>39411587.36927291</v>
      </c>
      <c r="AH17" s="174">
        <f t="shared" si="7"/>
        <v>49540338.13993609</v>
      </c>
      <c r="AI17" s="192">
        <f>AH17/'Collections and ACP'!E20</f>
        <v>0.42021156913995211</v>
      </c>
      <c r="AJ17" s="172"/>
      <c r="AK17" s="172">
        <f t="shared" si="8"/>
        <v>27944819.13993609</v>
      </c>
      <c r="AL17" s="172">
        <f t="shared" si="9"/>
        <v>21595519</v>
      </c>
      <c r="AM17" s="105">
        <f t="shared" si="10"/>
        <v>0.56408212356162457</v>
      </c>
      <c r="AN17" s="105">
        <f t="shared" si="11"/>
        <v>0.43591787643837543</v>
      </c>
    </row>
    <row r="18" spans="1:40" x14ac:dyDescent="0.35">
      <c r="A18" s="177" t="s">
        <v>32</v>
      </c>
      <c r="B18" s="178">
        <f>'ABP Under Contract'!B18</f>
        <v>379762</v>
      </c>
      <c r="C18" s="178">
        <f>'ABP Under Contract'!C18</f>
        <v>443743</v>
      </c>
      <c r="D18" s="178">
        <f>'ABP Under Contract'!D18</f>
        <v>1498673</v>
      </c>
      <c r="E18" s="178">
        <f>'ABP Under Contract'!E18</f>
        <v>24407</v>
      </c>
      <c r="F18" s="178">
        <f>'ABP Under Contract'!F18</f>
        <v>96478</v>
      </c>
      <c r="G18" s="178">
        <f>'ABP Under Contract'!G18</f>
        <v>408936</v>
      </c>
      <c r="H18" s="174">
        <f t="shared" si="2"/>
        <v>2851999</v>
      </c>
      <c r="I18" s="30"/>
      <c r="J18" s="30"/>
      <c r="K18" s="30"/>
      <c r="L18" s="178">
        <v>1635519</v>
      </c>
      <c r="M18" s="178">
        <f t="shared" si="3"/>
        <v>1995629.5746000002</v>
      </c>
      <c r="N18" s="178">
        <v>460000</v>
      </c>
      <c r="O18" s="178">
        <v>2823124.6601949683</v>
      </c>
      <c r="P18" s="178">
        <v>136976.23860346409</v>
      </c>
      <c r="Q18" s="178">
        <v>61069.536284434718</v>
      </c>
      <c r="R18" s="174">
        <f t="shared" si="0"/>
        <v>7112319.0096828677</v>
      </c>
      <c r="S18" s="174">
        <f t="shared" si="4"/>
        <v>7868799.0096828677</v>
      </c>
      <c r="T18" s="174">
        <f t="shared" si="5"/>
        <v>2095519</v>
      </c>
      <c r="U18" s="174">
        <f t="shared" si="1"/>
        <v>9964318.0096828677</v>
      </c>
      <c r="V18" s="13">
        <v>1554803.066910713</v>
      </c>
      <c r="W18" s="13">
        <v>1701336.4148811004</v>
      </c>
      <c r="X18" s="13">
        <v>2598122.7983367881</v>
      </c>
      <c r="Y18" s="13">
        <v>1606248.1184877283</v>
      </c>
      <c r="Z18" s="13">
        <v>405270.07554038585</v>
      </c>
      <c r="AA18" s="13">
        <v>1456865.7644602475</v>
      </c>
      <c r="AB18" s="29">
        <v>20500000</v>
      </c>
      <c r="AC18" s="29">
        <v>10323326.438919436</v>
      </c>
      <c r="AD18" s="29">
        <v>680052.16792148526</v>
      </c>
      <c r="AE18" s="29">
        <v>464564</v>
      </c>
      <c r="AF18" s="29">
        <v>491559.92481202987</v>
      </c>
      <c r="AG18" s="174">
        <f t="shared" si="6"/>
        <v>41782148.770269908</v>
      </c>
      <c r="AH18" s="174">
        <f t="shared" si="7"/>
        <v>51746466.779952779</v>
      </c>
      <c r="AI18" s="192">
        <f>AH18/'Collections and ACP'!E21</f>
        <v>0.43672932682677573</v>
      </c>
      <c r="AJ18" s="172"/>
      <c r="AK18" s="172">
        <f t="shared" si="8"/>
        <v>29150947.779952779</v>
      </c>
      <c r="AL18" s="172">
        <f t="shared" si="9"/>
        <v>22595519</v>
      </c>
      <c r="AM18" s="105">
        <f t="shared" si="10"/>
        <v>0.5633418007825457</v>
      </c>
      <c r="AN18" s="105">
        <f t="shared" si="11"/>
        <v>0.4366581992174543</v>
      </c>
    </row>
    <row r="19" spans="1:40" x14ac:dyDescent="0.35">
      <c r="A19" s="177" t="s">
        <v>33</v>
      </c>
      <c r="B19" s="178">
        <f>'ABP Under Contract'!B19</f>
        <v>375838</v>
      </c>
      <c r="C19" s="178">
        <f>'ABP Under Contract'!C19</f>
        <v>433476</v>
      </c>
      <c r="D19" s="178">
        <f>'ABP Under Contract'!D19</f>
        <v>1495672</v>
      </c>
      <c r="E19" s="178">
        <f>'ABP Under Contract'!E19</f>
        <v>24392</v>
      </c>
      <c r="F19" s="178">
        <f>'ABP Under Contract'!F19</f>
        <v>96015</v>
      </c>
      <c r="G19" s="178">
        <f>'ABP Under Contract'!G19</f>
        <v>406888</v>
      </c>
      <c r="H19" s="174">
        <f t="shared" si="2"/>
        <v>2832281</v>
      </c>
      <c r="I19" s="30"/>
      <c r="J19" s="30"/>
      <c r="K19" s="30"/>
      <c r="L19" s="178">
        <v>1335519</v>
      </c>
      <c r="M19" s="178">
        <f t="shared" si="3"/>
        <v>1989043.2823000001</v>
      </c>
      <c r="N19" s="178">
        <v>460000</v>
      </c>
      <c r="O19" s="178">
        <v>2809009.0368939936</v>
      </c>
      <c r="P19" s="178">
        <v>136291.35741044677</v>
      </c>
      <c r="Q19" s="178">
        <v>60764.188603012546</v>
      </c>
      <c r="R19" s="174">
        <f t="shared" si="0"/>
        <v>6790626.8652074533</v>
      </c>
      <c r="S19" s="174">
        <f t="shared" si="4"/>
        <v>7827388.8652074533</v>
      </c>
      <c r="T19" s="174">
        <f t="shared" si="5"/>
        <v>1795519</v>
      </c>
      <c r="U19" s="174">
        <f t="shared" si="1"/>
        <v>9622907.8652074523</v>
      </c>
      <c r="V19" s="13">
        <v>1628088.4182847997</v>
      </c>
      <c r="W19" s="13">
        <v>1779131.032657369</v>
      </c>
      <c r="X19" s="13">
        <v>2733311.5570051046</v>
      </c>
      <c r="Y19" s="13">
        <v>1672306.5642252897</v>
      </c>
      <c r="Z19" s="13">
        <v>427940.28727268393</v>
      </c>
      <c r="AA19" s="13">
        <v>1492732.0855632829</v>
      </c>
      <c r="AB19" s="29">
        <v>23000000</v>
      </c>
      <c r="AC19" s="29">
        <v>11021709.806724841</v>
      </c>
      <c r="AD19" s="29">
        <v>726651.90708187781</v>
      </c>
      <c r="AE19" s="29">
        <v>464564</v>
      </c>
      <c r="AF19" s="29">
        <v>526721.57894736819</v>
      </c>
      <c r="AG19" s="174">
        <f t="shared" si="6"/>
        <v>45473157.237762615</v>
      </c>
      <c r="AH19" s="174">
        <f t="shared" si="7"/>
        <v>55096065.102970064</v>
      </c>
      <c r="AI19" s="192">
        <f>AH19/'Collections and ACP'!E22</f>
        <v>0.46329914349992385</v>
      </c>
      <c r="AJ19" s="172"/>
      <c r="AK19" s="172">
        <f t="shared" si="8"/>
        <v>30300546.102970075</v>
      </c>
      <c r="AL19" s="172">
        <f t="shared" si="9"/>
        <v>24795519</v>
      </c>
      <c r="AM19" s="105">
        <f t="shared" si="10"/>
        <v>0.54995844161177043</v>
      </c>
      <c r="AN19" s="105">
        <f t="shared" si="11"/>
        <v>0.45004155838822957</v>
      </c>
    </row>
    <row r="20" spans="1:40" x14ac:dyDescent="0.35">
      <c r="A20" s="177" t="s">
        <v>34</v>
      </c>
      <c r="B20" s="178">
        <f>'ABP Under Contract'!B20</f>
        <v>347076</v>
      </c>
      <c r="C20" s="178">
        <f>'ABP Under Contract'!C20</f>
        <v>351441</v>
      </c>
      <c r="D20" s="178">
        <f>'ABP Under Contract'!D20</f>
        <v>1274544</v>
      </c>
      <c r="E20" s="178">
        <f>'ABP Under Contract'!E20</f>
        <v>24378</v>
      </c>
      <c r="F20" s="178">
        <f>'ABP Under Contract'!F20</f>
        <v>95562</v>
      </c>
      <c r="G20" s="178">
        <f>'ABP Under Contract'!G20</f>
        <v>404854</v>
      </c>
      <c r="H20" s="174">
        <f t="shared" si="2"/>
        <v>2497855</v>
      </c>
      <c r="I20" s="30"/>
      <c r="J20" s="30"/>
      <c r="K20" s="30"/>
      <c r="L20" s="30"/>
      <c r="M20" s="178">
        <f t="shared" si="3"/>
        <v>0</v>
      </c>
      <c r="N20" s="178">
        <v>460000</v>
      </c>
      <c r="O20" s="178">
        <v>2794963.9917095238</v>
      </c>
      <c r="P20" s="178">
        <v>135609.90062339455</v>
      </c>
      <c r="Q20" s="178">
        <v>60460.367659997486</v>
      </c>
      <c r="R20" s="174">
        <f t="shared" si="0"/>
        <v>3451034.2599929161</v>
      </c>
      <c r="S20" s="174">
        <f t="shared" si="4"/>
        <v>5488889.2599929152</v>
      </c>
      <c r="T20" s="174">
        <f t="shared" si="5"/>
        <v>460000</v>
      </c>
      <c r="U20" s="174">
        <f t="shared" si="1"/>
        <v>5948889.2599929161</v>
      </c>
      <c r="V20" s="13">
        <v>1701007.3429020152</v>
      </c>
      <c r="W20" s="13">
        <v>1856536.677344756</v>
      </c>
      <c r="X20" s="13">
        <v>2867824.3718800792</v>
      </c>
      <c r="Y20" s="13">
        <v>1738034.7177341632</v>
      </c>
      <c r="Z20" s="13">
        <v>450497.14794632047</v>
      </c>
      <c r="AA20" s="13">
        <v>1528419.0750608034</v>
      </c>
      <c r="AB20" s="29">
        <v>22500000</v>
      </c>
      <c r="AC20" s="29">
        <v>11716601.257691216</v>
      </c>
      <c r="AD20" s="29">
        <v>773018.64754646842</v>
      </c>
      <c r="AE20" s="29">
        <v>464564</v>
      </c>
      <c r="AF20" s="29">
        <v>561883.23308270646</v>
      </c>
      <c r="AG20" s="174">
        <f t="shared" si="6"/>
        <v>46158386.471188523</v>
      </c>
      <c r="AH20" s="174">
        <f t="shared" si="7"/>
        <v>52107275.731181443</v>
      </c>
      <c r="AI20" s="192">
        <f>AH20/'Collections and ACP'!E23</f>
        <v>0.43626882220949498</v>
      </c>
      <c r="AJ20" s="172"/>
      <c r="AK20" s="172">
        <f t="shared" si="8"/>
        <v>29147275.731181446</v>
      </c>
      <c r="AL20" s="172">
        <f t="shared" si="9"/>
        <v>22960000</v>
      </c>
      <c r="AM20" s="105">
        <f t="shared" si="10"/>
        <v>0.55937055472925956</v>
      </c>
      <c r="AN20" s="105">
        <f t="shared" si="11"/>
        <v>0.44062944527074044</v>
      </c>
    </row>
    <row r="21" spans="1:40" x14ac:dyDescent="0.35">
      <c r="A21" s="177" t="s">
        <v>35</v>
      </c>
      <c r="B21" s="178">
        <f>'ABP Under Contract'!B21</f>
        <v>344718</v>
      </c>
      <c r="C21" s="178">
        <f>'ABP Under Contract'!C21</f>
        <v>341056</v>
      </c>
      <c r="D21" s="178">
        <f>'ABP Under Contract'!D21</f>
        <v>1199009</v>
      </c>
      <c r="E21" s="178">
        <f>'ABP Under Contract'!E21</f>
        <v>24363</v>
      </c>
      <c r="F21" s="178">
        <f>'ABP Under Contract'!F21</f>
        <v>95108</v>
      </c>
      <c r="G21" s="178">
        <f>'ABP Under Contract'!G21</f>
        <v>402831</v>
      </c>
      <c r="H21" s="174">
        <f t="shared" si="2"/>
        <v>2407085</v>
      </c>
      <c r="I21" s="30"/>
      <c r="J21" s="30"/>
      <c r="K21" s="30"/>
      <c r="L21" s="30"/>
      <c r="M21" s="178">
        <f t="shared" si="3"/>
        <v>0</v>
      </c>
      <c r="N21" s="178">
        <v>460000</v>
      </c>
      <c r="O21" s="178">
        <v>2780989.1717509762</v>
      </c>
      <c r="P21" s="178">
        <v>134931.85112027757</v>
      </c>
      <c r="Q21" s="178">
        <v>60158.065821697499</v>
      </c>
      <c r="R21" s="174">
        <f t="shared" si="0"/>
        <v>3436079.0886929515</v>
      </c>
      <c r="S21" s="174">
        <f t="shared" si="4"/>
        <v>5383164.088692951</v>
      </c>
      <c r="T21" s="174">
        <f t="shared" si="5"/>
        <v>460000</v>
      </c>
      <c r="U21" s="174">
        <f t="shared" si="1"/>
        <v>5843164.0886929519</v>
      </c>
      <c r="V21" s="13">
        <v>1773561.6728961451</v>
      </c>
      <c r="W21" s="13">
        <v>1933555.2938087066</v>
      </c>
      <c r="X21" s="13">
        <v>3001664.6226806785</v>
      </c>
      <c r="Y21" s="13">
        <v>1803434.2304754923</v>
      </c>
      <c r="Z21" s="13">
        <v>472941.22431658878</v>
      </c>
      <c r="AA21" s="13">
        <v>1563927.6296108365</v>
      </c>
      <c r="AB21" s="29">
        <v>23500000</v>
      </c>
      <c r="AC21" s="29">
        <v>12408018.25140276</v>
      </c>
      <c r="AD21" s="29">
        <v>819153.55430873611</v>
      </c>
      <c r="AE21" s="29">
        <v>464564</v>
      </c>
      <c r="AF21" s="29">
        <v>597044.88721804484</v>
      </c>
      <c r="AG21" s="174">
        <f t="shared" si="6"/>
        <v>48337865.366717987</v>
      </c>
      <c r="AH21" s="174">
        <f t="shared" si="7"/>
        <v>54181029.455410942</v>
      </c>
      <c r="AI21" s="192">
        <f>AH21/'Collections and ACP'!E24</f>
        <v>0.45268723107508191</v>
      </c>
      <c r="AJ21" s="172"/>
      <c r="AK21" s="172">
        <f t="shared" si="8"/>
        <v>30221029.455410942</v>
      </c>
      <c r="AL21" s="172">
        <f t="shared" si="9"/>
        <v>23960000</v>
      </c>
      <c r="AM21" s="105">
        <f t="shared" si="10"/>
        <v>0.55777879747157211</v>
      </c>
      <c r="AN21" s="105">
        <f t="shared" si="11"/>
        <v>0.44222120252842789</v>
      </c>
    </row>
    <row r="22" spans="1:40" x14ac:dyDescent="0.35">
      <c r="A22" s="177" t="s">
        <v>36</v>
      </c>
      <c r="B22" s="178">
        <f>'ABP Under Contract'!B22</f>
        <v>321099</v>
      </c>
      <c r="C22" s="178">
        <f>'ABP Under Contract'!C22</f>
        <v>320582</v>
      </c>
      <c r="D22" s="178">
        <f>'ABP Under Contract'!D22</f>
        <v>1185827</v>
      </c>
      <c r="E22" s="178">
        <f>'ABP Under Contract'!E22</f>
        <v>24350</v>
      </c>
      <c r="F22" s="178">
        <f>'ABP Under Contract'!F22</f>
        <v>94651</v>
      </c>
      <c r="G22" s="178">
        <f>'ABP Under Contract'!G22</f>
        <v>400814</v>
      </c>
      <c r="H22" s="174">
        <f t="shared" si="2"/>
        <v>2347323</v>
      </c>
      <c r="I22" s="30"/>
      <c r="J22" s="30"/>
      <c r="K22" s="30"/>
      <c r="L22" s="30"/>
      <c r="M22" s="178">
        <f t="shared" si="3"/>
        <v>0</v>
      </c>
      <c r="N22" s="178">
        <v>460000</v>
      </c>
      <c r="O22" s="178">
        <v>2767084.2258922216</v>
      </c>
      <c r="P22" s="178">
        <v>134257.19186467619</v>
      </c>
      <c r="Q22" s="178">
        <v>59857.275492589011</v>
      </c>
      <c r="R22" s="174">
        <f t="shared" si="0"/>
        <v>3421198.6932494869</v>
      </c>
      <c r="S22" s="174">
        <f t="shared" si="4"/>
        <v>5308521.6932494864</v>
      </c>
      <c r="T22" s="174">
        <f t="shared" si="5"/>
        <v>460000</v>
      </c>
      <c r="U22" s="174">
        <f t="shared" si="1"/>
        <v>5768521.6932494864</v>
      </c>
      <c r="V22" s="13">
        <v>1845753.2312403044</v>
      </c>
      <c r="W22" s="13">
        <v>2010188.8171903368</v>
      </c>
      <c r="X22" s="13">
        <v>3134835.6722272746</v>
      </c>
      <c r="Y22" s="13">
        <v>1868506.745653115</v>
      </c>
      <c r="Z22" s="13">
        <v>495273.08030500589</v>
      </c>
      <c r="AA22" s="13">
        <v>1599258.6413881194</v>
      </c>
      <c r="AB22" s="29">
        <v>24500000</v>
      </c>
      <c r="AC22" s="29">
        <v>13095978.160145747</v>
      </c>
      <c r="AD22" s="29">
        <v>865057.78653719241</v>
      </c>
      <c r="AE22" s="29">
        <v>464564</v>
      </c>
      <c r="AF22" s="29">
        <v>632206.5413533831</v>
      </c>
      <c r="AG22" s="174">
        <f t="shared" si="6"/>
        <v>50511622.676040478</v>
      </c>
      <c r="AH22" s="174">
        <f t="shared" si="7"/>
        <v>56280144.369289964</v>
      </c>
      <c r="AI22" s="192">
        <f>AH22/'Collections and ACP'!E25</f>
        <v>0.46807036599612961</v>
      </c>
      <c r="AJ22" s="172"/>
      <c r="AK22" s="172">
        <f t="shared" si="8"/>
        <v>31320144.369289964</v>
      </c>
      <c r="AL22" s="172">
        <f t="shared" si="9"/>
        <v>24960000</v>
      </c>
      <c r="AM22" s="105">
        <f t="shared" si="10"/>
        <v>0.55650433594801207</v>
      </c>
      <c r="AN22" s="105">
        <f t="shared" si="11"/>
        <v>0.44349566405198793</v>
      </c>
    </row>
    <row r="23" spans="1:40" x14ac:dyDescent="0.35">
      <c r="A23" s="177" t="s">
        <v>37</v>
      </c>
      <c r="B23" s="178">
        <f>'ABP Under Contract'!B23</f>
        <v>203756</v>
      </c>
      <c r="C23" s="178">
        <f>'ABP Under Contract'!C23</f>
        <v>189991</v>
      </c>
      <c r="D23" s="178">
        <f>'ABP Under Contract'!D23</f>
        <v>1184327</v>
      </c>
      <c r="E23" s="178">
        <f>'ABP Under Contract'!E23</f>
        <v>24336</v>
      </c>
      <c r="F23" s="178">
        <f>'ABP Under Contract'!F23</f>
        <v>94201</v>
      </c>
      <c r="G23" s="178">
        <f>'ABP Under Contract'!G23</f>
        <v>398811</v>
      </c>
      <c r="H23" s="174">
        <f t="shared" si="2"/>
        <v>2095422</v>
      </c>
      <c r="I23" s="30"/>
      <c r="J23" s="30"/>
      <c r="K23" s="30"/>
      <c r="L23" s="30"/>
      <c r="M23" s="178">
        <f t="shared" si="3"/>
        <v>0</v>
      </c>
      <c r="N23" s="178">
        <v>460000</v>
      </c>
      <c r="O23" s="178">
        <v>2753248.8047627602</v>
      </c>
      <c r="P23" s="178">
        <v>133585.90590535279</v>
      </c>
      <c r="Q23" s="178">
        <v>59557.989115126067</v>
      </c>
      <c r="R23" s="174">
        <f t="shared" si="0"/>
        <v>3406392.699783239</v>
      </c>
      <c r="S23" s="174">
        <f t="shared" si="4"/>
        <v>5041814.6997832395</v>
      </c>
      <c r="T23" s="174">
        <f t="shared" si="5"/>
        <v>460000</v>
      </c>
      <c r="U23" s="174">
        <f t="shared" si="1"/>
        <v>5501814.6997832395</v>
      </c>
      <c r="V23" s="13">
        <v>1776342.2543444741</v>
      </c>
      <c r="W23" s="13">
        <v>1891214.4487956462</v>
      </c>
      <c r="X23" s="13">
        <v>3267340.8665261385</v>
      </c>
      <c r="Y23" s="13">
        <v>1595631.1838189648</v>
      </c>
      <c r="Z23" s="13">
        <v>517493.2770134809</v>
      </c>
      <c r="AA23" s="13">
        <v>1483310.4158736255</v>
      </c>
      <c r="AB23" s="29">
        <v>25500000</v>
      </c>
      <c r="AC23" s="29">
        <v>13780498.269345017</v>
      </c>
      <c r="AD23" s="29">
        <v>910732.49760450644</v>
      </c>
      <c r="AE23" s="29">
        <v>464564</v>
      </c>
      <c r="AF23" s="29">
        <v>667368.19548872148</v>
      </c>
      <c r="AG23" s="174">
        <f t="shared" si="6"/>
        <v>51854495.408810571</v>
      </c>
      <c r="AH23" s="174">
        <f t="shared" si="7"/>
        <v>57356310.108593807</v>
      </c>
      <c r="AI23" s="192">
        <f>AH23/'Collections and ACP'!E26</f>
        <v>0.47525061028823634</v>
      </c>
      <c r="AJ23" s="172"/>
      <c r="AK23" s="172">
        <f t="shared" si="8"/>
        <v>31396310.108593814</v>
      </c>
      <c r="AL23" s="172">
        <f t="shared" si="9"/>
        <v>25960000</v>
      </c>
      <c r="AM23" s="105">
        <f t="shared" si="10"/>
        <v>0.54739068899569321</v>
      </c>
      <c r="AN23" s="105">
        <f t="shared" si="11"/>
        <v>0.45260931100430679</v>
      </c>
    </row>
    <row r="24" spans="1:40" x14ac:dyDescent="0.35">
      <c r="A24" s="177" t="s">
        <v>38</v>
      </c>
      <c r="B24" s="178">
        <f>'ABP Under Contract'!B24</f>
        <v>203130</v>
      </c>
      <c r="C24" s="178">
        <f>'ABP Under Contract'!C24</f>
        <v>189805</v>
      </c>
      <c r="D24" s="178">
        <f>'ABP Under Contract'!D24</f>
        <v>1153953</v>
      </c>
      <c r="E24" s="178">
        <f>'ABP Under Contract'!E24</f>
        <v>24322</v>
      </c>
      <c r="F24" s="178">
        <f>'ABP Under Contract'!F24</f>
        <v>4572</v>
      </c>
      <c r="G24" s="178">
        <f>'ABP Under Contract'!G24</f>
        <v>396820</v>
      </c>
      <c r="H24" s="174">
        <f t="shared" si="2"/>
        <v>1972602</v>
      </c>
      <c r="I24" s="30"/>
      <c r="J24" s="30"/>
      <c r="K24" s="30"/>
      <c r="L24" s="30"/>
      <c r="M24" s="178">
        <f t="shared" si="3"/>
        <v>0</v>
      </c>
      <c r="N24" s="178">
        <v>460000</v>
      </c>
      <c r="O24" s="178">
        <v>2739482.5607389463</v>
      </c>
      <c r="P24" s="178">
        <v>132917.97637582605</v>
      </c>
      <c r="Q24" s="178">
        <v>59260.199169550433</v>
      </c>
      <c r="R24" s="174">
        <f t="shared" si="0"/>
        <v>3391660.736284323</v>
      </c>
      <c r="S24" s="174">
        <f t="shared" si="4"/>
        <v>4904262.7362843221</v>
      </c>
      <c r="T24" s="174">
        <f t="shared" si="5"/>
        <v>460000</v>
      </c>
      <c r="U24" s="174">
        <f t="shared" si="1"/>
        <v>5364262.736284323</v>
      </c>
      <c r="V24" s="13">
        <v>1713181.2340375918</v>
      </c>
      <c r="W24" s="13">
        <v>1823968.9425240343</v>
      </c>
      <c r="X24" s="13">
        <v>3399183.5348535078</v>
      </c>
      <c r="Y24" s="13">
        <v>1661742.7142298697</v>
      </c>
      <c r="Z24" s="13">
        <v>539602.37273841351</v>
      </c>
      <c r="AA24" s="13">
        <v>1358943.6982992524</v>
      </c>
      <c r="AB24" s="29">
        <v>26500000</v>
      </c>
      <c r="AC24" s="29">
        <v>14461595.777998291</v>
      </c>
      <c r="AD24" s="29">
        <v>956178.83511648385</v>
      </c>
      <c r="AE24" s="29">
        <v>464564</v>
      </c>
      <c r="AF24" s="29">
        <v>702529.84962405975</v>
      </c>
      <c r="AG24" s="174">
        <f t="shared" si="6"/>
        <v>53581490.959421508</v>
      </c>
      <c r="AH24" s="174">
        <f t="shared" si="7"/>
        <v>58945753.695705831</v>
      </c>
      <c r="AI24" s="192">
        <f>AH24/'Collections and ACP'!E27</f>
        <v>0.48626620044549063</v>
      </c>
      <c r="AJ24" s="172"/>
      <c r="AK24" s="172">
        <f t="shared" si="8"/>
        <v>31985753.695705827</v>
      </c>
      <c r="AL24" s="172">
        <f t="shared" si="9"/>
        <v>26960000</v>
      </c>
      <c r="AM24" s="105">
        <f t="shared" si="10"/>
        <v>0.54263032856997762</v>
      </c>
      <c r="AN24" s="105">
        <f t="shared" si="11"/>
        <v>0.45736967143002238</v>
      </c>
    </row>
    <row r="25" spans="1:40" x14ac:dyDescent="0.35">
      <c r="A25" s="177" t="s">
        <v>39</v>
      </c>
      <c r="B25" s="178">
        <f>'ABP Under Contract'!B25</f>
        <v>176881</v>
      </c>
      <c r="C25" s="178">
        <f>'ABP Under Contract'!C25</f>
        <v>183457</v>
      </c>
      <c r="D25" s="178">
        <f>'ABP Under Contract'!D25</f>
        <v>1152469</v>
      </c>
      <c r="E25" s="178">
        <f>'ABP Under Contract'!E25</f>
        <v>24308</v>
      </c>
      <c r="F25" s="178">
        <f>'ABP Under Contract'!F25</f>
        <v>4572</v>
      </c>
      <c r="G25" s="178">
        <f>'ABP Under Contract'!G25</f>
        <v>394835</v>
      </c>
      <c r="H25" s="174">
        <f t="shared" si="2"/>
        <v>1936522</v>
      </c>
      <c r="I25" s="30"/>
      <c r="J25" s="30"/>
      <c r="K25" s="30"/>
      <c r="L25" s="30"/>
      <c r="M25" s="178">
        <f t="shared" si="3"/>
        <v>0</v>
      </c>
      <c r="N25" s="178">
        <v>460000</v>
      </c>
      <c r="O25" s="178">
        <v>2725785.1479352517</v>
      </c>
      <c r="P25" s="178">
        <v>132253.38649394692</v>
      </c>
      <c r="Q25" s="178">
        <v>58963.898173702677</v>
      </c>
      <c r="R25" s="174">
        <f t="shared" si="0"/>
        <v>3377002.4326029015</v>
      </c>
      <c r="S25" s="174">
        <f t="shared" si="4"/>
        <v>4853524.4326029019</v>
      </c>
      <c r="T25" s="174">
        <f t="shared" si="5"/>
        <v>460000</v>
      </c>
      <c r="U25" s="174">
        <f t="shared" si="1"/>
        <v>5313524.432602901</v>
      </c>
      <c r="V25" s="13">
        <v>1650336.018832244</v>
      </c>
      <c r="W25" s="13">
        <v>1757059.6637837801</v>
      </c>
      <c r="X25" s="13">
        <v>3530366.98983924</v>
      </c>
      <c r="Y25" s="13">
        <v>1727523.6869887207</v>
      </c>
      <c r="Z25" s="13">
        <v>524948.49954515265</v>
      </c>
      <c r="AA25" s="13">
        <v>1235198.8143127509</v>
      </c>
      <c r="AB25" s="29">
        <v>29000000</v>
      </c>
      <c r="AC25" s="29">
        <v>15139287.7991083</v>
      </c>
      <c r="AD25" s="29">
        <v>1001397.9409409013</v>
      </c>
      <c r="AE25" s="29">
        <v>464564</v>
      </c>
      <c r="AF25" s="29">
        <v>737691.50375939801</v>
      </c>
      <c r="AG25" s="174">
        <f t="shared" si="6"/>
        <v>56768374.917110488</v>
      </c>
      <c r="AH25" s="174">
        <f t="shared" si="7"/>
        <v>62081899.349713385</v>
      </c>
      <c r="AI25" s="192">
        <f>AH25/'Collections and ACP'!E28</f>
        <v>0.51058721354723835</v>
      </c>
      <c r="AJ25" s="172"/>
      <c r="AK25" s="172">
        <f t="shared" si="8"/>
        <v>32621899.349713393</v>
      </c>
      <c r="AL25" s="172">
        <f t="shared" si="9"/>
        <v>29460000</v>
      </c>
      <c r="AM25" s="105">
        <f t="shared" si="10"/>
        <v>0.5254655494019449</v>
      </c>
      <c r="AN25" s="105">
        <f t="shared" si="11"/>
        <v>0.4745344505980551</v>
      </c>
    </row>
    <row r="26" spans="1:40" x14ac:dyDescent="0.35">
      <c r="A26" s="177" t="s">
        <v>40</v>
      </c>
      <c r="B26" s="178">
        <f>'ABP Under Contract'!B26</f>
        <v>76614</v>
      </c>
      <c r="C26" s="178">
        <f>'ABP Under Contract'!C26</f>
        <v>61062</v>
      </c>
      <c r="D26" s="178">
        <f>'ABP Under Contract'!D26</f>
        <v>945328</v>
      </c>
      <c r="E26" s="178">
        <f>'ABP Under Contract'!E26</f>
        <v>24294</v>
      </c>
      <c r="F26" s="178">
        <f>'ABP Under Contract'!F26</f>
        <v>4572</v>
      </c>
      <c r="G26" s="178">
        <f>'ABP Under Contract'!G26</f>
        <v>392858</v>
      </c>
      <c r="H26" s="174">
        <f t="shared" si="2"/>
        <v>1504728</v>
      </c>
      <c r="I26" s="30"/>
      <c r="J26" s="30"/>
      <c r="K26" s="30"/>
      <c r="L26" s="30"/>
      <c r="M26" s="178">
        <f t="shared" si="3"/>
        <v>0</v>
      </c>
      <c r="N26" s="178">
        <v>460000</v>
      </c>
      <c r="O26" s="178">
        <v>2712156.222195575</v>
      </c>
      <c r="P26" s="178">
        <v>131592.11956147719</v>
      </c>
      <c r="Q26" s="178">
        <v>58669.078682834166</v>
      </c>
      <c r="R26" s="174">
        <f t="shared" si="0"/>
        <v>3362417.4204398864</v>
      </c>
      <c r="S26" s="174">
        <f t="shared" si="4"/>
        <v>4407145.4204398869</v>
      </c>
      <c r="T26" s="174">
        <f t="shared" si="5"/>
        <v>460000</v>
      </c>
      <c r="U26" s="174">
        <f t="shared" si="1"/>
        <v>4867145.4204398859</v>
      </c>
      <c r="V26" s="13">
        <v>1506745.662994283</v>
      </c>
      <c r="W26" s="13">
        <v>1604183.6315865531</v>
      </c>
      <c r="X26" s="13">
        <v>3660894.5275500435</v>
      </c>
      <c r="Y26" s="13">
        <v>1718886.0685537769</v>
      </c>
      <c r="Z26" s="13">
        <v>510367.8957178581</v>
      </c>
      <c r="AA26" s="13">
        <v>1068922.0048208453</v>
      </c>
      <c r="AB26" s="29">
        <v>28500000</v>
      </c>
      <c r="AC26" s="29">
        <v>15813591.360112758</v>
      </c>
      <c r="AD26" s="29">
        <v>1046390.9512361969</v>
      </c>
      <c r="AE26" s="29">
        <v>464564</v>
      </c>
      <c r="AF26" s="29">
        <v>772853.15789473639</v>
      </c>
      <c r="AG26" s="174">
        <f t="shared" si="6"/>
        <v>56667399.260467052</v>
      </c>
      <c r="AH26" s="174">
        <f t="shared" si="7"/>
        <v>61534544.680906937</v>
      </c>
      <c r="AI26" s="192">
        <f>AH26/'Collections and ACP'!E29</f>
        <v>0.50452997147599621</v>
      </c>
      <c r="AJ26" s="172"/>
      <c r="AK26" s="172">
        <f t="shared" si="8"/>
        <v>32574544.680906937</v>
      </c>
      <c r="AL26" s="172">
        <f t="shared" si="9"/>
        <v>28960000</v>
      </c>
      <c r="AM26" s="105">
        <f t="shared" si="10"/>
        <v>0.52937004490445561</v>
      </c>
      <c r="AN26" s="105">
        <f t="shared" si="11"/>
        <v>0.47062995509554439</v>
      </c>
    </row>
    <row r="27" spans="1:40" x14ac:dyDescent="0.35">
      <c r="A27" s="190" t="s">
        <v>165</v>
      </c>
      <c r="B27" s="178">
        <f>'ABP Under Contract'!B27</f>
        <v>54225</v>
      </c>
      <c r="C27" s="178">
        <f>'ABP Under Contract'!C27</f>
        <v>56636</v>
      </c>
      <c r="D27" s="178">
        <f>'ABP Under Contract'!D27</f>
        <v>943858</v>
      </c>
      <c r="E27" s="178">
        <f>'ABP Under Contract'!E27</f>
        <v>24280</v>
      </c>
      <c r="F27" s="178">
        <f>'ABP Under Contract'!F27</f>
        <v>4572</v>
      </c>
      <c r="G27" s="178">
        <f>'ABP Under Contract'!G27</f>
        <v>390894</v>
      </c>
      <c r="H27" s="174">
        <f>SUM(B27:G27)</f>
        <v>1474465</v>
      </c>
      <c r="I27" s="30"/>
      <c r="J27" s="30"/>
      <c r="K27" s="30"/>
      <c r="L27" s="30"/>
      <c r="M27" s="178">
        <f t="shared" si="3"/>
        <v>0</v>
      </c>
      <c r="N27" s="178">
        <v>460000</v>
      </c>
      <c r="O27" s="178">
        <v>2707281.5155072911</v>
      </c>
      <c r="P27" s="178">
        <v>131200.87383378812</v>
      </c>
      <c r="Q27" s="178"/>
      <c r="R27" s="174">
        <f>SUM(I27:Q27)</f>
        <v>3298482.3893410792</v>
      </c>
      <c r="S27" s="174">
        <f t="shared" si="4"/>
        <v>4312947.3893410796</v>
      </c>
      <c r="T27" s="174">
        <f t="shared" si="5"/>
        <v>460000</v>
      </c>
      <c r="U27" s="174">
        <f t="shared" si="1"/>
        <v>4772947.3893410787</v>
      </c>
      <c r="V27" s="185">
        <v>1363873.2589355118</v>
      </c>
      <c r="W27" s="185">
        <v>1452071.9795503127</v>
      </c>
      <c r="X27" s="185">
        <v>3642590.0549122938</v>
      </c>
      <c r="Y27" s="185">
        <v>1710291.6382110079</v>
      </c>
      <c r="Z27" s="185">
        <v>471163.63279970002</v>
      </c>
      <c r="AA27" s="185">
        <v>903476.57937639905</v>
      </c>
      <c r="AB27" s="185">
        <v>29500000</v>
      </c>
      <c r="AC27" s="185">
        <v>16488274.403312195</v>
      </c>
      <c r="AD27" s="185">
        <v>1091158.996480016</v>
      </c>
      <c r="AG27" s="174">
        <f t="shared" ref="AG27" si="12">SUM(V27:AF27)</f>
        <v>56622900.543577433</v>
      </c>
      <c r="AH27" s="174">
        <f t="shared" ref="AH27" si="13">H27+R27+AG27</f>
        <v>61395847.932918511</v>
      </c>
      <c r="AI27" s="192"/>
      <c r="AK27" s="172">
        <f t="shared" si="8"/>
        <v>31435847.932918519</v>
      </c>
      <c r="AL27" s="172">
        <f t="shared" si="9"/>
        <v>29960000</v>
      </c>
      <c r="AM27" s="105">
        <f t="shared" si="10"/>
        <v>0.51201911841441661</v>
      </c>
      <c r="AN27" s="105">
        <f t="shared" si="11"/>
        <v>0.48798088158558339</v>
      </c>
    </row>
    <row r="29" spans="1:40" x14ac:dyDescent="0.35">
      <c r="A29" s="190"/>
      <c r="C29" t="s">
        <v>225</v>
      </c>
      <c r="H29" s="31"/>
      <c r="I29" s="31"/>
      <c r="J29" s="31"/>
      <c r="V29" s="185"/>
      <c r="W29" s="185"/>
      <c r="X29" s="185"/>
      <c r="Y29" s="185"/>
      <c r="Z29" s="185"/>
      <c r="AA29" s="185"/>
      <c r="AB29" s="185"/>
    </row>
    <row r="30" spans="1:40" x14ac:dyDescent="0.35">
      <c r="A30" s="177" t="s">
        <v>41</v>
      </c>
      <c r="B30" s="22">
        <v>0.2896143019416435</v>
      </c>
      <c r="C30" s="22">
        <v>0.28693999999999997</v>
      </c>
    </row>
    <row r="31" spans="1:40" ht="29" x14ac:dyDescent="0.35">
      <c r="A31" s="184" t="s">
        <v>1</v>
      </c>
      <c r="B31" s="184" t="str">
        <f t="shared" ref="B31:G31" si="14">B2</f>
        <v>Small DG</v>
      </c>
      <c r="C31" s="184" t="str">
        <f t="shared" si="14"/>
        <v>Large DG</v>
      </c>
      <c r="D31" s="184" t="str">
        <f t="shared" si="14"/>
        <v>Traditional CS</v>
      </c>
      <c r="E31" s="184" t="str">
        <f t="shared" si="14"/>
        <v xml:space="preserve"> Public Schools </v>
      </c>
      <c r="F31" s="184" t="str">
        <f t="shared" si="14"/>
        <v xml:space="preserve"> CDCS </v>
      </c>
      <c r="G31" s="184" t="str">
        <f t="shared" si="14"/>
        <v xml:space="preserve"> EEC </v>
      </c>
      <c r="H31" s="24" t="s">
        <v>211</v>
      </c>
      <c r="I31" s="184" t="s">
        <v>212</v>
      </c>
      <c r="J31" s="184" t="s">
        <v>213</v>
      </c>
      <c r="K31" s="184" t="s">
        <v>214</v>
      </c>
      <c r="L31" s="184" t="s">
        <v>234</v>
      </c>
      <c r="M31" s="184" t="s">
        <v>235</v>
      </c>
      <c r="N31" s="184" t="s">
        <v>217</v>
      </c>
      <c r="O31" s="184" t="s">
        <v>218</v>
      </c>
      <c r="P31" s="184" t="s">
        <v>219</v>
      </c>
      <c r="Q31" s="240" t="s">
        <v>220</v>
      </c>
      <c r="R31" s="24" t="s">
        <v>221</v>
      </c>
      <c r="S31" s="24" t="s">
        <v>222</v>
      </c>
      <c r="T31" s="24" t="s">
        <v>223</v>
      </c>
      <c r="U31" s="24" t="s">
        <v>224</v>
      </c>
      <c r="V31" s="184" t="s">
        <v>131</v>
      </c>
      <c r="W31" s="184" t="s">
        <v>137</v>
      </c>
      <c r="X31" s="25" t="s">
        <v>146</v>
      </c>
      <c r="Y31" s="184" t="s">
        <v>151</v>
      </c>
      <c r="Z31" s="25" t="s">
        <v>155</v>
      </c>
      <c r="AA31" s="25" t="s">
        <v>158</v>
      </c>
      <c r="AB31" s="184" t="s">
        <v>87</v>
      </c>
      <c r="AC31" s="184" t="s">
        <v>88</v>
      </c>
      <c r="AD31" s="184" t="s">
        <v>83</v>
      </c>
      <c r="AE31" s="184" t="s">
        <v>225</v>
      </c>
      <c r="AF31" s="25" t="s">
        <v>226</v>
      </c>
      <c r="AG31" s="193" t="s">
        <v>227</v>
      </c>
      <c r="AH31" s="24" t="s">
        <v>228</v>
      </c>
      <c r="AI31" s="24" t="s">
        <v>229</v>
      </c>
      <c r="AK31" s="76" t="s">
        <v>230</v>
      </c>
      <c r="AL31" s="76" t="s">
        <v>231</v>
      </c>
      <c r="AM31" t="s">
        <v>232</v>
      </c>
      <c r="AN31" t="s">
        <v>233</v>
      </c>
    </row>
    <row r="32" spans="1:40" x14ac:dyDescent="0.35">
      <c r="A32" s="184"/>
      <c r="B32" s="184"/>
      <c r="C32" s="184"/>
      <c r="D32" s="184"/>
      <c r="E32" s="184"/>
      <c r="F32" s="184"/>
      <c r="G32" s="184"/>
      <c r="H32" s="24"/>
      <c r="I32" s="184"/>
      <c r="J32" s="184"/>
      <c r="K32" s="184"/>
      <c r="L32" s="184"/>
      <c r="M32" s="184"/>
      <c r="N32" s="184"/>
      <c r="O32" s="184"/>
      <c r="P32" s="184"/>
      <c r="Q32" s="184"/>
      <c r="R32" s="24"/>
      <c r="S32" s="174"/>
      <c r="T32" s="174">
        <f t="shared" ref="T32:T56" si="15">I32+L32+N32</f>
        <v>0</v>
      </c>
      <c r="U32" s="174">
        <f t="shared" ref="U32:U56" si="16">H32+R32</f>
        <v>0</v>
      </c>
      <c r="V32" s="184"/>
      <c r="W32" s="184"/>
      <c r="X32" s="184"/>
      <c r="Y32" s="184"/>
      <c r="Z32" s="184"/>
      <c r="AA32" s="184"/>
      <c r="AB32" s="184"/>
      <c r="AC32" s="184"/>
      <c r="AD32" s="184"/>
      <c r="AE32" s="184"/>
      <c r="AF32" s="184"/>
      <c r="AG32" s="24"/>
      <c r="AH32" s="24"/>
      <c r="AI32" s="24"/>
    </row>
    <row r="33" spans="1:40" x14ac:dyDescent="0.35">
      <c r="A33" s="177" t="s">
        <v>17</v>
      </c>
      <c r="B33" s="178">
        <f>'ABP Under Contract'!B32</f>
        <v>13660</v>
      </c>
      <c r="C33" s="178">
        <f>'ABP Under Contract'!C32</f>
        <v>43324</v>
      </c>
      <c r="D33" s="178" t="str">
        <f>'ABP Under Contract'!D32</f>
        <v xml:space="preserve">                   -   </v>
      </c>
      <c r="E33" s="178" t="str">
        <f>'ABP Under Contract'!E32</f>
        <v xml:space="preserve">                -   </v>
      </c>
      <c r="F33" s="178" t="str">
        <f>'ABP Under Contract'!F32</f>
        <v xml:space="preserve">                -   </v>
      </c>
      <c r="G33" s="178" t="str">
        <f>'ABP Under Contract'!G32</f>
        <v xml:space="preserve">                -   </v>
      </c>
      <c r="H33" s="174">
        <f>SUM(B33:G33)</f>
        <v>56984</v>
      </c>
      <c r="I33" s="178">
        <v>600000</v>
      </c>
      <c r="J33" s="178"/>
      <c r="K33" s="178">
        <v>3273</v>
      </c>
      <c r="L33" s="178">
        <v>214109</v>
      </c>
      <c r="M33" s="178">
        <v>2838</v>
      </c>
      <c r="N33" s="178"/>
      <c r="O33" s="178"/>
      <c r="P33" s="178"/>
      <c r="Q33" s="178">
        <f t="shared" ref="Q33:Q55" si="17">Q4*$B$30</f>
        <v>16876.288757022674</v>
      </c>
      <c r="R33" s="174">
        <f>SUM(I33:Q33)</f>
        <v>837096.2887570227</v>
      </c>
      <c r="S33" s="174">
        <f>H33+J33+K33+M33+O33+P33+Q33</f>
        <v>79971.288757022674</v>
      </c>
      <c r="T33" s="174">
        <f>I33+L33+N33</f>
        <v>814109</v>
      </c>
      <c r="U33" s="174">
        <f>H33+R33</f>
        <v>894080.2887570227</v>
      </c>
      <c r="V33" s="174">
        <f t="shared" ref="V33:AD33" si="18">$B$30*V4</f>
        <v>0</v>
      </c>
      <c r="W33" s="174">
        <f t="shared" si="18"/>
        <v>0</v>
      </c>
      <c r="X33" s="174">
        <f t="shared" si="18"/>
        <v>0</v>
      </c>
      <c r="Y33" s="174">
        <f t="shared" si="18"/>
        <v>0</v>
      </c>
      <c r="Z33" s="174">
        <f t="shared" si="18"/>
        <v>0</v>
      </c>
      <c r="AA33" s="174">
        <f t="shared" si="18"/>
        <v>0</v>
      </c>
      <c r="AB33" s="174">
        <f t="shared" si="18"/>
        <v>0</v>
      </c>
      <c r="AC33" s="174">
        <f t="shared" si="18"/>
        <v>0</v>
      </c>
      <c r="AD33" s="174">
        <f t="shared" si="18"/>
        <v>0</v>
      </c>
      <c r="AE33" s="174"/>
      <c r="AF33" s="174">
        <f t="shared" ref="AF33:AF56" si="19">AF4*$B$30</f>
        <v>0</v>
      </c>
      <c r="AG33" s="174">
        <f>SUM(V33:AF33)</f>
        <v>0</v>
      </c>
      <c r="AH33" s="174">
        <f t="shared" ref="AH33:AH55" si="20">H33+R33+AG33</f>
        <v>894080.2887570227</v>
      </c>
      <c r="AI33" s="192">
        <f>AH33/'Collections and ACP'!E40</f>
        <v>2.52147578131874E-2</v>
      </c>
      <c r="AK33" s="172">
        <f>H33+J33+K33+M33+Q33+V33+W33+X33+Y33+Z33+AA33+AC33+AD33+AF33+O33+P33+AE33</f>
        <v>79971.288757022674</v>
      </c>
      <c r="AL33" s="172">
        <f>I33+L33+AB33+N33</f>
        <v>814109</v>
      </c>
      <c r="AM33" s="105">
        <f>AK33/(AK33+AL33)</f>
        <v>8.9445310183720927E-2</v>
      </c>
      <c r="AN33" s="105">
        <f>1-AM33</f>
        <v>0.91055468981627907</v>
      </c>
    </row>
    <row r="34" spans="1:40" x14ac:dyDescent="0.35">
      <c r="A34" s="177" t="s">
        <v>18</v>
      </c>
      <c r="B34" s="178">
        <f>'ABP Under Contract'!B33</f>
        <v>28081</v>
      </c>
      <c r="C34" s="178">
        <f>'ABP Under Contract'!C33</f>
        <v>81759</v>
      </c>
      <c r="D34" s="178">
        <f>'ABP Under Contract'!D33</f>
        <v>53320</v>
      </c>
      <c r="E34" s="178" t="str">
        <f>'ABP Under Contract'!E33</f>
        <v xml:space="preserve">                -   </v>
      </c>
      <c r="F34" s="178" t="str">
        <f>'ABP Under Contract'!F33</f>
        <v xml:space="preserve">                -   </v>
      </c>
      <c r="G34" s="178" t="str">
        <f>'ABP Under Contract'!G33</f>
        <v xml:space="preserve">                -   </v>
      </c>
      <c r="H34" s="174">
        <f t="shared" ref="H34:H55" si="21">SUM(B34:G34)</f>
        <v>163160</v>
      </c>
      <c r="I34" s="178">
        <v>600000</v>
      </c>
      <c r="J34" s="178"/>
      <c r="K34" s="178">
        <v>2838</v>
      </c>
      <c r="L34" s="178">
        <v>605816</v>
      </c>
      <c r="M34" s="178">
        <v>269620.28230000002</v>
      </c>
      <c r="N34" s="178"/>
      <c r="O34" s="178"/>
      <c r="P34" s="178"/>
      <c r="Q34" s="178">
        <f t="shared" si="17"/>
        <v>18877.504275819301</v>
      </c>
      <c r="R34" s="174">
        <f t="shared" ref="R34:R55" si="22">SUM(I34:Q34)</f>
        <v>1497151.7865758194</v>
      </c>
      <c r="S34" s="174">
        <f t="shared" ref="S34:S56" si="23">H34+J34+K34+M34+O34+P34+Q34</f>
        <v>454495.78657581931</v>
      </c>
      <c r="T34" s="174">
        <f t="shared" si="15"/>
        <v>1205816</v>
      </c>
      <c r="U34" s="174">
        <f t="shared" si="16"/>
        <v>1660311.7865758194</v>
      </c>
      <c r="V34" s="174">
        <f t="shared" ref="V34:AD34" si="24">$B$30*V5</f>
        <v>0</v>
      </c>
      <c r="W34" s="174">
        <f t="shared" si="24"/>
        <v>0</v>
      </c>
      <c r="X34" s="174">
        <f t="shared" si="24"/>
        <v>0</v>
      </c>
      <c r="Y34" s="174">
        <f t="shared" si="24"/>
        <v>0</v>
      </c>
      <c r="Z34" s="174">
        <f t="shared" si="24"/>
        <v>0</v>
      </c>
      <c r="AA34" s="174">
        <f t="shared" si="24"/>
        <v>0</v>
      </c>
      <c r="AB34" s="174">
        <f t="shared" si="24"/>
        <v>0</v>
      </c>
      <c r="AC34" s="174">
        <f t="shared" si="24"/>
        <v>0</v>
      </c>
      <c r="AD34" s="174">
        <f t="shared" si="24"/>
        <v>0</v>
      </c>
      <c r="AE34" s="174"/>
      <c r="AF34" s="174">
        <f t="shared" si="19"/>
        <v>0</v>
      </c>
      <c r="AG34" s="174">
        <f t="shared" ref="AG34:AG35" si="25">SUM(V34:AF34)</f>
        <v>0</v>
      </c>
      <c r="AH34" s="174">
        <f t="shared" si="20"/>
        <v>1660311.7865758194</v>
      </c>
      <c r="AI34" s="192">
        <f>AH34/'Collections and ACP'!E41</f>
        <v>4.7336729473917684E-2</v>
      </c>
      <c r="AK34" s="172">
        <f t="shared" ref="AK34:AK56" si="26">H34+J34+K34+M34+Q34+V34+W34+X34+Y34+Z34+AA34+AC34+AD34+AF34+O34+P34+AE34</f>
        <v>454495.78657581931</v>
      </c>
      <c r="AL34" s="172">
        <f t="shared" ref="AL34:AL56" si="27">I34+L34+AB34+N34</f>
        <v>1205816</v>
      </c>
      <c r="AM34" s="105">
        <f t="shared" ref="AM34:AM56" si="28">AK34/(AK34+AL34)</f>
        <v>0.273741227551699</v>
      </c>
      <c r="AN34" s="105">
        <f t="shared" ref="AN34:AN56" si="29">1-AM34</f>
        <v>0.72625877244830095</v>
      </c>
    </row>
    <row r="35" spans="1:40" x14ac:dyDescent="0.35">
      <c r="A35" s="177" t="s">
        <v>19</v>
      </c>
      <c r="B35" s="178">
        <f>'ABP Under Contract'!B34</f>
        <v>45638</v>
      </c>
      <c r="C35" s="178">
        <f>'ABP Under Contract'!C34</f>
        <v>100964</v>
      </c>
      <c r="D35" s="178">
        <f>'ABP Under Contract'!D34</f>
        <v>65718</v>
      </c>
      <c r="E35" s="178" t="str">
        <f>'ABP Under Contract'!E34</f>
        <v xml:space="preserve">                -   </v>
      </c>
      <c r="F35" s="178" t="str">
        <f>'ABP Under Contract'!F34</f>
        <v xml:space="preserve">                -   </v>
      </c>
      <c r="G35" s="178" t="str">
        <f>'ABP Under Contract'!G34</f>
        <v xml:space="preserve">                -   </v>
      </c>
      <c r="H35" s="174">
        <f t="shared" si="21"/>
        <v>212320</v>
      </c>
      <c r="I35" s="178">
        <v>600000</v>
      </c>
      <c r="J35" s="178"/>
      <c r="K35" s="178">
        <v>327</v>
      </c>
      <c r="L35" s="178">
        <v>605816</v>
      </c>
      <c r="M35" s="178">
        <v>585317.28229999996</v>
      </c>
      <c r="N35" s="178"/>
      <c r="O35" s="178"/>
      <c r="P35" s="178"/>
      <c r="Q35" s="178">
        <f t="shared" si="17"/>
        <v>18783.116754440205</v>
      </c>
      <c r="R35" s="174">
        <f t="shared" si="22"/>
        <v>1810243.3990544402</v>
      </c>
      <c r="S35" s="174">
        <f t="shared" si="23"/>
        <v>816747.3990544402</v>
      </c>
      <c r="T35" s="174">
        <f t="shared" si="15"/>
        <v>1205816</v>
      </c>
      <c r="U35" s="174">
        <f t="shared" si="16"/>
        <v>2022563.3990544402</v>
      </c>
      <c r="V35" s="174">
        <f t="shared" ref="V35:AD35" si="30">$B$30*V6</f>
        <v>0</v>
      </c>
      <c r="W35" s="174">
        <f t="shared" si="30"/>
        <v>0</v>
      </c>
      <c r="X35" s="174">
        <f t="shared" si="30"/>
        <v>0</v>
      </c>
      <c r="Y35" s="174">
        <f t="shared" si="30"/>
        <v>0</v>
      </c>
      <c r="Z35" s="174">
        <f t="shared" si="30"/>
        <v>0</v>
      </c>
      <c r="AA35" s="174">
        <f t="shared" si="30"/>
        <v>0</v>
      </c>
      <c r="AB35" s="174">
        <f t="shared" si="30"/>
        <v>0</v>
      </c>
      <c r="AC35" s="174">
        <f t="shared" si="30"/>
        <v>0</v>
      </c>
      <c r="AD35" s="174">
        <f t="shared" si="30"/>
        <v>0</v>
      </c>
      <c r="AE35" s="174"/>
      <c r="AF35" s="174">
        <f t="shared" si="19"/>
        <v>0</v>
      </c>
      <c r="AG35" s="174">
        <f t="shared" si="25"/>
        <v>0</v>
      </c>
      <c r="AH35" s="174">
        <f t="shared" si="20"/>
        <v>2022563.3990544402</v>
      </c>
      <c r="AI35" s="192">
        <f>AH35/'Collections and ACP'!E42</f>
        <v>5.8935043533354416E-2</v>
      </c>
      <c r="AJ35" s="172"/>
      <c r="AK35" s="172">
        <f t="shared" si="26"/>
        <v>816747.3990544402</v>
      </c>
      <c r="AL35" s="172">
        <f t="shared" si="27"/>
        <v>1205816</v>
      </c>
      <c r="AM35" s="105">
        <f t="shared" si="28"/>
        <v>0.40381794678786048</v>
      </c>
      <c r="AN35" s="105">
        <f t="shared" si="29"/>
        <v>0.59618205321213957</v>
      </c>
    </row>
    <row r="36" spans="1:40" x14ac:dyDescent="0.35">
      <c r="A36" s="177" t="s">
        <v>20</v>
      </c>
      <c r="B36" s="178">
        <f>'ABP Under Contract'!B35</f>
        <v>62723</v>
      </c>
      <c r="C36" s="178">
        <f>'ABP Under Contract'!C35</f>
        <v>139240</v>
      </c>
      <c r="D36" s="178">
        <f>'ABP Under Contract'!D35</f>
        <v>121617</v>
      </c>
      <c r="E36" s="178" t="str">
        <f>'ABP Under Contract'!E35</f>
        <v xml:space="preserve">                           -  </v>
      </c>
      <c r="F36" s="178" t="str">
        <f>'ABP Under Contract'!F35</f>
        <v> </v>
      </c>
      <c r="G36" s="178" t="str">
        <f>'ABP Under Contract'!G35</f>
        <v> </v>
      </c>
      <c r="H36" s="174">
        <f t="shared" si="21"/>
        <v>323580</v>
      </c>
      <c r="I36" s="178">
        <v>600000</v>
      </c>
      <c r="J36" s="178"/>
      <c r="K36" s="30"/>
      <c r="L36" s="178">
        <v>605816</v>
      </c>
      <c r="M36" s="178">
        <v>585317.28229999996</v>
      </c>
      <c r="N36" s="178"/>
      <c r="O36" s="178"/>
      <c r="P36" s="178"/>
      <c r="Q36" s="178">
        <f t="shared" si="17"/>
        <v>18689.201170668006</v>
      </c>
      <c r="R36" s="174">
        <f t="shared" si="22"/>
        <v>1809822.4834706681</v>
      </c>
      <c r="S36" s="174">
        <f t="shared" si="23"/>
        <v>927586.48347066797</v>
      </c>
      <c r="T36" s="174">
        <f t="shared" si="15"/>
        <v>1205816</v>
      </c>
      <c r="U36" s="174">
        <f t="shared" si="16"/>
        <v>2133402.4834706681</v>
      </c>
      <c r="V36" s="174">
        <f t="shared" ref="V36:AD36" si="31">$B$30*V7</f>
        <v>0</v>
      </c>
      <c r="W36" s="174">
        <f t="shared" si="31"/>
        <v>0</v>
      </c>
      <c r="X36" s="174">
        <f t="shared" si="31"/>
        <v>0</v>
      </c>
      <c r="Y36" s="174">
        <f t="shared" si="31"/>
        <v>0</v>
      </c>
      <c r="Z36" s="174">
        <f t="shared" si="31"/>
        <v>0</v>
      </c>
      <c r="AA36" s="174">
        <f t="shared" si="31"/>
        <v>0</v>
      </c>
      <c r="AB36" s="174">
        <f t="shared" si="31"/>
        <v>0</v>
      </c>
      <c r="AC36" s="174">
        <f t="shared" si="31"/>
        <v>0</v>
      </c>
      <c r="AD36" s="174">
        <f t="shared" si="31"/>
        <v>0</v>
      </c>
      <c r="AE36" s="174"/>
      <c r="AF36" s="174">
        <f t="shared" si="19"/>
        <v>13611.872191257246</v>
      </c>
      <c r="AG36" s="174">
        <f>SUM(V36:AF36)</f>
        <v>13611.872191257246</v>
      </c>
      <c r="AH36" s="174">
        <f t="shared" si="20"/>
        <v>2147014.3556619254</v>
      </c>
      <c r="AI36" s="192">
        <f>AH36/'Collections and ACP'!E43</f>
        <v>6.3215782729447653E-2</v>
      </c>
      <c r="AJ36" s="172"/>
      <c r="AK36" s="172">
        <f t="shared" si="26"/>
        <v>941198.35566192516</v>
      </c>
      <c r="AL36" s="172">
        <f t="shared" si="27"/>
        <v>1205816</v>
      </c>
      <c r="AM36" s="105">
        <f t="shared" si="28"/>
        <v>0.43837543665224049</v>
      </c>
      <c r="AN36" s="105">
        <f t="shared" si="29"/>
        <v>0.56162456334775945</v>
      </c>
    </row>
    <row r="37" spans="1:40" x14ac:dyDescent="0.35">
      <c r="A37" s="177" t="s">
        <v>22</v>
      </c>
      <c r="B37" s="178">
        <f>'ABP Under Contract'!B36</f>
        <v>75995</v>
      </c>
      <c r="C37" s="178">
        <f>'ABP Under Contract'!C36</f>
        <v>159360</v>
      </c>
      <c r="D37" s="178">
        <f>'ABP Under Contract'!D36</f>
        <v>216901</v>
      </c>
      <c r="E37" s="178">
        <f>'ABP Under Contract'!E36</f>
        <v>701</v>
      </c>
      <c r="F37" s="178" t="str">
        <f>'ABP Under Contract'!F36</f>
        <v> </v>
      </c>
      <c r="G37" s="178" t="str">
        <f>'ABP Under Contract'!G36</f>
        <v> </v>
      </c>
      <c r="H37" s="174">
        <f t="shared" si="21"/>
        <v>452957</v>
      </c>
      <c r="I37" s="178">
        <v>600000</v>
      </c>
      <c r="J37" s="178"/>
      <c r="K37" s="30"/>
      <c r="L37" s="178">
        <v>605816</v>
      </c>
      <c r="M37" s="178">
        <v>585317.28229999996</v>
      </c>
      <c r="N37" s="178">
        <f t="shared" ref="N37:P56" si="32">N8*$B$30</f>
        <v>0</v>
      </c>
      <c r="O37" s="178">
        <f t="shared" si="32"/>
        <v>0</v>
      </c>
      <c r="P37" s="178">
        <f t="shared" si="32"/>
        <v>0</v>
      </c>
      <c r="Q37" s="178">
        <f t="shared" si="17"/>
        <v>18595.755164814665</v>
      </c>
      <c r="R37" s="174">
        <f t="shared" si="22"/>
        <v>1809729.0374648147</v>
      </c>
      <c r="S37" s="174">
        <f>H37+J37+K37+M37+O37+P37+Q37</f>
        <v>1056870.0374648147</v>
      </c>
      <c r="T37" s="174">
        <f t="shared" si="15"/>
        <v>1205816</v>
      </c>
      <c r="U37" s="174">
        <f t="shared" si="16"/>
        <v>2262686.0374648147</v>
      </c>
      <c r="V37" s="174">
        <f t="shared" ref="V37:AD37" si="33">$B$30*V8</f>
        <v>44099.772882579753</v>
      </c>
      <c r="W37" s="174">
        <f t="shared" si="33"/>
        <v>60954.898352417942</v>
      </c>
      <c r="X37" s="174">
        <f t="shared" si="33"/>
        <v>0</v>
      </c>
      <c r="Y37" s="174">
        <f t="shared" si="33"/>
        <v>105415.73731768798</v>
      </c>
      <c r="Z37" s="174">
        <f t="shared" si="33"/>
        <v>0</v>
      </c>
      <c r="AA37" s="174">
        <f t="shared" si="33"/>
        <v>47178.668482957146</v>
      </c>
      <c r="AB37" s="174">
        <f t="shared" si="33"/>
        <v>0</v>
      </c>
      <c r="AC37" s="174">
        <f t="shared" si="33"/>
        <v>0</v>
      </c>
      <c r="AD37" s="174">
        <f t="shared" si="33"/>
        <v>0</v>
      </c>
      <c r="AE37" s="174">
        <f t="shared" ref="AE37:AE56" si="34">AE8*$C$30</f>
        <v>133301.99415999997</v>
      </c>
      <c r="AF37" s="174">
        <f t="shared" si="19"/>
        <v>27087.625660601916</v>
      </c>
      <c r="AG37" s="174">
        <f>SUM(V37:AF37)</f>
        <v>418038.6968562447</v>
      </c>
      <c r="AH37" s="174">
        <f t="shared" si="20"/>
        <v>2680724.7343210597</v>
      </c>
      <c r="AI37" s="192">
        <f>AH37/'Collections and ACP'!E44</f>
        <v>7.9910528300091266E-2</v>
      </c>
      <c r="AJ37" s="172"/>
      <c r="AK37" s="172">
        <f t="shared" si="26"/>
        <v>1474908.7343210597</v>
      </c>
      <c r="AL37" s="172">
        <f t="shared" si="27"/>
        <v>1205816</v>
      </c>
      <c r="AM37" s="105">
        <f t="shared" si="28"/>
        <v>0.55019029572038702</v>
      </c>
      <c r="AN37" s="105">
        <f t="shared" si="29"/>
        <v>0.44980970427961298</v>
      </c>
    </row>
    <row r="38" spans="1:40" x14ac:dyDescent="0.35">
      <c r="A38" s="177" t="s">
        <v>23</v>
      </c>
      <c r="B38" s="178">
        <f>'ABP Under Contract'!B37</f>
        <v>75688</v>
      </c>
      <c r="C38" s="178">
        <f>'ABP Under Contract'!C37</f>
        <v>158788</v>
      </c>
      <c r="D38" s="178">
        <f>'ABP Under Contract'!D37</f>
        <v>467235</v>
      </c>
      <c r="E38" s="178">
        <f>'ABP Under Contract'!E37</f>
        <v>4815</v>
      </c>
      <c r="F38" s="178">
        <f>'ABP Under Contract'!F37</f>
        <v>20441</v>
      </c>
      <c r="G38" s="178">
        <f>'ABP Under Contract'!G37</f>
        <v>239349</v>
      </c>
      <c r="H38" s="174">
        <f t="shared" si="21"/>
        <v>966316</v>
      </c>
      <c r="I38" s="178">
        <v>600000</v>
      </c>
      <c r="J38" s="178"/>
      <c r="K38" s="30"/>
      <c r="L38" s="178">
        <v>605816</v>
      </c>
      <c r="M38" s="178">
        <v>585317.28229999996</v>
      </c>
      <c r="N38" s="178">
        <f t="shared" si="32"/>
        <v>133222.57889315602</v>
      </c>
      <c r="O38" s="178">
        <f t="shared" si="32"/>
        <v>547811.53402295941</v>
      </c>
      <c r="P38" s="178">
        <f t="shared" si="32"/>
        <v>16759.979653362909</v>
      </c>
      <c r="Q38" s="178">
        <f t="shared" si="17"/>
        <v>18502.776388990595</v>
      </c>
      <c r="R38" s="174">
        <f t="shared" si="22"/>
        <v>2507430.1512584696</v>
      </c>
      <c r="S38" s="174">
        <f t="shared" si="23"/>
        <v>2134707.5723653133</v>
      </c>
      <c r="T38" s="174">
        <f t="shared" si="15"/>
        <v>1339038.578893156</v>
      </c>
      <c r="U38" s="174">
        <f t="shared" si="16"/>
        <v>3473746.1512584696</v>
      </c>
      <c r="V38" s="174">
        <f t="shared" ref="V38:AD38" si="35">$B$30*V9</f>
        <v>86135.987447444903</v>
      </c>
      <c r="W38" s="174">
        <f t="shared" si="35"/>
        <v>105639.48714389281</v>
      </c>
      <c r="X38" s="174">
        <f t="shared" si="35"/>
        <v>47448.699949175098</v>
      </c>
      <c r="Y38" s="174">
        <f t="shared" si="35"/>
        <v>142081.54212949923</v>
      </c>
      <c r="Z38" s="174">
        <f t="shared" si="35"/>
        <v>8235.5364222035951</v>
      </c>
      <c r="AA38" s="174">
        <f t="shared" si="35"/>
        <v>96930.956566361201</v>
      </c>
      <c r="AB38" s="174">
        <f t="shared" si="35"/>
        <v>0</v>
      </c>
      <c r="AC38" s="174">
        <f t="shared" si="35"/>
        <v>0</v>
      </c>
      <c r="AD38" s="174">
        <f t="shared" si="35"/>
        <v>0</v>
      </c>
      <c r="AE38" s="174">
        <f t="shared" si="34"/>
        <v>133301.99415999997</v>
      </c>
      <c r="AF38" s="174">
        <f t="shared" si="19"/>
        <v>40631.438490902874</v>
      </c>
      <c r="AG38" s="174">
        <f t="shared" ref="AG38:AG56" si="36">SUM(V38:AF38)</f>
        <v>660405.64230947965</v>
      </c>
      <c r="AH38" s="174">
        <f t="shared" si="20"/>
        <v>4134151.793567949</v>
      </c>
      <c r="AI38" s="192">
        <f>AH38/'Collections and ACP'!E45</f>
        <v>0.1246559293364783</v>
      </c>
      <c r="AJ38" s="172"/>
      <c r="AK38" s="172">
        <f t="shared" si="26"/>
        <v>2795113.2146747927</v>
      </c>
      <c r="AL38" s="172">
        <f t="shared" si="27"/>
        <v>1339038.578893156</v>
      </c>
      <c r="AM38" s="105">
        <f t="shared" si="28"/>
        <v>0.67610318978212725</v>
      </c>
      <c r="AN38" s="105">
        <f t="shared" si="29"/>
        <v>0.32389681021787275</v>
      </c>
    </row>
    <row r="39" spans="1:40" x14ac:dyDescent="0.35">
      <c r="A39" s="177" t="s">
        <v>24</v>
      </c>
      <c r="B39" s="178">
        <f>'ABP Under Contract'!B38</f>
        <v>75373</v>
      </c>
      <c r="C39" s="178">
        <f>'ABP Under Contract'!C38</f>
        <v>158224</v>
      </c>
      <c r="D39" s="178">
        <f>'ABP Under Contract'!D38</f>
        <v>466358</v>
      </c>
      <c r="E39" s="178">
        <f>'ABP Under Contract'!E38</f>
        <v>4813</v>
      </c>
      <c r="F39" s="178">
        <f>'ABP Under Contract'!F38</f>
        <v>20338</v>
      </c>
      <c r="G39" s="178">
        <f>'ABP Under Contract'!G38</f>
        <v>238158</v>
      </c>
      <c r="H39" s="174">
        <f t="shared" si="21"/>
        <v>963264</v>
      </c>
      <c r="I39" s="178">
        <v>600000</v>
      </c>
      <c r="J39" s="178"/>
      <c r="K39" s="30"/>
      <c r="L39" s="178">
        <v>605816</v>
      </c>
      <c r="M39" s="178">
        <v>585317.28229999996</v>
      </c>
      <c r="N39" s="178">
        <f t="shared" si="32"/>
        <v>133222.57889315602</v>
      </c>
      <c r="O39" s="178">
        <f t="shared" si="32"/>
        <v>851070.259355327</v>
      </c>
      <c r="P39" s="178">
        <f t="shared" si="32"/>
        <v>41293.395420135792</v>
      </c>
      <c r="Q39" s="178">
        <f t="shared" si="17"/>
        <v>18410.262507045642</v>
      </c>
      <c r="R39" s="174">
        <f t="shared" si="22"/>
        <v>2835129.7784756646</v>
      </c>
      <c r="S39" s="174">
        <f t="shared" si="23"/>
        <v>2459355.1995825088</v>
      </c>
      <c r="T39" s="174">
        <f t="shared" si="15"/>
        <v>1339038.578893156</v>
      </c>
      <c r="U39" s="174">
        <f t="shared" si="16"/>
        <v>3798393.7784756646</v>
      </c>
      <c r="V39" s="174">
        <f t="shared" ref="V39:AD39" si="37">$B$30*V10</f>
        <v>127962.02093948572</v>
      </c>
      <c r="W39" s="174">
        <f t="shared" si="37"/>
        <v>150100.65299141032</v>
      </c>
      <c r="X39" s="174">
        <f t="shared" si="37"/>
        <v>124458.21448456703</v>
      </c>
      <c r="Y39" s="174">
        <f t="shared" si="37"/>
        <v>178564.01791725139</v>
      </c>
      <c r="Z39" s="174">
        <f t="shared" si="37"/>
        <v>19638.322893446326</v>
      </c>
      <c r="AA39" s="174">
        <f t="shared" si="37"/>
        <v>146434.48320934825</v>
      </c>
      <c r="AB39" s="174">
        <f t="shared" si="37"/>
        <v>0</v>
      </c>
      <c r="AC39" s="174">
        <f t="shared" si="37"/>
        <v>305997.78300248226</v>
      </c>
      <c r="AD39" s="174">
        <f t="shared" si="37"/>
        <v>24617.215665039697</v>
      </c>
      <c r="AE39" s="174">
        <f t="shared" si="34"/>
        <v>133301.99415999997</v>
      </c>
      <c r="AF39" s="174">
        <f t="shared" si="19"/>
        <v>54175.251321203832</v>
      </c>
      <c r="AG39" s="174">
        <f t="shared" si="36"/>
        <v>1265249.9565842347</v>
      </c>
      <c r="AH39" s="174">
        <f t="shared" si="20"/>
        <v>5063643.7350598993</v>
      </c>
      <c r="AI39" s="192">
        <f>AH39/'Collections and ACP'!E46</f>
        <v>0.15374094395137891</v>
      </c>
      <c r="AJ39" s="172"/>
      <c r="AK39" s="172">
        <f t="shared" si="26"/>
        <v>3724605.1561667435</v>
      </c>
      <c r="AL39" s="172">
        <f t="shared" si="27"/>
        <v>1339038.578893156</v>
      </c>
      <c r="AM39" s="105">
        <f t="shared" si="28"/>
        <v>0.73555829577387988</v>
      </c>
      <c r="AN39" s="105">
        <f t="shared" si="29"/>
        <v>0.26444170422612012</v>
      </c>
    </row>
    <row r="40" spans="1:40" x14ac:dyDescent="0.35">
      <c r="A40" s="177" t="s">
        <v>25</v>
      </c>
      <c r="B40" s="178">
        <f>'ABP Under Contract'!B39</f>
        <v>75118</v>
      </c>
      <c r="C40" s="178">
        <f>'ABP Under Contract'!C39</f>
        <v>157677</v>
      </c>
      <c r="D40" s="178">
        <f>'ABP Under Contract'!D39</f>
        <v>465486</v>
      </c>
      <c r="E40" s="178">
        <f>'ABP Under Contract'!E39</f>
        <v>4812</v>
      </c>
      <c r="F40" s="178">
        <f>'ABP Under Contract'!F39</f>
        <v>20236</v>
      </c>
      <c r="G40" s="178">
        <f>'ABP Under Contract'!G39</f>
        <v>236965</v>
      </c>
      <c r="H40" s="174">
        <f t="shared" si="21"/>
        <v>960294</v>
      </c>
      <c r="I40" s="178">
        <v>600000</v>
      </c>
      <c r="J40" s="178"/>
      <c r="K40" s="30"/>
      <c r="L40" s="178">
        <v>605816</v>
      </c>
      <c r="M40" s="178">
        <v>585317.28229999996</v>
      </c>
      <c r="N40" s="178">
        <f t="shared" si="32"/>
        <v>133222.57889315602</v>
      </c>
      <c r="O40" s="178">
        <f t="shared" si="32"/>
        <v>846814.90805855021</v>
      </c>
      <c r="P40" s="178">
        <f t="shared" si="32"/>
        <v>41086.928443035111</v>
      </c>
      <c r="Q40" s="178">
        <f t="shared" si="17"/>
        <v>18318.211194510412</v>
      </c>
      <c r="R40" s="174">
        <f t="shared" si="22"/>
        <v>2830575.9088892518</v>
      </c>
      <c r="S40" s="174">
        <f t="shared" si="23"/>
        <v>2451831.329996096</v>
      </c>
      <c r="T40" s="174">
        <f t="shared" si="15"/>
        <v>1339038.578893156</v>
      </c>
      <c r="U40" s="174">
        <f t="shared" si="16"/>
        <v>3790869.9088892518</v>
      </c>
      <c r="V40" s="174">
        <f t="shared" ref="V40:AD40" si="38">$B$30*V11</f>
        <v>169578.92426406636</v>
      </c>
      <c r="W40" s="174">
        <f t="shared" si="38"/>
        <v>194339.51300969021</v>
      </c>
      <c r="X40" s="174">
        <f t="shared" si="38"/>
        <v>201082.681447282</v>
      </c>
      <c r="Y40" s="174">
        <f t="shared" si="38"/>
        <v>214864.08132606483</v>
      </c>
      <c r="Z40" s="174">
        <f t="shared" si="38"/>
        <v>30984.095432332837</v>
      </c>
      <c r="AA40" s="174">
        <f t="shared" si="38"/>
        <v>195690.49221912038</v>
      </c>
      <c r="AB40" s="174">
        <f t="shared" si="38"/>
        <v>2172107.2645623265</v>
      </c>
      <c r="AC40" s="174">
        <f t="shared" si="38"/>
        <v>738889.24699993513</v>
      </c>
      <c r="AD40" s="174">
        <f t="shared" si="38"/>
        <v>49111.345251754195</v>
      </c>
      <c r="AE40" s="174">
        <f t="shared" si="34"/>
        <v>133301.99415999997</v>
      </c>
      <c r="AF40" s="174">
        <f t="shared" si="19"/>
        <v>67719.06415150479</v>
      </c>
      <c r="AG40" s="174">
        <f t="shared" si="36"/>
        <v>4167668.7028240776</v>
      </c>
      <c r="AH40" s="174">
        <f t="shared" si="20"/>
        <v>7958538.6117133293</v>
      </c>
      <c r="AI40" s="192">
        <f>AH40/'Collections and ACP'!E47</f>
        <v>0.24163493773596417</v>
      </c>
      <c r="AJ40" s="172"/>
      <c r="AK40" s="172">
        <f t="shared" si="26"/>
        <v>4447392.7682578471</v>
      </c>
      <c r="AL40" s="172">
        <f t="shared" si="27"/>
        <v>3511145.8434554823</v>
      </c>
      <c r="AM40" s="105">
        <f t="shared" si="28"/>
        <v>0.55882027910403065</v>
      </c>
      <c r="AN40" s="105">
        <f t="shared" si="29"/>
        <v>0.44117972089596935</v>
      </c>
    </row>
    <row r="41" spans="1:40" x14ac:dyDescent="0.35">
      <c r="A41" s="177" t="s">
        <v>26</v>
      </c>
      <c r="B41" s="178">
        <f>'ABP Under Contract'!B40</f>
        <v>74816</v>
      </c>
      <c r="C41" s="178">
        <f>'ABP Under Contract'!C40</f>
        <v>157174</v>
      </c>
      <c r="D41" s="178">
        <f>'ABP Under Contract'!D40</f>
        <v>464621</v>
      </c>
      <c r="E41" s="178">
        <f>'ABP Under Contract'!E40</f>
        <v>4810</v>
      </c>
      <c r="F41" s="178">
        <f>'ABP Under Contract'!F40</f>
        <v>20136</v>
      </c>
      <c r="G41" s="178">
        <f>'ABP Under Contract'!G40</f>
        <v>235780</v>
      </c>
      <c r="H41" s="174">
        <f t="shared" si="21"/>
        <v>957337</v>
      </c>
      <c r="I41" s="178">
        <v>600000</v>
      </c>
      <c r="J41" s="178"/>
      <c r="K41" s="30"/>
      <c r="L41" s="178">
        <v>605816</v>
      </c>
      <c r="M41" s="178">
        <v>585317.28229999996</v>
      </c>
      <c r="N41" s="178">
        <f t="shared" si="32"/>
        <v>133222.57889315602</v>
      </c>
      <c r="O41" s="178">
        <f t="shared" si="32"/>
        <v>842580.8335182576</v>
      </c>
      <c r="P41" s="178">
        <f t="shared" si="32"/>
        <v>40881.493800819939</v>
      </c>
      <c r="Q41" s="178">
        <f t="shared" si="17"/>
        <v>18226.620138537863</v>
      </c>
      <c r="R41" s="174">
        <f t="shared" si="22"/>
        <v>2826044.8086507716</v>
      </c>
      <c r="S41" s="174">
        <f t="shared" si="23"/>
        <v>2444343.2297576154</v>
      </c>
      <c r="T41" s="174">
        <f t="shared" si="15"/>
        <v>1339038.578893156</v>
      </c>
      <c r="U41" s="174">
        <f t="shared" si="16"/>
        <v>3783381.8086507716</v>
      </c>
      <c r="V41" s="174">
        <f t="shared" ref="V41:AD41" si="39">$B$30*V12</f>
        <v>210987.74307202408</v>
      </c>
      <c r="W41" s="174">
        <f t="shared" si="39"/>
        <v>238357.17872787875</v>
      </c>
      <c r="X41" s="174">
        <f t="shared" si="39"/>
        <v>277324.02607518341</v>
      </c>
      <c r="Y41" s="174">
        <f t="shared" si="39"/>
        <v>250982.64441783415</v>
      </c>
      <c r="Z41" s="174">
        <f t="shared" si="39"/>
        <v>42273.139108524927</v>
      </c>
      <c r="AA41" s="174">
        <f t="shared" si="39"/>
        <v>244700.22118384359</v>
      </c>
      <c r="AB41" s="174">
        <f t="shared" si="39"/>
        <v>2896143.0194164352</v>
      </c>
      <c r="AC41" s="174">
        <f t="shared" si="39"/>
        <v>1169616.2536774008</v>
      </c>
      <c r="AD41" s="174">
        <f t="shared" si="39"/>
        <v>73483.004190535125</v>
      </c>
      <c r="AE41" s="174">
        <f t="shared" si="34"/>
        <v>133301.99415999997</v>
      </c>
      <c r="AF41" s="174">
        <f t="shared" si="19"/>
        <v>81262.876981805748</v>
      </c>
      <c r="AG41" s="174">
        <f t="shared" si="36"/>
        <v>5618432.1010114662</v>
      </c>
      <c r="AH41" s="174">
        <f t="shared" si="20"/>
        <v>9401813.9096622374</v>
      </c>
      <c r="AI41" s="192">
        <f>AH41/'Collections and ACP'!E48</f>
        <v>0.28545526126149912</v>
      </c>
      <c r="AJ41" s="172"/>
      <c r="AK41" s="172">
        <f t="shared" si="26"/>
        <v>5166632.311352646</v>
      </c>
      <c r="AL41" s="172">
        <f t="shared" si="27"/>
        <v>4235181.5983095914</v>
      </c>
      <c r="AM41" s="105">
        <f t="shared" si="28"/>
        <v>0.54953569183526396</v>
      </c>
      <c r="AN41" s="105">
        <f t="shared" si="29"/>
        <v>0.45046430816473604</v>
      </c>
    </row>
    <row r="42" spans="1:40" x14ac:dyDescent="0.35">
      <c r="A42" s="177" t="s">
        <v>27</v>
      </c>
      <c r="B42" s="178">
        <f>'ABP Under Contract'!B41</f>
        <v>74538</v>
      </c>
      <c r="C42" s="178">
        <f>'ABP Under Contract'!C41</f>
        <v>156628</v>
      </c>
      <c r="D42" s="178">
        <f>'ABP Under Contract'!D41</f>
        <v>463752</v>
      </c>
      <c r="E42" s="178">
        <f>'ABP Under Contract'!E41</f>
        <v>4809</v>
      </c>
      <c r="F42" s="178">
        <f>'ABP Under Contract'!F41</f>
        <v>20033</v>
      </c>
      <c r="G42" s="178">
        <f>'ABP Under Contract'!G41</f>
        <v>234599</v>
      </c>
      <c r="H42" s="174">
        <f t="shared" si="21"/>
        <v>954359</v>
      </c>
      <c r="I42" s="178">
        <v>600000</v>
      </c>
      <c r="J42" s="178"/>
      <c r="K42" s="30"/>
      <c r="L42" s="178">
        <v>605816</v>
      </c>
      <c r="M42" s="178">
        <v>585317.28229999996</v>
      </c>
      <c r="N42" s="178">
        <f t="shared" si="32"/>
        <v>133222.57889315602</v>
      </c>
      <c r="O42" s="178">
        <f t="shared" si="32"/>
        <v>838367.92935066624</v>
      </c>
      <c r="P42" s="178">
        <f t="shared" si="32"/>
        <v>40677.086331815837</v>
      </c>
      <c r="Q42" s="178">
        <f t="shared" si="17"/>
        <v>18135.487037845171</v>
      </c>
      <c r="R42" s="174">
        <f t="shared" si="22"/>
        <v>2821536.3639134835</v>
      </c>
      <c r="S42" s="174">
        <f t="shared" si="23"/>
        <v>2436856.7850203272</v>
      </c>
      <c r="T42" s="174">
        <f t="shared" si="15"/>
        <v>1339038.578893156</v>
      </c>
      <c r="U42" s="174">
        <f t="shared" si="16"/>
        <v>3775895.3639134835</v>
      </c>
      <c r="V42" s="174">
        <f t="shared" ref="V42:AD42" si="40">$B$30*V13</f>
        <v>252189.51778594198</v>
      </c>
      <c r="W42" s="174">
        <f t="shared" si="40"/>
        <v>282154.75611747633</v>
      </c>
      <c r="X42" s="174">
        <f t="shared" si="40"/>
        <v>353184.1639799453</v>
      </c>
      <c r="Y42" s="174">
        <f t="shared" si="40"/>
        <v>286920.61469414469</v>
      </c>
      <c r="Z42" s="174">
        <f t="shared" si="40"/>
        <v>53505.737566336044</v>
      </c>
      <c r="AA42" s="174">
        <f t="shared" si="40"/>
        <v>293464.90150374325</v>
      </c>
      <c r="AB42" s="174">
        <f t="shared" si="40"/>
        <v>3620178.7742705438</v>
      </c>
      <c r="AC42" s="174">
        <f t="shared" si="40"/>
        <v>1598189.625321479</v>
      </c>
      <c r="AD42" s="174">
        <f t="shared" si="40"/>
        <v>97732.804834622148</v>
      </c>
      <c r="AE42" s="174">
        <f t="shared" si="34"/>
        <v>133301.99415999997</v>
      </c>
      <c r="AF42" s="174">
        <f t="shared" si="19"/>
        <v>91446.194899325259</v>
      </c>
      <c r="AG42" s="174">
        <f t="shared" si="36"/>
        <v>7062269.0851335581</v>
      </c>
      <c r="AH42" s="174">
        <f t="shared" si="20"/>
        <v>10838164.449047042</v>
      </c>
      <c r="AI42" s="192">
        <f>AH42/'Collections and ACP'!E49</f>
        <v>0.32906533719182712</v>
      </c>
      <c r="AJ42" s="172"/>
      <c r="AK42" s="172">
        <f t="shared" si="26"/>
        <v>5878947.0958833406</v>
      </c>
      <c r="AL42" s="172">
        <f t="shared" si="27"/>
        <v>4959217.3531636996</v>
      </c>
      <c r="AM42" s="105">
        <f t="shared" si="28"/>
        <v>0.54243014336253725</v>
      </c>
      <c r="AN42" s="105">
        <f t="shared" si="29"/>
        <v>0.45756985663746275</v>
      </c>
    </row>
    <row r="43" spans="1:40" x14ac:dyDescent="0.35">
      <c r="A43" s="177" t="s">
        <v>28</v>
      </c>
      <c r="B43" s="178">
        <f>'ABP Under Contract'!B42</f>
        <v>74255</v>
      </c>
      <c r="C43" s="178">
        <f>'ABP Under Contract'!C42</f>
        <v>156082</v>
      </c>
      <c r="D43" s="178">
        <f>'ABP Under Contract'!D42</f>
        <v>462897</v>
      </c>
      <c r="E43" s="178">
        <f>'ABP Under Contract'!E42</f>
        <v>4807</v>
      </c>
      <c r="F43" s="178">
        <f>'ABP Under Contract'!F42</f>
        <v>19934</v>
      </c>
      <c r="G43" s="178">
        <f>'ABP Under Contract'!G42</f>
        <v>233427</v>
      </c>
      <c r="H43" s="174">
        <f t="shared" si="21"/>
        <v>951402</v>
      </c>
      <c r="I43" s="178">
        <v>600000</v>
      </c>
      <c r="J43" s="178"/>
      <c r="K43" s="30"/>
      <c r="L43" s="178">
        <v>605816</v>
      </c>
      <c r="M43" s="178">
        <v>585317.28229999996</v>
      </c>
      <c r="N43" s="178">
        <f t="shared" si="32"/>
        <v>133222.57889315602</v>
      </c>
      <c r="O43" s="178">
        <f t="shared" si="32"/>
        <v>834176.08970391296</v>
      </c>
      <c r="P43" s="178">
        <f t="shared" si="32"/>
        <v>40473.700900156764</v>
      </c>
      <c r="Q43" s="178">
        <f t="shared" si="17"/>
        <v>18044.809602655947</v>
      </c>
      <c r="R43" s="174">
        <f t="shared" si="22"/>
        <v>2817050.4613998821</v>
      </c>
      <c r="S43" s="174">
        <f t="shared" si="23"/>
        <v>2429413.8825067258</v>
      </c>
      <c r="T43" s="174">
        <f t="shared" si="15"/>
        <v>1339038.578893156</v>
      </c>
      <c r="U43" s="174">
        <f t="shared" si="16"/>
        <v>3768452.4613998821</v>
      </c>
      <c r="V43" s="174">
        <f t="shared" ref="V43:AD43" si="41">$B$30*V14</f>
        <v>293185.28362629033</v>
      </c>
      <c r="W43" s="174">
        <f t="shared" si="41"/>
        <v>325733.34562012588</v>
      </c>
      <c r="X43" s="174">
        <f t="shared" si="41"/>
        <v>428665.00119518331</v>
      </c>
      <c r="Y43" s="174">
        <f t="shared" si="41"/>
        <v>322678.89511907363</v>
      </c>
      <c r="Z43" s="174">
        <f t="shared" si="41"/>
        <v>64682.173031858118</v>
      </c>
      <c r="AA43" s="174">
        <f t="shared" si="41"/>
        <v>341985.75842204335</v>
      </c>
      <c r="AB43" s="174">
        <f t="shared" si="41"/>
        <v>4344214.529124653</v>
      </c>
      <c r="AC43" s="174">
        <f t="shared" si="41"/>
        <v>2024620.1301073367</v>
      </c>
      <c r="AD43" s="174">
        <f t="shared" si="41"/>
        <v>121861.35647548873</v>
      </c>
      <c r="AE43" s="174">
        <f t="shared" si="34"/>
        <v>133301.99415999997</v>
      </c>
      <c r="AF43" s="174">
        <f t="shared" si="19"/>
        <v>101629.51281684477</v>
      </c>
      <c r="AG43" s="174">
        <f t="shared" si="36"/>
        <v>8502557.9796988964</v>
      </c>
      <c r="AH43" s="174">
        <f t="shared" si="20"/>
        <v>12271010.441098779</v>
      </c>
      <c r="AI43" s="192">
        <f>AH43/'Collections and ACP'!E50</f>
        <v>0.37256900902990486</v>
      </c>
      <c r="AJ43" s="172"/>
      <c r="AK43" s="172">
        <f t="shared" si="26"/>
        <v>6587757.3330809707</v>
      </c>
      <c r="AL43" s="172">
        <f t="shared" si="27"/>
        <v>5683253.1080178088</v>
      </c>
      <c r="AM43" s="105">
        <f t="shared" si="28"/>
        <v>0.53685532782344247</v>
      </c>
      <c r="AN43" s="105">
        <f t="shared" si="29"/>
        <v>0.46314467217655753</v>
      </c>
    </row>
    <row r="44" spans="1:40" x14ac:dyDescent="0.35">
      <c r="A44" s="177" t="s">
        <v>29</v>
      </c>
      <c r="B44" s="178">
        <f>'ABP Under Contract'!B43</f>
        <v>73997</v>
      </c>
      <c r="C44" s="178">
        <f>'ABP Under Contract'!C43</f>
        <v>155566</v>
      </c>
      <c r="D44" s="178">
        <f>'ABP Under Contract'!D43</f>
        <v>462045</v>
      </c>
      <c r="E44" s="178">
        <f>'ABP Under Contract'!E43</f>
        <v>4806</v>
      </c>
      <c r="F44" s="178">
        <f>'ABP Under Contract'!F43</f>
        <v>19835</v>
      </c>
      <c r="G44" s="178">
        <f>'ABP Under Contract'!G43</f>
        <v>232258</v>
      </c>
      <c r="H44" s="174">
        <f t="shared" si="21"/>
        <v>948507</v>
      </c>
      <c r="I44" s="178">
        <v>600000</v>
      </c>
      <c r="J44" s="178"/>
      <c r="K44" s="30"/>
      <c r="L44" s="178">
        <v>605816</v>
      </c>
      <c r="M44" s="178">
        <v>585317.28229999996</v>
      </c>
      <c r="N44" s="178">
        <f t="shared" si="32"/>
        <v>133222.57889315602</v>
      </c>
      <c r="O44" s="178">
        <f t="shared" si="32"/>
        <v>830005.20925539325</v>
      </c>
      <c r="P44" s="178">
        <f t="shared" si="32"/>
        <v>40271.332395655976</v>
      </c>
      <c r="Q44" s="178">
        <f t="shared" si="17"/>
        <v>17954.585554642668</v>
      </c>
      <c r="R44" s="174">
        <f t="shared" si="22"/>
        <v>2812586.9883988481</v>
      </c>
      <c r="S44" s="174">
        <f t="shared" si="23"/>
        <v>2422055.4095056918</v>
      </c>
      <c r="T44" s="174">
        <f t="shared" si="15"/>
        <v>1339038.578893156</v>
      </c>
      <c r="U44" s="174">
        <f t="shared" si="16"/>
        <v>3761093.9883988481</v>
      </c>
      <c r="V44" s="174">
        <f t="shared" ref="V44:AD44" si="42">$B$30*V15</f>
        <v>338671.26101846783</v>
      </c>
      <c r="W44" s="174">
        <f t="shared" si="42"/>
        <v>374092.86031784414</v>
      </c>
      <c r="X44" s="174">
        <f t="shared" si="42"/>
        <v>503768.4342243452</v>
      </c>
      <c r="Y44" s="174">
        <f t="shared" si="42"/>
        <v>363980.36621855479</v>
      </c>
      <c r="Z44" s="174">
        <f t="shared" si="42"/>
        <v>75802.726320052578</v>
      </c>
      <c r="AA44" s="174">
        <f t="shared" si="42"/>
        <v>365269.92034284258</v>
      </c>
      <c r="AB44" s="174">
        <f t="shared" si="42"/>
        <v>5068250.2839787612</v>
      </c>
      <c r="AC44" s="174">
        <f t="shared" si="42"/>
        <v>2304111.3313984438</v>
      </c>
      <c r="AD44" s="174">
        <f t="shared" si="42"/>
        <v>145869.26535815099</v>
      </c>
      <c r="AE44" s="174">
        <f t="shared" si="34"/>
        <v>133301.99415999997</v>
      </c>
      <c r="AF44" s="174">
        <f t="shared" si="19"/>
        <v>111812.83073436427</v>
      </c>
      <c r="AG44" s="174">
        <f t="shared" si="36"/>
        <v>9784931.2740718294</v>
      </c>
      <c r="AH44" s="174">
        <f t="shared" si="20"/>
        <v>13546025.262470677</v>
      </c>
      <c r="AI44" s="192">
        <f>AH44/'Collections and ACP'!E51</f>
        <v>0.41128065472339786</v>
      </c>
      <c r="AJ44" s="172"/>
      <c r="AK44" s="172">
        <f t="shared" si="26"/>
        <v>7138736.3995987596</v>
      </c>
      <c r="AL44" s="172">
        <f t="shared" si="27"/>
        <v>6407288.862871917</v>
      </c>
      <c r="AM44" s="105">
        <f t="shared" si="28"/>
        <v>0.52699860374368712</v>
      </c>
      <c r="AN44" s="105">
        <f t="shared" si="29"/>
        <v>0.47300139625631288</v>
      </c>
    </row>
    <row r="45" spans="1:40" x14ac:dyDescent="0.35">
      <c r="A45" s="177" t="s">
        <v>30</v>
      </c>
      <c r="B45" s="178">
        <f>'ABP Under Contract'!B44</f>
        <v>73603</v>
      </c>
      <c r="C45" s="178">
        <f>'ABP Under Contract'!C44</f>
        <v>154991</v>
      </c>
      <c r="D45" s="178">
        <f>'ABP Under Contract'!D44</f>
        <v>461195</v>
      </c>
      <c r="E45" s="178">
        <f>'ABP Under Contract'!E44</f>
        <v>4804</v>
      </c>
      <c r="F45" s="178">
        <f>'ABP Under Contract'!F44</f>
        <v>19735</v>
      </c>
      <c r="G45" s="178">
        <f>'ABP Under Contract'!G44</f>
        <v>231097</v>
      </c>
      <c r="H45" s="174">
        <f t="shared" si="21"/>
        <v>945425</v>
      </c>
      <c r="I45" s="30"/>
      <c r="J45" s="30"/>
      <c r="K45" s="30"/>
      <c r="L45" s="178">
        <v>605816</v>
      </c>
      <c r="M45" s="178">
        <v>585317.28229999996</v>
      </c>
      <c r="N45" s="178">
        <f t="shared" si="32"/>
        <v>133222.57889315602</v>
      </c>
      <c r="O45" s="178">
        <f t="shared" si="32"/>
        <v>825855.18320911634</v>
      </c>
      <c r="P45" s="178">
        <f t="shared" si="32"/>
        <v>40069.975733677697</v>
      </c>
      <c r="Q45" s="178">
        <f t="shared" si="17"/>
        <v>17864.812626869454</v>
      </c>
      <c r="R45" s="174">
        <f t="shared" si="22"/>
        <v>2208145.8327628197</v>
      </c>
      <c r="S45" s="174">
        <f t="shared" si="23"/>
        <v>2414532.2538696639</v>
      </c>
      <c r="T45" s="174">
        <f t="shared" si="15"/>
        <v>739038.57889315602</v>
      </c>
      <c r="U45" s="174">
        <f t="shared" si="16"/>
        <v>3153570.8327628197</v>
      </c>
      <c r="V45" s="174">
        <f t="shared" ref="V45:AD45" si="43">$B$30*V16</f>
        <v>383929.80852368445</v>
      </c>
      <c r="W45" s="174">
        <f t="shared" si="43"/>
        <v>422210.57744207373</v>
      </c>
      <c r="X45" s="174">
        <f t="shared" si="43"/>
        <v>587079.32320337661</v>
      </c>
      <c r="Y45" s="174">
        <f t="shared" si="43"/>
        <v>405075.32996253861</v>
      </c>
      <c r="Z45" s="174">
        <f t="shared" si="43"/>
        <v>89728.667880144494</v>
      </c>
      <c r="AA45" s="174">
        <f t="shared" si="43"/>
        <v>388437.66145403782</v>
      </c>
      <c r="AB45" s="174">
        <f t="shared" si="43"/>
        <v>5792286.0388328703</v>
      </c>
      <c r="AC45" s="174">
        <f t="shared" si="43"/>
        <v>2582205.0766830952</v>
      </c>
      <c r="AD45" s="174">
        <f t="shared" si="43"/>
        <v>169757.13469639994</v>
      </c>
      <c r="AE45" s="174">
        <f t="shared" si="34"/>
        <v>133301.99415999997</v>
      </c>
      <c r="AF45" s="174">
        <f t="shared" si="19"/>
        <v>121996.14865188378</v>
      </c>
      <c r="AG45" s="174">
        <f t="shared" si="36"/>
        <v>11076007.761490105</v>
      </c>
      <c r="AH45" s="174">
        <f t="shared" si="20"/>
        <v>14229578.594252925</v>
      </c>
      <c r="AI45" s="192">
        <f>AH45/'Collections and ACP'!E52</f>
        <v>0.43203451103080054</v>
      </c>
      <c r="AJ45" s="172"/>
      <c r="AK45" s="172">
        <f t="shared" si="26"/>
        <v>7698253.9765268983</v>
      </c>
      <c r="AL45" s="172">
        <f t="shared" si="27"/>
        <v>6531324.6177260261</v>
      </c>
      <c r="AM45" s="105">
        <f t="shared" si="28"/>
        <v>0.54100365134046113</v>
      </c>
      <c r="AN45" s="105">
        <f t="shared" si="29"/>
        <v>0.45899634865953887</v>
      </c>
    </row>
    <row r="46" spans="1:40" x14ac:dyDescent="0.35">
      <c r="A46" s="177" t="s">
        <v>31</v>
      </c>
      <c r="B46" s="178">
        <f>'ABP Under Contract'!B45</f>
        <v>73346</v>
      </c>
      <c r="C46" s="178">
        <f>'ABP Under Contract'!C45</f>
        <v>154469</v>
      </c>
      <c r="D46" s="178">
        <f>'ABP Under Contract'!D45</f>
        <v>460348</v>
      </c>
      <c r="E46" s="178">
        <f>'ABP Under Contract'!E45</f>
        <v>4803</v>
      </c>
      <c r="F46" s="178">
        <f>'ABP Under Contract'!F45</f>
        <v>19637</v>
      </c>
      <c r="G46" s="178">
        <f>'ABP Under Contract'!G45</f>
        <v>229943</v>
      </c>
      <c r="H46" s="174">
        <f t="shared" si="21"/>
        <v>942546</v>
      </c>
      <c r="I46" s="30"/>
      <c r="J46" s="30"/>
      <c r="K46" s="30"/>
      <c r="L46" s="178">
        <v>479697</v>
      </c>
      <c r="M46" s="178">
        <v>585317.28229999996</v>
      </c>
      <c r="N46" s="178">
        <f t="shared" si="32"/>
        <v>133222.57889315602</v>
      </c>
      <c r="O46" s="178">
        <f t="shared" si="32"/>
        <v>821725.90729307069</v>
      </c>
      <c r="P46" s="178">
        <f t="shared" si="32"/>
        <v>39869.625855009304</v>
      </c>
      <c r="Q46" s="178">
        <f t="shared" si="17"/>
        <v>17775.488563735107</v>
      </c>
      <c r="R46" s="174">
        <f t="shared" si="22"/>
        <v>2077607.8829049713</v>
      </c>
      <c r="S46" s="174">
        <f t="shared" si="23"/>
        <v>2407234.3040118152</v>
      </c>
      <c r="T46" s="174">
        <f t="shared" si="15"/>
        <v>612919.57889315602</v>
      </c>
      <c r="U46" s="174">
        <f t="shared" si="16"/>
        <v>3020153.882904971</v>
      </c>
      <c r="V46" s="174">
        <f t="shared" ref="V46:AD46" si="44">$B$30*V17</f>
        <v>428962.06329137494</v>
      </c>
      <c r="W46" s="174">
        <f t="shared" si="44"/>
        <v>470087.70598068222</v>
      </c>
      <c r="X46" s="174">
        <f t="shared" si="44"/>
        <v>669973.65773751284</v>
      </c>
      <c r="Y46" s="174">
        <f t="shared" si="44"/>
        <v>445964.81888780236</v>
      </c>
      <c r="Z46" s="174">
        <f t="shared" si="44"/>
        <v>103584.97973243597</v>
      </c>
      <c r="AA46" s="174">
        <f t="shared" si="44"/>
        <v>411489.56385967706</v>
      </c>
      <c r="AB46" s="174">
        <f t="shared" si="44"/>
        <v>5647478.8878620481</v>
      </c>
      <c r="AC46" s="174">
        <f t="shared" si="44"/>
        <v>2786504.7777559119</v>
      </c>
      <c r="AD46" s="174">
        <f t="shared" si="44"/>
        <v>183389.06412000011</v>
      </c>
      <c r="AE46" s="174">
        <f t="shared" si="34"/>
        <v>133301.99415999997</v>
      </c>
      <c r="AF46" s="174">
        <f t="shared" si="19"/>
        <v>132179.46656940327</v>
      </c>
      <c r="AG46" s="174">
        <f t="shared" si="36"/>
        <v>11412916.979956849</v>
      </c>
      <c r="AH46" s="174">
        <f t="shared" si="20"/>
        <v>14433070.86286182</v>
      </c>
      <c r="AI46" s="192">
        <f>AH46/'Collections and ACP'!E53</f>
        <v>0.43821288674197578</v>
      </c>
      <c r="AJ46" s="172"/>
      <c r="AK46" s="172">
        <f t="shared" si="26"/>
        <v>8172672.3961066166</v>
      </c>
      <c r="AL46" s="172">
        <f t="shared" si="27"/>
        <v>6260398.4667552039</v>
      </c>
      <c r="AM46" s="105">
        <f t="shared" si="28"/>
        <v>0.56624625997894684</v>
      </c>
      <c r="AN46" s="105">
        <f t="shared" si="29"/>
        <v>0.43375374002105316</v>
      </c>
    </row>
    <row r="47" spans="1:40" x14ac:dyDescent="0.35">
      <c r="A47" s="177" t="s">
        <v>32</v>
      </c>
      <c r="B47" s="178">
        <f>'ABP Under Contract'!B46</f>
        <v>60514</v>
      </c>
      <c r="C47" s="178">
        <f>'ABP Under Contract'!C46</f>
        <v>119204</v>
      </c>
      <c r="D47" s="178">
        <f>'ABP Under Contract'!D46</f>
        <v>459506</v>
      </c>
      <c r="E47" s="178">
        <f>'ABP Under Contract'!E46</f>
        <v>4802</v>
      </c>
      <c r="F47" s="178">
        <f>'ABP Under Contract'!F46</f>
        <v>19538</v>
      </c>
      <c r="G47" s="178">
        <f>'ABP Under Contract'!G46</f>
        <v>228796</v>
      </c>
      <c r="H47" s="174">
        <f t="shared" si="21"/>
        <v>892360</v>
      </c>
      <c r="I47" s="30"/>
      <c r="J47" s="30"/>
      <c r="K47" s="30"/>
      <c r="L47" s="178">
        <v>479697</v>
      </c>
      <c r="M47" s="178">
        <v>585317.28229999996</v>
      </c>
      <c r="N47" s="178">
        <f t="shared" si="32"/>
        <v>133222.57889315602</v>
      </c>
      <c r="O47" s="178">
        <f t="shared" si="32"/>
        <v>817617.2777566053</v>
      </c>
      <c r="P47" s="178">
        <f t="shared" si="32"/>
        <v>39670.277725734253</v>
      </c>
      <c r="Q47" s="178">
        <f t="shared" si="17"/>
        <v>17686.61112091643</v>
      </c>
      <c r="R47" s="174">
        <f t="shared" si="22"/>
        <v>2073211.0277964121</v>
      </c>
      <c r="S47" s="174">
        <f t="shared" si="23"/>
        <v>2352651.4489032561</v>
      </c>
      <c r="T47" s="174">
        <f t="shared" si="15"/>
        <v>612919.57889315602</v>
      </c>
      <c r="U47" s="174">
        <f t="shared" si="16"/>
        <v>2965571.0277964119</v>
      </c>
      <c r="V47" s="174">
        <f t="shared" ref="V47:AD47" si="45">$B$30*V18</f>
        <v>450293.20488007256</v>
      </c>
      <c r="W47" s="174">
        <f t="shared" si="45"/>
        <v>492731.35816368827</v>
      </c>
      <c r="X47" s="174">
        <f t="shared" si="45"/>
        <v>752453.52059897827</v>
      </c>
      <c r="Y47" s="174">
        <f t="shared" si="45"/>
        <v>465192.42758090171</v>
      </c>
      <c r="Z47" s="174">
        <f t="shared" si="45"/>
        <v>117372.01002546598</v>
      </c>
      <c r="AA47" s="174">
        <f t="shared" si="45"/>
        <v>421929.16139683337</v>
      </c>
      <c r="AB47" s="174">
        <f t="shared" si="45"/>
        <v>5937093.1898036916</v>
      </c>
      <c r="AC47" s="174">
        <f t="shared" si="45"/>
        <v>2989782.980323365</v>
      </c>
      <c r="AD47" s="174">
        <f t="shared" si="45"/>
        <v>196952.83389648228</v>
      </c>
      <c r="AE47" s="174">
        <f t="shared" si="34"/>
        <v>133301.99415999997</v>
      </c>
      <c r="AF47" s="174">
        <f t="shared" si="19"/>
        <v>142362.78448692278</v>
      </c>
      <c r="AG47" s="174">
        <f t="shared" si="36"/>
        <v>12099465.465316404</v>
      </c>
      <c r="AH47" s="174">
        <f t="shared" si="20"/>
        <v>15065036.493112816</v>
      </c>
      <c r="AI47" s="192">
        <f>AH47/'Collections and ACP'!E54</f>
        <v>0.45740045159115783</v>
      </c>
      <c r="AJ47" s="172"/>
      <c r="AK47" s="172">
        <f t="shared" si="26"/>
        <v>8515023.7244159654</v>
      </c>
      <c r="AL47" s="172">
        <f t="shared" si="27"/>
        <v>6550012.7686968474</v>
      </c>
      <c r="AM47" s="105">
        <f t="shared" si="28"/>
        <v>0.56521759693769902</v>
      </c>
      <c r="AN47" s="105">
        <f t="shared" si="29"/>
        <v>0.43478240306230098</v>
      </c>
    </row>
    <row r="48" spans="1:40" x14ac:dyDescent="0.35">
      <c r="A48" s="177" t="s">
        <v>33</v>
      </c>
      <c r="B48" s="178">
        <f>'ABP Under Contract'!B47</f>
        <v>59996</v>
      </c>
      <c r="C48" s="178">
        <f>'ABP Under Contract'!C47</f>
        <v>113264</v>
      </c>
      <c r="D48" s="178">
        <f>'ABP Under Contract'!D47</f>
        <v>458668</v>
      </c>
      <c r="E48" s="178">
        <f>'ABP Under Contract'!E47</f>
        <v>4800</v>
      </c>
      <c r="F48" s="178">
        <f>'ABP Under Contract'!F47</f>
        <v>19439</v>
      </c>
      <c r="G48" s="178">
        <f>'ABP Under Contract'!G47</f>
        <v>227648</v>
      </c>
      <c r="H48" s="174">
        <f t="shared" si="21"/>
        <v>883815</v>
      </c>
      <c r="I48" s="30"/>
      <c r="J48" s="30"/>
      <c r="K48" s="30"/>
      <c r="L48" s="178">
        <v>391707</v>
      </c>
      <c r="M48" s="178">
        <v>585317.28229999996</v>
      </c>
      <c r="N48" s="178">
        <f t="shared" si="32"/>
        <v>133222.57889315602</v>
      </c>
      <c r="O48" s="178">
        <f t="shared" si="32"/>
        <v>813529.19136782223</v>
      </c>
      <c r="P48" s="178">
        <f t="shared" si="32"/>
        <v>39471.926337105586</v>
      </c>
      <c r="Q48" s="178">
        <f t="shared" si="17"/>
        <v>17598.178065311848</v>
      </c>
      <c r="R48" s="174">
        <f t="shared" si="22"/>
        <v>1980846.1569633957</v>
      </c>
      <c r="S48" s="174">
        <f t="shared" si="23"/>
        <v>2339731.5780702396</v>
      </c>
      <c r="T48" s="174">
        <f t="shared" si="15"/>
        <v>524929.57889315602</v>
      </c>
      <c r="U48" s="174">
        <f t="shared" si="16"/>
        <v>2864661.1569633959</v>
      </c>
      <c r="V48" s="174">
        <f t="shared" ref="V48:AD48" si="46">$B$30*V19</f>
        <v>471517.69076082675</v>
      </c>
      <c r="W48" s="174">
        <f t="shared" si="46"/>
        <v>515261.79208577931</v>
      </c>
      <c r="X48" s="174">
        <f t="shared" si="46"/>
        <v>791606.11857106013</v>
      </c>
      <c r="Y48" s="174">
        <f t="shared" si="46"/>
        <v>484323.8982305355</v>
      </c>
      <c r="Z48" s="174">
        <f t="shared" si="46"/>
        <v>123937.62757118474</v>
      </c>
      <c r="AA48" s="174">
        <f t="shared" si="46"/>
        <v>432316.56094630383</v>
      </c>
      <c r="AB48" s="174">
        <f t="shared" si="46"/>
        <v>6661128.9446578007</v>
      </c>
      <c r="AC48" s="174">
        <f t="shared" si="46"/>
        <v>3192044.7918779813</v>
      </c>
      <c r="AD48" s="174">
        <f t="shared" si="46"/>
        <v>210448.78482408205</v>
      </c>
      <c r="AE48" s="174">
        <f t="shared" si="34"/>
        <v>133301.99415999997</v>
      </c>
      <c r="AF48" s="174">
        <f t="shared" si="19"/>
        <v>152546.1024044423</v>
      </c>
      <c r="AG48" s="174">
        <f t="shared" si="36"/>
        <v>13168434.306089997</v>
      </c>
      <c r="AH48" s="174">
        <f t="shared" si="20"/>
        <v>16033095.463053394</v>
      </c>
      <c r="AI48" s="192">
        <f>AH48/'Collections and ACP'!E55</f>
        <v>0.48679238902324568</v>
      </c>
      <c r="AJ48" s="172"/>
      <c r="AK48" s="172">
        <f t="shared" si="26"/>
        <v>8847036.9395024367</v>
      </c>
      <c r="AL48" s="172">
        <f t="shared" si="27"/>
        <v>7186058.5235509565</v>
      </c>
      <c r="AM48" s="105">
        <f t="shared" si="28"/>
        <v>0.55179843217983171</v>
      </c>
      <c r="AN48" s="105">
        <f t="shared" si="29"/>
        <v>0.44820156782016829</v>
      </c>
    </row>
    <row r="49" spans="1:40" x14ac:dyDescent="0.35">
      <c r="A49" s="177" t="s">
        <v>34</v>
      </c>
      <c r="B49" s="178">
        <f>'ABP Under Contract'!B48</f>
        <v>54409</v>
      </c>
      <c r="C49" s="178">
        <f>'ABP Under Contract'!C48</f>
        <v>78579</v>
      </c>
      <c r="D49" s="178">
        <f>'ABP Under Contract'!D48</f>
        <v>408376</v>
      </c>
      <c r="E49" s="178">
        <f>'ABP Under Contract'!E48</f>
        <v>4799</v>
      </c>
      <c r="F49" s="178">
        <f>'ABP Under Contract'!F48</f>
        <v>19343</v>
      </c>
      <c r="G49" s="178">
        <f>'ABP Under Contract'!G48</f>
        <v>226511</v>
      </c>
      <c r="H49" s="174">
        <f t="shared" si="21"/>
        <v>792017</v>
      </c>
      <c r="I49" s="30"/>
      <c r="J49" s="30"/>
      <c r="K49" s="30"/>
      <c r="L49" s="178">
        <f t="shared" ref="L49:L56" si="47">L20*$B$30</f>
        <v>0</v>
      </c>
      <c r="M49" s="30"/>
      <c r="N49" s="178">
        <f t="shared" si="32"/>
        <v>133222.57889315602</v>
      </c>
      <c r="O49" s="178">
        <f t="shared" si="32"/>
        <v>809461.54541098326</v>
      </c>
      <c r="P49" s="178">
        <f t="shared" si="32"/>
        <v>39274.56670542006</v>
      </c>
      <c r="Q49" s="178">
        <f t="shared" si="17"/>
        <v>17510.187174985291</v>
      </c>
      <c r="R49" s="174">
        <f t="shared" si="22"/>
        <v>999468.87818454462</v>
      </c>
      <c r="S49" s="174">
        <f t="shared" si="23"/>
        <v>1658263.2992913886</v>
      </c>
      <c r="T49" s="174">
        <f t="shared" si="15"/>
        <v>133222.57889315602</v>
      </c>
      <c r="U49" s="174">
        <f t="shared" si="16"/>
        <v>1791485.8781845446</v>
      </c>
      <c r="V49" s="174">
        <f t="shared" ref="V49:AD49" si="48">$B$30*V20</f>
        <v>492636.05421217694</v>
      </c>
      <c r="W49" s="174">
        <f t="shared" si="48"/>
        <v>537679.57383825979</v>
      </c>
      <c r="X49" s="174">
        <f t="shared" si="48"/>
        <v>830562.95355328138</v>
      </c>
      <c r="Y49" s="174">
        <f t="shared" si="48"/>
        <v>503359.71152692108</v>
      </c>
      <c r="Z49" s="174">
        <f t="shared" si="48"/>
        <v>130470.4170291749</v>
      </c>
      <c r="AA49" s="174">
        <f t="shared" si="48"/>
        <v>442652.023498027</v>
      </c>
      <c r="AB49" s="174">
        <f t="shared" si="48"/>
        <v>6516321.7936869785</v>
      </c>
      <c r="AC49" s="174">
        <f t="shared" si="48"/>
        <v>3393295.2943748236</v>
      </c>
      <c r="AD49" s="174">
        <f t="shared" si="48"/>
        <v>223877.2559970438</v>
      </c>
      <c r="AE49" s="174">
        <f t="shared" si="34"/>
        <v>133301.99415999997</v>
      </c>
      <c r="AF49" s="174">
        <f t="shared" si="19"/>
        <v>162729.42032196181</v>
      </c>
      <c r="AG49" s="174">
        <f t="shared" si="36"/>
        <v>13366886.492198648</v>
      </c>
      <c r="AH49" s="174">
        <f t="shared" si="20"/>
        <v>15158372.370383192</v>
      </c>
      <c r="AI49" s="192">
        <f>AH49/'Collections and ACP'!E56</f>
        <v>0.46023428955979762</v>
      </c>
      <c r="AJ49" s="172"/>
      <c r="AK49" s="172">
        <f t="shared" si="26"/>
        <v>8508827.9978030585</v>
      </c>
      <c r="AL49" s="172">
        <f t="shared" si="27"/>
        <v>6649544.3725801343</v>
      </c>
      <c r="AM49" s="105">
        <f t="shared" si="28"/>
        <v>0.56132860375087634</v>
      </c>
      <c r="AN49" s="105">
        <f t="shared" si="29"/>
        <v>0.43867139624912366</v>
      </c>
    </row>
    <row r="50" spans="1:40" x14ac:dyDescent="0.35">
      <c r="A50" s="177" t="s">
        <v>35</v>
      </c>
      <c r="B50" s="178">
        <f>'ABP Under Contract'!B49</f>
        <v>54135</v>
      </c>
      <c r="C50" s="178">
        <f>'ABP Under Contract'!C49</f>
        <v>74177</v>
      </c>
      <c r="D50" s="178">
        <f>'ABP Under Contract'!D49</f>
        <v>396048</v>
      </c>
      <c r="E50" s="178">
        <f>'ABP Under Contract'!E49</f>
        <v>4797</v>
      </c>
      <c r="F50" s="178">
        <f>'ABP Under Contract'!F49</f>
        <v>19247</v>
      </c>
      <c r="G50" s="178">
        <f>'ABP Under Contract'!G49</f>
        <v>225379</v>
      </c>
      <c r="H50" s="174">
        <f t="shared" si="21"/>
        <v>773783</v>
      </c>
      <c r="I50" s="30"/>
      <c r="J50" s="30"/>
      <c r="K50" s="30"/>
      <c r="L50" s="178">
        <f t="shared" si="47"/>
        <v>0</v>
      </c>
      <c r="M50" s="30"/>
      <c r="N50" s="178">
        <f t="shared" si="32"/>
        <v>133222.57889315602</v>
      </c>
      <c r="O50" s="178">
        <f t="shared" si="32"/>
        <v>805414.23768392834</v>
      </c>
      <c r="P50" s="178">
        <f t="shared" si="32"/>
        <v>39078.19387189296</v>
      </c>
      <c r="Q50" s="178">
        <f t="shared" si="17"/>
        <v>17422.636239110365</v>
      </c>
      <c r="R50" s="174">
        <f t="shared" si="22"/>
        <v>995137.64668808773</v>
      </c>
      <c r="S50" s="174">
        <f t="shared" si="23"/>
        <v>1635698.0677949316</v>
      </c>
      <c r="T50" s="174">
        <f t="shared" si="15"/>
        <v>133222.57889315602</v>
      </c>
      <c r="U50" s="174">
        <f t="shared" si="16"/>
        <v>1768920.6466880878</v>
      </c>
      <c r="V50" s="174">
        <f t="shared" ref="V50:AD50" si="49">$B$30*V21</f>
        <v>513648.82584627054</v>
      </c>
      <c r="W50" s="174">
        <f t="shared" si="49"/>
        <v>559985.26668197801</v>
      </c>
      <c r="X50" s="174">
        <f t="shared" si="49"/>
        <v>869325.00436059141</v>
      </c>
      <c r="Y50" s="174">
        <f t="shared" si="49"/>
        <v>522300.34575682471</v>
      </c>
      <c r="Z50" s="174">
        <f t="shared" si="49"/>
        <v>136970.54253987508</v>
      </c>
      <c r="AA50" s="174">
        <f t="shared" si="49"/>
        <v>452935.8087369916</v>
      </c>
      <c r="AB50" s="174">
        <f t="shared" si="49"/>
        <v>6805936.095628622</v>
      </c>
      <c r="AC50" s="174">
        <f t="shared" si="49"/>
        <v>3593539.5443591825</v>
      </c>
      <c r="AD50" s="174">
        <f t="shared" si="49"/>
        <v>237238.58481414078</v>
      </c>
      <c r="AE50" s="174">
        <f t="shared" si="34"/>
        <v>133301.99415999997</v>
      </c>
      <c r="AF50" s="174">
        <f t="shared" si="19"/>
        <v>172912.73823948132</v>
      </c>
      <c r="AG50" s="174">
        <f t="shared" si="36"/>
        <v>13998094.751123959</v>
      </c>
      <c r="AH50" s="174">
        <f t="shared" si="20"/>
        <v>15767015.397812046</v>
      </c>
      <c r="AI50" s="192">
        <f>AH50/'Collections and ACP'!E57</f>
        <v>0.47871374002319605</v>
      </c>
      <c r="AJ50" s="172"/>
      <c r="AK50" s="172">
        <f t="shared" si="26"/>
        <v>8827856.7232902665</v>
      </c>
      <c r="AL50" s="172">
        <f t="shared" si="27"/>
        <v>6939158.6745217778</v>
      </c>
      <c r="AM50" s="105">
        <f t="shared" si="28"/>
        <v>0.55989396220893461</v>
      </c>
      <c r="AN50" s="105">
        <f t="shared" si="29"/>
        <v>0.44010603779106539</v>
      </c>
    </row>
    <row r="51" spans="1:40" x14ac:dyDescent="0.35">
      <c r="A51" s="177" t="s">
        <v>36</v>
      </c>
      <c r="B51" s="178">
        <f>'ABP Under Contract'!B50</f>
        <v>50108</v>
      </c>
      <c r="C51" s="178">
        <f>'ABP Under Contract'!C50</f>
        <v>67678</v>
      </c>
      <c r="D51" s="178">
        <f>'ABP Under Contract'!D50</f>
        <v>395528</v>
      </c>
      <c r="E51" s="178">
        <f>'ABP Under Contract'!E50</f>
        <v>4796</v>
      </c>
      <c r="F51" s="178">
        <f>'ABP Under Contract'!F50</f>
        <v>19151</v>
      </c>
      <c r="G51" s="178">
        <f>'ABP Under Contract'!G50</f>
        <v>224252</v>
      </c>
      <c r="H51" s="174">
        <f t="shared" si="21"/>
        <v>761513</v>
      </c>
      <c r="I51" s="30"/>
      <c r="J51" s="30"/>
      <c r="K51" s="30"/>
      <c r="L51" s="178">
        <f t="shared" si="47"/>
        <v>0</v>
      </c>
      <c r="M51" s="30"/>
      <c r="N51" s="178">
        <f t="shared" si="32"/>
        <v>133222.57889315602</v>
      </c>
      <c r="O51" s="178">
        <f t="shared" si="32"/>
        <v>801387.16649550875</v>
      </c>
      <c r="P51" s="178">
        <f t="shared" si="32"/>
        <v>38882.802902533491</v>
      </c>
      <c r="Q51" s="178">
        <f t="shared" si="17"/>
        <v>17335.523057914812</v>
      </c>
      <c r="R51" s="174">
        <f t="shared" si="22"/>
        <v>990828.07134911302</v>
      </c>
      <c r="S51" s="174">
        <f t="shared" si="23"/>
        <v>1619118.492455957</v>
      </c>
      <c r="T51" s="174">
        <f t="shared" si="15"/>
        <v>133222.57889315602</v>
      </c>
      <c r="U51" s="174">
        <f t="shared" si="16"/>
        <v>1752341.071349113</v>
      </c>
      <c r="V51" s="174">
        <f t="shared" ref="V51:AD51" si="50">$B$30*V22</f>
        <v>534556.53362219362</v>
      </c>
      <c r="W51" s="174">
        <f t="shared" si="50"/>
        <v>582179.4310614774</v>
      </c>
      <c r="X51" s="174">
        <f t="shared" si="50"/>
        <v>907893.24491386488</v>
      </c>
      <c r="Y51" s="174">
        <f t="shared" si="50"/>
        <v>541146.27681557892</v>
      </c>
      <c r="Z51" s="174">
        <f t="shared" si="50"/>
        <v>143438.16742302183</v>
      </c>
      <c r="AA51" s="174">
        <f t="shared" si="50"/>
        <v>463168.17504976137</v>
      </c>
      <c r="AB51" s="174">
        <f t="shared" si="50"/>
        <v>7095550.3975702655</v>
      </c>
      <c r="AC51" s="174">
        <f t="shared" si="50"/>
        <v>3792782.5730936192</v>
      </c>
      <c r="AD51" s="174">
        <f t="shared" si="50"/>
        <v>250533.10698715225</v>
      </c>
      <c r="AE51" s="174">
        <f t="shared" si="34"/>
        <v>133301.99415999997</v>
      </c>
      <c r="AF51" s="174">
        <f t="shared" si="19"/>
        <v>183096.05615700083</v>
      </c>
      <c r="AG51" s="174">
        <f t="shared" si="36"/>
        <v>14627645.956853935</v>
      </c>
      <c r="AH51" s="174">
        <f t="shared" si="20"/>
        <v>16379987.028203048</v>
      </c>
      <c r="AI51" s="192">
        <f>AH51/'Collections and ACP'!E58</f>
        <v>0.49732461432685865</v>
      </c>
      <c r="AJ51" s="172"/>
      <c r="AK51" s="172">
        <f t="shared" si="26"/>
        <v>9151214.0517396275</v>
      </c>
      <c r="AL51" s="172">
        <f t="shared" si="27"/>
        <v>7228772.9764634212</v>
      </c>
      <c r="AM51" s="105">
        <f t="shared" si="28"/>
        <v>0.55868261897784621</v>
      </c>
      <c r="AN51" s="105">
        <f t="shared" si="29"/>
        <v>0.44131738102215379</v>
      </c>
    </row>
    <row r="52" spans="1:40" x14ac:dyDescent="0.35">
      <c r="A52" s="177" t="s">
        <v>37</v>
      </c>
      <c r="B52" s="178">
        <f>'ABP Under Contract'!B51</f>
        <v>47698</v>
      </c>
      <c r="C52" s="178">
        <f>'ABP Under Contract'!C51</f>
        <v>56491</v>
      </c>
      <c r="D52" s="178">
        <f>'ABP Under Contract'!D51</f>
        <v>395012</v>
      </c>
      <c r="E52" s="178">
        <f>'ABP Under Contract'!E51</f>
        <v>4794</v>
      </c>
      <c r="F52" s="178">
        <f>'ABP Under Contract'!F51</f>
        <v>19055</v>
      </c>
      <c r="G52" s="178">
        <f>'ABP Under Contract'!G51</f>
        <v>223129</v>
      </c>
      <c r="H52" s="174">
        <f t="shared" si="21"/>
        <v>746179</v>
      </c>
      <c r="I52" s="30"/>
      <c r="J52" s="30"/>
      <c r="K52" s="30"/>
      <c r="L52" s="178">
        <f t="shared" si="47"/>
        <v>0</v>
      </c>
      <c r="M52" s="30"/>
      <c r="N52" s="178">
        <f t="shared" si="32"/>
        <v>133222.57889315602</v>
      </c>
      <c r="O52" s="178">
        <f t="shared" si="32"/>
        <v>797380.23066303111</v>
      </c>
      <c r="P52" s="178">
        <f t="shared" si="32"/>
        <v>38688.388888020818</v>
      </c>
      <c r="Q52" s="178">
        <f t="shared" si="17"/>
        <v>17248.845442625239</v>
      </c>
      <c r="R52" s="174">
        <f t="shared" si="22"/>
        <v>986540.04388683313</v>
      </c>
      <c r="S52" s="174">
        <f t="shared" si="23"/>
        <v>1599496.4649936771</v>
      </c>
      <c r="T52" s="174">
        <f t="shared" si="15"/>
        <v>133222.57889315602</v>
      </c>
      <c r="U52" s="174">
        <f t="shared" si="16"/>
        <v>1732719.0438868331</v>
      </c>
      <c r="V52" s="174">
        <f t="shared" ref="V52:AD52" si="51">$B$30*V23</f>
        <v>514454.12200142024</v>
      </c>
      <c r="W52" s="174">
        <f t="shared" si="51"/>
        <v>547722.75240990112</v>
      </c>
      <c r="X52" s="174">
        <f t="shared" si="51"/>
        <v>946268.64426437218</v>
      </c>
      <c r="Y52" s="174">
        <f t="shared" si="51"/>
        <v>462117.6114580477</v>
      </c>
      <c r="Z52" s="174">
        <f t="shared" si="51"/>
        <v>149873.45418175281</v>
      </c>
      <c r="AA52" s="174">
        <f t="shared" si="51"/>
        <v>429587.91065600899</v>
      </c>
      <c r="AB52" s="174">
        <f t="shared" si="51"/>
        <v>7385164.6995119089</v>
      </c>
      <c r="AC52" s="174">
        <f t="shared" si="51"/>
        <v>3991029.3866843837</v>
      </c>
      <c r="AD52" s="174">
        <f t="shared" si="51"/>
        <v>263761.15654929867</v>
      </c>
      <c r="AE52" s="174">
        <f t="shared" si="34"/>
        <v>133301.99415999997</v>
      </c>
      <c r="AF52" s="174">
        <f t="shared" si="19"/>
        <v>193279.37407452034</v>
      </c>
      <c r="AG52" s="174">
        <f t="shared" si="36"/>
        <v>15016561.105951615</v>
      </c>
      <c r="AH52" s="174">
        <f t="shared" si="20"/>
        <v>16749280.149838448</v>
      </c>
      <c r="AI52" s="192">
        <f>AH52/'Collections and ACP'!E59</f>
        <v>0.50853698946333847</v>
      </c>
      <c r="AJ52" s="172"/>
      <c r="AK52" s="172">
        <f t="shared" si="26"/>
        <v>9230892.8714333829</v>
      </c>
      <c r="AL52" s="172">
        <f t="shared" si="27"/>
        <v>7518387.2784050647</v>
      </c>
      <c r="AM52" s="105">
        <f t="shared" si="28"/>
        <v>0.55112176695679771</v>
      </c>
      <c r="AN52" s="105">
        <f t="shared" si="29"/>
        <v>0.44887823304320229</v>
      </c>
    </row>
    <row r="53" spans="1:40" x14ac:dyDescent="0.35">
      <c r="A53" s="177" t="s">
        <v>38</v>
      </c>
      <c r="B53" s="178">
        <f>'ABP Under Contract'!B52</f>
        <v>47549</v>
      </c>
      <c r="C53" s="178">
        <f>'ABP Under Contract'!C52</f>
        <v>56402</v>
      </c>
      <c r="D53" s="178">
        <f>'ABP Under Contract'!D52</f>
        <v>394494</v>
      </c>
      <c r="E53" s="178">
        <f>'ABP Under Contract'!E52</f>
        <v>4793</v>
      </c>
      <c r="F53" s="178" t="str">
        <f>'ABP Under Contract'!F52</f>
        <v> </v>
      </c>
      <c r="G53" s="178">
        <f>'ABP Under Contract'!G52</f>
        <v>222017</v>
      </c>
      <c r="H53" s="174">
        <f t="shared" si="21"/>
        <v>725255</v>
      </c>
      <c r="I53" s="30"/>
      <c r="J53" s="30"/>
      <c r="K53" s="30"/>
      <c r="L53" s="178">
        <f t="shared" si="47"/>
        <v>0</v>
      </c>
      <c r="M53" s="30"/>
      <c r="N53" s="178">
        <f t="shared" si="32"/>
        <v>133222.57889315602</v>
      </c>
      <c r="O53" s="178">
        <f t="shared" si="32"/>
        <v>793393.3295097159</v>
      </c>
      <c r="P53" s="178">
        <f t="shared" si="32"/>
        <v>38494.946943580726</v>
      </c>
      <c r="Q53" s="178">
        <f t="shared" si="17"/>
        <v>17162.601215412109</v>
      </c>
      <c r="R53" s="174">
        <f t="shared" si="22"/>
        <v>982273.45656186482</v>
      </c>
      <c r="S53" s="174">
        <f t="shared" si="23"/>
        <v>1574305.8776687088</v>
      </c>
      <c r="T53" s="174">
        <f t="shared" si="15"/>
        <v>133222.57889315602</v>
      </c>
      <c r="U53" s="174">
        <f t="shared" si="16"/>
        <v>1707528.4565618648</v>
      </c>
      <c r="V53" s="174">
        <f t="shared" ref="V53:AD53" si="52">$B$30*V24</f>
        <v>496161.78719532053</v>
      </c>
      <c r="W53" s="174">
        <f t="shared" si="52"/>
        <v>528247.49205233587</v>
      </c>
      <c r="X53" s="174">
        <f t="shared" si="52"/>
        <v>984452.16661812691</v>
      </c>
      <c r="Y53" s="174">
        <f t="shared" si="52"/>
        <v>481264.45618829568</v>
      </c>
      <c r="Z53" s="174">
        <f t="shared" si="52"/>
        <v>156276.56450669016</v>
      </c>
      <c r="AA53" s="174">
        <f t="shared" si="52"/>
        <v>393569.5305609334</v>
      </c>
      <c r="AB53" s="174">
        <f t="shared" si="52"/>
        <v>7674779.0014535524</v>
      </c>
      <c r="AC53" s="174">
        <f t="shared" si="52"/>
        <v>4188284.9662071941</v>
      </c>
      <c r="AD53" s="174">
        <f t="shared" si="52"/>
        <v>276923.06586363429</v>
      </c>
      <c r="AE53" s="174">
        <f t="shared" si="34"/>
        <v>133301.99415999997</v>
      </c>
      <c r="AF53" s="174">
        <f t="shared" si="19"/>
        <v>203462.69199203985</v>
      </c>
      <c r="AG53" s="174">
        <f t="shared" si="36"/>
        <v>15516723.716798125</v>
      </c>
      <c r="AH53" s="174">
        <f t="shared" si="20"/>
        <v>17224252.17335999</v>
      </c>
      <c r="AI53" s="192">
        <f>AH53/'Collections and ACP'!E60</f>
        <v>0.52295795805184742</v>
      </c>
      <c r="AJ53" s="172"/>
      <c r="AK53" s="172">
        <f t="shared" si="26"/>
        <v>9416250.593013281</v>
      </c>
      <c r="AL53" s="172">
        <f t="shared" si="27"/>
        <v>7808001.5803467082</v>
      </c>
      <c r="AM53" s="105">
        <f t="shared" si="28"/>
        <v>0.54668559762362223</v>
      </c>
      <c r="AN53" s="105">
        <f t="shared" si="29"/>
        <v>0.45331440237637777</v>
      </c>
    </row>
    <row r="54" spans="1:40" x14ac:dyDescent="0.35">
      <c r="A54" s="177" t="s">
        <v>39</v>
      </c>
      <c r="B54" s="178">
        <f>'ABP Under Contract'!B53</f>
        <v>39562</v>
      </c>
      <c r="C54" s="178">
        <f>'ABP Under Contract'!C53</f>
        <v>55034</v>
      </c>
      <c r="D54" s="178">
        <f>'ABP Under Contract'!D53</f>
        <v>393981</v>
      </c>
      <c r="E54" s="178">
        <f>'ABP Under Contract'!E53</f>
        <v>4792</v>
      </c>
      <c r="F54" s="178" t="str">
        <f>'ABP Under Contract'!F53</f>
        <v> </v>
      </c>
      <c r="G54" s="178">
        <f>'ABP Under Contract'!G53</f>
        <v>220905</v>
      </c>
      <c r="H54" s="174">
        <f t="shared" si="21"/>
        <v>714274</v>
      </c>
      <c r="I54" s="30"/>
      <c r="J54" s="30"/>
      <c r="K54" s="30"/>
      <c r="L54" s="178">
        <f t="shared" si="47"/>
        <v>0</v>
      </c>
      <c r="M54" s="30"/>
      <c r="N54" s="178">
        <f t="shared" si="32"/>
        <v>133222.57889315602</v>
      </c>
      <c r="O54" s="178">
        <f t="shared" si="32"/>
        <v>789426.36286216741</v>
      </c>
      <c r="P54" s="178">
        <f t="shared" si="32"/>
        <v>38302.472208862819</v>
      </c>
      <c r="Q54" s="178">
        <f t="shared" si="17"/>
        <v>17076.788209335049</v>
      </c>
      <c r="R54" s="174">
        <f t="shared" si="22"/>
        <v>978028.20217352128</v>
      </c>
      <c r="S54" s="174">
        <f t="shared" si="23"/>
        <v>1559079.6232803653</v>
      </c>
      <c r="T54" s="174">
        <f t="shared" si="15"/>
        <v>133222.57889315602</v>
      </c>
      <c r="U54" s="174">
        <f t="shared" si="16"/>
        <v>1692302.2021735213</v>
      </c>
      <c r="V54" s="174">
        <f t="shared" ref="V54:AD54" si="53">$B$30*V25</f>
        <v>477960.91406325134</v>
      </c>
      <c r="W54" s="174">
        <f t="shared" si="53"/>
        <v>508869.6079965583</v>
      </c>
      <c r="X54" s="174">
        <f t="shared" si="53"/>
        <v>1022444.7713601127</v>
      </c>
      <c r="Y54" s="174">
        <f t="shared" si="53"/>
        <v>500315.56669489259</v>
      </c>
      <c r="Z54" s="174">
        <f t="shared" si="53"/>
        <v>152032.59325108255</v>
      </c>
      <c r="AA54" s="174">
        <f t="shared" si="53"/>
        <v>357731.24236633308</v>
      </c>
      <c r="AB54" s="174">
        <f t="shared" si="53"/>
        <v>8398814.7563076615</v>
      </c>
      <c r="AC54" s="174">
        <f t="shared" si="53"/>
        <v>4384554.267832391</v>
      </c>
      <c r="AD54" s="174">
        <f t="shared" si="53"/>
        <v>290019.16563139827</v>
      </c>
      <c r="AE54" s="174">
        <f t="shared" si="34"/>
        <v>133301.99415999997</v>
      </c>
      <c r="AF54" s="174">
        <f t="shared" si="19"/>
        <v>213646.00990955933</v>
      </c>
      <c r="AG54" s="174">
        <f t="shared" si="36"/>
        <v>16439690.889573241</v>
      </c>
      <c r="AH54" s="174">
        <f t="shared" si="20"/>
        <v>18131993.091746762</v>
      </c>
      <c r="AI54" s="192">
        <f>AH54/'Collections and ACP'!E61</f>
        <v>0.55051853556440078</v>
      </c>
      <c r="AJ54" s="172"/>
      <c r="AK54" s="172">
        <f t="shared" si="26"/>
        <v>9599955.756545946</v>
      </c>
      <c r="AL54" s="172">
        <f t="shared" si="27"/>
        <v>8532037.3352008183</v>
      </c>
      <c r="AM54" s="105">
        <f t="shared" si="28"/>
        <v>0.52944845654698658</v>
      </c>
      <c r="AN54" s="105">
        <f t="shared" si="29"/>
        <v>0.47055154345301342</v>
      </c>
    </row>
    <row r="55" spans="1:40" x14ac:dyDescent="0.35">
      <c r="A55" s="177" t="s">
        <v>40</v>
      </c>
      <c r="B55" s="178">
        <f>'ABP Under Contract'!B54</f>
        <v>18972</v>
      </c>
      <c r="C55" s="178">
        <f>'ABP Under Contract'!C54</f>
        <v>12334</v>
      </c>
      <c r="D55" s="178">
        <f>'ABP Under Contract'!D54</f>
        <v>337246</v>
      </c>
      <c r="E55" s="178">
        <f>'ABP Under Contract'!E54</f>
        <v>4790</v>
      </c>
      <c r="F55" s="178" t="str">
        <f>'ABP Under Contract'!F54</f>
        <v> </v>
      </c>
      <c r="G55" s="178">
        <f>'ABP Under Contract'!G54</f>
        <v>219798</v>
      </c>
      <c r="H55" s="174">
        <f t="shared" si="21"/>
        <v>593140</v>
      </c>
      <c r="I55" s="30"/>
      <c r="J55" s="30"/>
      <c r="K55" s="30"/>
      <c r="L55" s="178">
        <f t="shared" si="47"/>
        <v>0</v>
      </c>
      <c r="M55" s="30"/>
      <c r="N55" s="178">
        <f t="shared" si="32"/>
        <v>133222.57889315602</v>
      </c>
      <c r="O55" s="178">
        <f t="shared" si="32"/>
        <v>785479.23104785639</v>
      </c>
      <c r="P55" s="178">
        <f t="shared" si="32"/>
        <v>38110.959847818507</v>
      </c>
      <c r="Q55" s="178">
        <f t="shared" si="17"/>
        <v>16991.404268288374</v>
      </c>
      <c r="R55" s="174">
        <f t="shared" si="22"/>
        <v>973804.17405711929</v>
      </c>
      <c r="S55" s="174">
        <f t="shared" si="23"/>
        <v>1433721.5951639633</v>
      </c>
      <c r="T55" s="174">
        <f t="shared" si="15"/>
        <v>133222.57889315602</v>
      </c>
      <c r="U55" s="174">
        <f t="shared" si="16"/>
        <v>1566944.1740571193</v>
      </c>
      <c r="V55" s="174">
        <f t="shared" ref="V55:AD55" si="54">$B$30*V26</f>
        <v>436375.09339168813</v>
      </c>
      <c r="W55" s="174">
        <f t="shared" si="54"/>
        <v>464594.52264815016</v>
      </c>
      <c r="X55" s="174">
        <f t="shared" si="54"/>
        <v>1060247.4130783887</v>
      </c>
      <c r="Y55" s="174">
        <f t="shared" si="54"/>
        <v>497813.9888614181</v>
      </c>
      <c r="Z55" s="174">
        <f t="shared" si="54"/>
        <v>147809.84185175298</v>
      </c>
      <c r="AA55" s="174">
        <f t="shared" si="54"/>
        <v>309575.10025625123</v>
      </c>
      <c r="AB55" s="174">
        <f t="shared" si="54"/>
        <v>8254007.6053368403</v>
      </c>
      <c r="AC55" s="174">
        <f t="shared" si="54"/>
        <v>4579842.2229494611</v>
      </c>
      <c r="AD55" s="174">
        <f t="shared" si="54"/>
        <v>303049.78490032349</v>
      </c>
      <c r="AE55" s="174">
        <f t="shared" si="34"/>
        <v>133301.99415999997</v>
      </c>
      <c r="AF55" s="174">
        <f t="shared" si="19"/>
        <v>223829.32782707887</v>
      </c>
      <c r="AG55" s="174">
        <f t="shared" si="36"/>
        <v>16410446.895261353</v>
      </c>
      <c r="AH55" s="174">
        <f t="shared" si="20"/>
        <v>17977391.069318473</v>
      </c>
      <c r="AI55" s="192"/>
      <c r="AJ55" s="172"/>
      <c r="AK55" s="172">
        <f t="shared" si="26"/>
        <v>9590160.8850884773</v>
      </c>
      <c r="AL55" s="172">
        <f t="shared" si="27"/>
        <v>8387230.1842299961</v>
      </c>
      <c r="AM55" s="105">
        <f t="shared" si="28"/>
        <v>0.53345676511736706</v>
      </c>
      <c r="AN55" s="105">
        <f t="shared" si="29"/>
        <v>0.46654323488263294</v>
      </c>
    </row>
    <row r="56" spans="1:40" x14ac:dyDescent="0.35">
      <c r="A56" s="190" t="s">
        <v>165</v>
      </c>
      <c r="B56" s="187"/>
      <c r="C56" s="187"/>
      <c r="D56" s="187"/>
      <c r="E56" s="187"/>
      <c r="F56" s="187"/>
      <c r="G56" s="187"/>
      <c r="H56" s="186"/>
      <c r="I56" s="171"/>
      <c r="J56" s="171"/>
      <c r="K56" s="171"/>
      <c r="L56" s="178">
        <f t="shared" si="47"/>
        <v>0</v>
      </c>
      <c r="M56" s="171"/>
      <c r="N56" s="178">
        <f t="shared" si="32"/>
        <v>133222.57889315602</v>
      </c>
      <c r="O56" s="178">
        <f t="shared" si="32"/>
        <v>784067.44627315877</v>
      </c>
      <c r="P56" s="178">
        <f t="shared" si="32"/>
        <v>37997.649489506184</v>
      </c>
      <c r="Q56" s="187"/>
      <c r="R56" s="174">
        <f>SUM(I56:Q56)</f>
        <v>955287.67465582094</v>
      </c>
      <c r="S56" s="174">
        <f t="shared" si="23"/>
        <v>822065.09576266492</v>
      </c>
      <c r="T56" s="174">
        <f t="shared" si="15"/>
        <v>133222.57889315602</v>
      </c>
      <c r="U56" s="174">
        <f t="shared" si="16"/>
        <v>955287.67465582094</v>
      </c>
      <c r="V56" s="174">
        <f t="shared" ref="V56:AD56" si="55">$B$30*V27</f>
        <v>394997.20182348264</v>
      </c>
      <c r="W56" s="174">
        <f t="shared" si="55"/>
        <v>420540.81272648426</v>
      </c>
      <c r="X56" s="174">
        <f t="shared" si="55"/>
        <v>1054946.1760129968</v>
      </c>
      <c r="Y56" s="174">
        <f t="shared" si="55"/>
        <v>495324.91891711095</v>
      </c>
      <c r="Z56" s="174">
        <f t="shared" si="55"/>
        <v>136455.72661357396</v>
      </c>
      <c r="AA56" s="174">
        <f t="shared" si="55"/>
        <v>261659.73885671969</v>
      </c>
      <c r="AB56" s="174">
        <f t="shared" si="55"/>
        <v>8543621.9072784837</v>
      </c>
      <c r="AC56" s="174">
        <f t="shared" si="55"/>
        <v>4775240.0815375298</v>
      </c>
      <c r="AD56" s="174">
        <f t="shared" si="55"/>
        <v>316015.2510729041</v>
      </c>
      <c r="AE56" s="174">
        <f t="shared" si="34"/>
        <v>0</v>
      </c>
      <c r="AF56" s="174">
        <f t="shared" si="19"/>
        <v>0</v>
      </c>
      <c r="AG56" s="174">
        <f t="shared" si="36"/>
        <v>16398801.814839287</v>
      </c>
      <c r="AH56" s="174">
        <f t="shared" ref="AH56" si="56">H56+R56+AG56</f>
        <v>17354089.489495106</v>
      </c>
      <c r="AI56" s="192"/>
      <c r="AK56" s="172">
        <f t="shared" si="26"/>
        <v>8677245.0033234674</v>
      </c>
      <c r="AL56" s="172">
        <f t="shared" si="27"/>
        <v>8676844.4861716405</v>
      </c>
      <c r="AM56" s="105">
        <f t="shared" si="28"/>
        <v>0.50001153956109512</v>
      </c>
      <c r="AN56" s="105">
        <f t="shared" si="29"/>
        <v>0.49998846043890488</v>
      </c>
    </row>
    <row r="57" spans="1:40" x14ac:dyDescent="0.35">
      <c r="C57" t="s">
        <v>225</v>
      </c>
    </row>
    <row r="58" spans="1:40" x14ac:dyDescent="0.35">
      <c r="A58" s="177" t="s">
        <v>43</v>
      </c>
      <c r="B58" s="22">
        <v>0.70538159360122976</v>
      </c>
      <c r="C58" s="22">
        <v>0.71035999999999999</v>
      </c>
    </row>
    <row r="59" spans="1:40" ht="29" x14ac:dyDescent="0.35">
      <c r="A59" s="184" t="s">
        <v>1</v>
      </c>
      <c r="B59" s="184" t="str">
        <f t="shared" ref="B59:G59" si="57">B2</f>
        <v>Small DG</v>
      </c>
      <c r="C59" s="184" t="str">
        <f t="shared" si="57"/>
        <v>Large DG</v>
      </c>
      <c r="D59" s="184" t="str">
        <f t="shared" si="57"/>
        <v>Traditional CS</v>
      </c>
      <c r="E59" s="184" t="str">
        <f t="shared" si="57"/>
        <v xml:space="preserve"> Public Schools </v>
      </c>
      <c r="F59" s="184" t="str">
        <f t="shared" si="57"/>
        <v xml:space="preserve"> CDCS </v>
      </c>
      <c r="G59" s="184" t="str">
        <f t="shared" si="57"/>
        <v xml:space="preserve"> EEC </v>
      </c>
      <c r="H59" s="24" t="s">
        <v>211</v>
      </c>
      <c r="I59" s="184" t="s">
        <v>212</v>
      </c>
      <c r="J59" s="184" t="s">
        <v>213</v>
      </c>
      <c r="K59" s="184" t="s">
        <v>214</v>
      </c>
      <c r="L59" s="184" t="s">
        <v>234</v>
      </c>
      <c r="M59" s="184" t="s">
        <v>235</v>
      </c>
      <c r="N59" s="184" t="s">
        <v>217</v>
      </c>
      <c r="O59" s="184" t="s">
        <v>218</v>
      </c>
      <c r="P59" s="184" t="s">
        <v>219</v>
      </c>
      <c r="Q59" s="240" t="s">
        <v>220</v>
      </c>
      <c r="R59" s="24" t="s">
        <v>221</v>
      </c>
      <c r="S59" s="24" t="s">
        <v>222</v>
      </c>
      <c r="T59" s="24" t="s">
        <v>223</v>
      </c>
      <c r="U59" s="24" t="s">
        <v>224</v>
      </c>
      <c r="V59" s="184" t="s">
        <v>131</v>
      </c>
      <c r="W59" s="184" t="s">
        <v>137</v>
      </c>
      <c r="X59" s="25" t="s">
        <v>146</v>
      </c>
      <c r="Y59" s="184" t="s">
        <v>151</v>
      </c>
      <c r="Z59" s="25" t="s">
        <v>155</v>
      </c>
      <c r="AA59" s="25" t="s">
        <v>158</v>
      </c>
      <c r="AB59" s="184" t="s">
        <v>87</v>
      </c>
      <c r="AC59" s="184" t="s">
        <v>88</v>
      </c>
      <c r="AD59" s="184" t="s">
        <v>83</v>
      </c>
      <c r="AE59" s="184" t="s">
        <v>225</v>
      </c>
      <c r="AF59" s="25" t="s">
        <v>226</v>
      </c>
      <c r="AG59" s="193" t="s">
        <v>227</v>
      </c>
      <c r="AH59" s="24" t="s">
        <v>228</v>
      </c>
      <c r="AI59" s="24" t="s">
        <v>229</v>
      </c>
      <c r="AK59" s="76" t="s">
        <v>230</v>
      </c>
      <c r="AL59" s="76" t="s">
        <v>231</v>
      </c>
      <c r="AM59" t="s">
        <v>232</v>
      </c>
      <c r="AN59" t="s">
        <v>233</v>
      </c>
    </row>
    <row r="60" spans="1:40" x14ac:dyDescent="0.35">
      <c r="A60" s="184"/>
      <c r="B60" s="184"/>
      <c r="C60" s="184"/>
      <c r="D60" s="184"/>
      <c r="E60" s="184"/>
      <c r="F60" s="184"/>
      <c r="G60" s="184"/>
      <c r="H60" s="24"/>
      <c r="I60" s="184"/>
      <c r="J60" s="184"/>
      <c r="K60" s="184"/>
      <c r="L60" s="184"/>
      <c r="M60" s="184"/>
      <c r="N60" s="184"/>
      <c r="O60" s="184"/>
      <c r="P60" s="184"/>
      <c r="Q60" s="240"/>
      <c r="R60" s="24"/>
      <c r="S60" s="174"/>
      <c r="T60" s="174">
        <f t="shared" ref="T60:T84" si="58">I60+L60+N60</f>
        <v>0</v>
      </c>
      <c r="U60" s="174">
        <f t="shared" ref="U60:U84" si="59">H60+R60</f>
        <v>0</v>
      </c>
      <c r="V60" s="184"/>
      <c r="W60" s="184"/>
      <c r="X60" s="25"/>
      <c r="Y60" s="184"/>
      <c r="Z60" s="25"/>
      <c r="AA60" s="25"/>
      <c r="AB60" s="184"/>
      <c r="AC60" s="184"/>
      <c r="AD60" s="184"/>
      <c r="AE60" s="184"/>
      <c r="AF60" s="25"/>
      <c r="AG60" s="24"/>
      <c r="AH60" s="24"/>
      <c r="AI60" s="24"/>
    </row>
    <row r="61" spans="1:40" x14ac:dyDescent="0.35">
      <c r="A61" s="177" t="s">
        <v>17</v>
      </c>
      <c r="B61" s="178">
        <f>'ABP Under Contract'!B62</f>
        <v>45717</v>
      </c>
      <c r="C61" s="178">
        <f>'ABP Under Contract'!C62</f>
        <v>58346</v>
      </c>
      <c r="D61" s="178">
        <f>'ABP Under Contract'!D62</f>
        <v>1333</v>
      </c>
      <c r="E61" s="178" t="str">
        <f>'ABP Under Contract'!E62</f>
        <v xml:space="preserve">                -   </v>
      </c>
      <c r="F61" s="178" t="str">
        <f>'ABP Under Contract'!F62</f>
        <v xml:space="preserve">                -   </v>
      </c>
      <c r="G61" s="178" t="str">
        <f>'ABP Under Contract'!G62</f>
        <v xml:space="preserve">                -   </v>
      </c>
      <c r="H61" s="174">
        <f>SUM(B61:G61)</f>
        <v>105396</v>
      </c>
      <c r="I61" s="178">
        <v>1261725</v>
      </c>
      <c r="J61" s="178"/>
      <c r="K61" s="178">
        <v>0</v>
      </c>
      <c r="L61" s="178">
        <v>513482</v>
      </c>
      <c r="M61" s="178">
        <v>18445</v>
      </c>
      <c r="N61" s="178"/>
      <c r="O61" s="178"/>
      <c r="P61" s="178"/>
      <c r="Q61" s="178">
        <f t="shared" ref="Q61:Q83" si="60">Q4*$B$58</f>
        <v>41103.714069693422</v>
      </c>
      <c r="R61" s="174">
        <f t="shared" ref="R61:R83" si="61">SUM(I61:Q61)</f>
        <v>1834755.7140696933</v>
      </c>
      <c r="S61" s="174">
        <f>H61+J61+K61+M61+O61+P61+Q61</f>
        <v>164944.71406969341</v>
      </c>
      <c r="T61" s="174">
        <f>I61+L61+N61</f>
        <v>1775207</v>
      </c>
      <c r="U61" s="174">
        <f t="shared" si="59"/>
        <v>1940151.7140696933</v>
      </c>
      <c r="V61" s="174">
        <f t="shared" ref="V61:AD61" si="62">$B$58*V4</f>
        <v>0</v>
      </c>
      <c r="W61" s="174">
        <f t="shared" si="62"/>
        <v>0</v>
      </c>
      <c r="X61" s="174">
        <f t="shared" si="62"/>
        <v>0</v>
      </c>
      <c r="Y61" s="174">
        <f t="shared" si="62"/>
        <v>0</v>
      </c>
      <c r="Z61" s="174">
        <f t="shared" si="62"/>
        <v>0</v>
      </c>
      <c r="AA61" s="174">
        <f t="shared" si="62"/>
        <v>0</v>
      </c>
      <c r="AB61" s="174">
        <f t="shared" si="62"/>
        <v>0</v>
      </c>
      <c r="AC61" s="174">
        <f t="shared" si="62"/>
        <v>0</v>
      </c>
      <c r="AD61" s="174">
        <f t="shared" si="62"/>
        <v>0</v>
      </c>
      <c r="AE61" s="174"/>
      <c r="AF61" s="174">
        <f t="shared" ref="AF61:AF83" si="63">AF4*$B$58</f>
        <v>0</v>
      </c>
      <c r="AG61" s="174">
        <f>SUM(V61:AF61)</f>
        <v>0</v>
      </c>
      <c r="AH61" s="174">
        <f t="shared" ref="AH61:AH83" si="64">H61+R61+AG61</f>
        <v>1940151.7140696933</v>
      </c>
      <c r="AI61" s="192">
        <f>AH61/'Collections and ACP'!E73</f>
        <v>2.3115819438641261E-2</v>
      </c>
      <c r="AK61" s="172">
        <f>H61+J61+K61+M61+Q61+V61+W61+X61+Y61+Z61+AA61+AC61+AD61+AF61+O61+P61+AE61</f>
        <v>164944.71406969341</v>
      </c>
      <c r="AL61" s="172">
        <f>I61+L61+AB61+N61</f>
        <v>1775207</v>
      </c>
      <c r="AM61" s="105">
        <f>AK61/(AK61+AL61)</f>
        <v>8.5016399941065815E-2</v>
      </c>
      <c r="AN61" s="105">
        <f>1-AM61</f>
        <v>0.9149836000589342</v>
      </c>
    </row>
    <row r="62" spans="1:40" x14ac:dyDescent="0.35">
      <c r="A62" s="177" t="s">
        <v>18</v>
      </c>
      <c r="B62" s="178">
        <f>'ABP Under Contract'!B63</f>
        <v>88889</v>
      </c>
      <c r="C62" s="178">
        <f>'ABP Under Contract'!C63</f>
        <v>110615</v>
      </c>
      <c r="D62" s="178">
        <f>'ABP Under Contract'!D63</f>
        <v>183177</v>
      </c>
      <c r="E62" s="178" t="str">
        <f>'ABP Under Contract'!E63</f>
        <v xml:space="preserve">                -   </v>
      </c>
      <c r="F62" s="178" t="str">
        <f>'ABP Under Contract'!F63</f>
        <v xml:space="preserve">                -   </v>
      </c>
      <c r="G62" s="178" t="str">
        <f>'ABP Under Contract'!G63</f>
        <v xml:space="preserve">                -   </v>
      </c>
      <c r="H62" s="174">
        <f t="shared" ref="H62:H83" si="65">SUM(B62:G62)</f>
        <v>382681</v>
      </c>
      <c r="I62" s="178">
        <v>1261725</v>
      </c>
      <c r="J62" s="178"/>
      <c r="K62" s="178">
        <v>18445</v>
      </c>
      <c r="L62" s="178">
        <v>1452887</v>
      </c>
      <c r="M62" s="178">
        <v>651114</v>
      </c>
      <c r="N62" s="178"/>
      <c r="O62" s="178"/>
      <c r="P62" s="178"/>
      <c r="Q62" s="178">
        <f t="shared" si="60"/>
        <v>45977.853856038346</v>
      </c>
      <c r="R62" s="174">
        <f t="shared" si="61"/>
        <v>3430148.8538560383</v>
      </c>
      <c r="S62" s="174">
        <f t="shared" ref="S62:S84" si="66">H62+J62+K62+M62+O62+P62+Q62</f>
        <v>1098217.8538560383</v>
      </c>
      <c r="T62" s="174">
        <f t="shared" si="58"/>
        <v>2714612</v>
      </c>
      <c r="U62" s="174">
        <f t="shared" si="59"/>
        <v>3812829.8538560383</v>
      </c>
      <c r="V62" s="174">
        <f t="shared" ref="V62:AD62" si="67">$B$58*V5</f>
        <v>0</v>
      </c>
      <c r="W62" s="174">
        <f t="shared" si="67"/>
        <v>0</v>
      </c>
      <c r="X62" s="174">
        <f t="shared" si="67"/>
        <v>0</v>
      </c>
      <c r="Y62" s="174">
        <f t="shared" si="67"/>
        <v>0</v>
      </c>
      <c r="Z62" s="174">
        <f t="shared" si="67"/>
        <v>0</v>
      </c>
      <c r="AA62" s="174">
        <f t="shared" si="67"/>
        <v>0</v>
      </c>
      <c r="AB62" s="174">
        <f t="shared" si="67"/>
        <v>0</v>
      </c>
      <c r="AC62" s="174">
        <f t="shared" si="67"/>
        <v>0</v>
      </c>
      <c r="AD62" s="174">
        <f t="shared" si="67"/>
        <v>0</v>
      </c>
      <c r="AE62" s="174"/>
      <c r="AF62" s="174">
        <f t="shared" si="63"/>
        <v>0</v>
      </c>
      <c r="AG62" s="174">
        <f t="shared" ref="AG62:AG63" si="68">SUM(V62:AF62)</f>
        <v>0</v>
      </c>
      <c r="AH62" s="174">
        <f t="shared" si="64"/>
        <v>3812829.8538560383</v>
      </c>
      <c r="AI62" s="192">
        <f>AH62/'Collections and ACP'!E74</f>
        <v>4.5017134782819108E-2</v>
      </c>
      <c r="AK62" s="172">
        <f t="shared" ref="AK62:AK84" si="69">H62+J62+K62+M62+Q62+V62+W62+X62+Y62+Z62+AA62+AC62+AD62+AF62+O62+P62+AE62</f>
        <v>1098217.8538560383</v>
      </c>
      <c r="AL62" s="172">
        <f t="shared" ref="AL62:AL84" si="70">I62+L62+AB62+N62</f>
        <v>2714612</v>
      </c>
      <c r="AM62" s="105">
        <f t="shared" ref="AM62:AM84" si="71">AK62/(AK62+AL62)</f>
        <v>0.28803222172250226</v>
      </c>
      <c r="AN62" s="105">
        <f t="shared" ref="AN62:AN84" si="72">1-AM62</f>
        <v>0.7119677782774978</v>
      </c>
    </row>
    <row r="63" spans="1:40" x14ac:dyDescent="0.35">
      <c r="A63" s="177" t="s">
        <v>19</v>
      </c>
      <c r="B63" s="178">
        <f>'ABP Under Contract'!B64</f>
        <v>157405</v>
      </c>
      <c r="C63" s="178">
        <f>'ABP Under Contract'!C64</f>
        <v>139595</v>
      </c>
      <c r="D63" s="178">
        <f>'ABP Under Contract'!D64</f>
        <v>248998</v>
      </c>
      <c r="E63" s="178" t="str">
        <f>'ABP Under Contract'!E64</f>
        <v xml:space="preserve">                -   </v>
      </c>
      <c r="F63" s="178" t="str">
        <f>'ABP Under Contract'!F64</f>
        <v xml:space="preserve">                -   </v>
      </c>
      <c r="G63" s="178" t="str">
        <f>'ABP Under Contract'!G64</f>
        <v xml:space="preserve">                -   </v>
      </c>
      <c r="H63" s="174">
        <f t="shared" si="65"/>
        <v>545998</v>
      </c>
      <c r="I63" s="178">
        <v>1261725</v>
      </c>
      <c r="J63" s="178"/>
      <c r="K63" s="178">
        <v>5286</v>
      </c>
      <c r="L63" s="178">
        <v>1452887</v>
      </c>
      <c r="M63" s="178">
        <v>1403726</v>
      </c>
      <c r="N63" s="178"/>
      <c r="O63" s="178"/>
      <c r="P63" s="178"/>
      <c r="Q63" s="178">
        <f t="shared" si="60"/>
        <v>45747.964586758157</v>
      </c>
      <c r="R63" s="174">
        <f t="shared" si="61"/>
        <v>4169371.9645867581</v>
      </c>
      <c r="S63" s="174">
        <f t="shared" si="66"/>
        <v>2000757.9645867581</v>
      </c>
      <c r="T63" s="174">
        <f t="shared" si="58"/>
        <v>2714612</v>
      </c>
      <c r="U63" s="174">
        <f t="shared" si="59"/>
        <v>4715369.9645867581</v>
      </c>
      <c r="V63" s="174">
        <f t="shared" ref="V63:AD63" si="73">$B$58*V6</f>
        <v>0</v>
      </c>
      <c r="W63" s="174">
        <f t="shared" si="73"/>
        <v>0</v>
      </c>
      <c r="X63" s="174">
        <f t="shared" si="73"/>
        <v>0</v>
      </c>
      <c r="Y63" s="174">
        <f t="shared" si="73"/>
        <v>0</v>
      </c>
      <c r="Z63" s="174">
        <f t="shared" si="73"/>
        <v>0</v>
      </c>
      <c r="AA63" s="174">
        <f t="shared" si="73"/>
        <v>0</v>
      </c>
      <c r="AB63" s="174">
        <f t="shared" si="73"/>
        <v>0</v>
      </c>
      <c r="AC63" s="174">
        <f t="shared" si="73"/>
        <v>0</v>
      </c>
      <c r="AD63" s="174">
        <f t="shared" si="73"/>
        <v>0</v>
      </c>
      <c r="AE63" s="174"/>
      <c r="AF63" s="174">
        <f t="shared" si="63"/>
        <v>0</v>
      </c>
      <c r="AG63" s="174">
        <f t="shared" si="68"/>
        <v>0</v>
      </c>
      <c r="AH63" s="174">
        <f t="shared" si="64"/>
        <v>4715369.9645867581</v>
      </c>
      <c r="AI63" s="192">
        <f>AH63/'Collections and ACP'!E75</f>
        <v>5.6512707875256939E-2</v>
      </c>
      <c r="AJ63" s="172"/>
      <c r="AK63" s="172">
        <f t="shared" si="69"/>
        <v>2000757.9645867581</v>
      </c>
      <c r="AL63" s="172">
        <f t="shared" si="70"/>
        <v>2714612</v>
      </c>
      <c r="AM63" s="105">
        <f t="shared" si="71"/>
        <v>0.42430561750462753</v>
      </c>
      <c r="AN63" s="105">
        <f t="shared" si="72"/>
        <v>0.57569438249537241</v>
      </c>
    </row>
    <row r="64" spans="1:40" x14ac:dyDescent="0.35">
      <c r="A64" s="177" t="s">
        <v>20</v>
      </c>
      <c r="B64" s="178">
        <f>'ABP Under Contract'!B65</f>
        <v>209218</v>
      </c>
      <c r="C64" s="178">
        <f>'ABP Under Contract'!C65</f>
        <v>205401</v>
      </c>
      <c r="D64" s="178">
        <f>'ABP Under Contract'!D65</f>
        <v>408864</v>
      </c>
      <c r="E64" s="178" t="str">
        <f>'ABP Under Contract'!E65</f>
        <v xml:space="preserve">                           -  </v>
      </c>
      <c r="F64" s="178" t="str">
        <f>'ABP Under Contract'!F65</f>
        <v xml:space="preserve">                   -  </v>
      </c>
      <c r="G64" s="178" t="str">
        <f>'ABP Under Contract'!G65</f>
        <v> </v>
      </c>
      <c r="H64" s="174">
        <f t="shared" si="65"/>
        <v>823483</v>
      </c>
      <c r="I64" s="178">
        <v>1261725</v>
      </c>
      <c r="J64" s="178"/>
      <c r="K64" s="30"/>
      <c r="L64" s="178">
        <v>1452887</v>
      </c>
      <c r="M64" s="178">
        <v>1403726</v>
      </c>
      <c r="N64" s="178"/>
      <c r="O64" s="178"/>
      <c r="P64" s="178"/>
      <c r="Q64" s="178">
        <f t="shared" si="60"/>
        <v>45519.224763824372</v>
      </c>
      <c r="R64" s="174">
        <f t="shared" si="61"/>
        <v>4163857.2247638246</v>
      </c>
      <c r="S64" s="174">
        <f t="shared" si="66"/>
        <v>2272728.2247638246</v>
      </c>
      <c r="T64" s="174">
        <f t="shared" si="58"/>
        <v>2714612</v>
      </c>
      <c r="U64" s="174">
        <f t="shared" si="59"/>
        <v>4987340.2247638246</v>
      </c>
      <c r="V64" s="174">
        <f t="shared" ref="V64:AD64" si="74">$B$58*V7</f>
        <v>0</v>
      </c>
      <c r="W64" s="174">
        <f t="shared" si="74"/>
        <v>0</v>
      </c>
      <c r="X64" s="174">
        <f t="shared" si="74"/>
        <v>0</v>
      </c>
      <c r="Y64" s="174">
        <f t="shared" si="74"/>
        <v>0</v>
      </c>
      <c r="Z64" s="174">
        <f t="shared" si="74"/>
        <v>0</v>
      </c>
      <c r="AA64" s="174">
        <f t="shared" si="74"/>
        <v>0</v>
      </c>
      <c r="AB64" s="174">
        <f t="shared" si="74"/>
        <v>0</v>
      </c>
      <c r="AC64" s="174">
        <f t="shared" si="74"/>
        <v>0</v>
      </c>
      <c r="AD64" s="174">
        <f t="shared" si="74"/>
        <v>0</v>
      </c>
      <c r="AE64" s="174"/>
      <c r="AF64" s="174">
        <f t="shared" si="63"/>
        <v>33152.934899257802</v>
      </c>
      <c r="AG64" s="174">
        <f>SUM(V64:AF64)</f>
        <v>33152.934899257802</v>
      </c>
      <c r="AH64" s="174">
        <f t="shared" si="64"/>
        <v>5020493.1596630821</v>
      </c>
      <c r="AI64" s="192">
        <f>AH64/'Collections and ACP'!E76</f>
        <v>6.051931609348498E-2</v>
      </c>
      <c r="AJ64" s="172"/>
      <c r="AK64" s="172">
        <f t="shared" si="69"/>
        <v>2305881.1596630826</v>
      </c>
      <c r="AL64" s="172">
        <f t="shared" si="70"/>
        <v>2714612</v>
      </c>
      <c r="AM64" s="105">
        <f t="shared" si="71"/>
        <v>0.45929375587832222</v>
      </c>
      <c r="AN64" s="105">
        <f t="shared" si="72"/>
        <v>0.54070624412167778</v>
      </c>
    </row>
    <row r="65" spans="1:40" x14ac:dyDescent="0.35">
      <c r="A65" s="177" t="s">
        <v>22</v>
      </c>
      <c r="B65" s="178">
        <f>'ABP Under Contract'!B66</f>
        <v>369332</v>
      </c>
      <c r="C65" s="178">
        <f>'ABP Under Contract'!C66</f>
        <v>376527</v>
      </c>
      <c r="D65" s="178">
        <f>'ABP Under Contract'!D66</f>
        <v>662746</v>
      </c>
      <c r="E65" s="178">
        <f>'ABP Under Contract'!E66</f>
        <v>936</v>
      </c>
      <c r="F65" s="178">
        <f>'ABP Under Contract'!F66</f>
        <v>4572</v>
      </c>
      <c r="G65" s="178" t="str">
        <f>'ABP Under Contract'!G66</f>
        <v> </v>
      </c>
      <c r="H65" s="174">
        <f t="shared" si="65"/>
        <v>1414113</v>
      </c>
      <c r="I65" s="178">
        <v>1261725</v>
      </c>
      <c r="J65" s="178"/>
      <c r="K65" s="30"/>
      <c r="L65" s="178">
        <v>1452887</v>
      </c>
      <c r="M65" s="178">
        <v>1403726</v>
      </c>
      <c r="N65" s="178">
        <f t="shared" ref="N65:P84" si="75">N8*$B$58</f>
        <v>0</v>
      </c>
      <c r="O65" s="178">
        <f t="shared" si="75"/>
        <v>0</v>
      </c>
      <c r="P65" s="178">
        <f t="shared" si="75"/>
        <v>0</v>
      </c>
      <c r="Q65" s="178">
        <f t="shared" si="60"/>
        <v>45291.628640005249</v>
      </c>
      <c r="R65" s="174">
        <f t="shared" si="61"/>
        <v>4163629.6286400054</v>
      </c>
      <c r="S65" s="174">
        <f t="shared" si="66"/>
        <v>2863130.6286400054</v>
      </c>
      <c r="T65" s="174">
        <f t="shared" si="58"/>
        <v>2714612</v>
      </c>
      <c r="U65" s="174">
        <f t="shared" si="59"/>
        <v>5577742.6286400054</v>
      </c>
      <c r="V65" s="174">
        <f t="shared" ref="V65:AD65" si="76">$B$58*V8</f>
        <v>107408.94998905965</v>
      </c>
      <c r="W65" s="174">
        <f t="shared" si="76"/>
        <v>148461.11897572383</v>
      </c>
      <c r="X65" s="174">
        <f t="shared" si="76"/>
        <v>0</v>
      </c>
      <c r="Y65" s="174">
        <f t="shared" si="76"/>
        <v>256749.47777538409</v>
      </c>
      <c r="Z65" s="174">
        <f t="shared" si="76"/>
        <v>0</v>
      </c>
      <c r="AA65" s="174">
        <f t="shared" si="76"/>
        <v>114907.87621806758</v>
      </c>
      <c r="AB65" s="174">
        <f t="shared" si="76"/>
        <v>0</v>
      </c>
      <c r="AC65" s="174">
        <f t="shared" si="76"/>
        <v>0</v>
      </c>
      <c r="AD65" s="174">
        <f t="shared" si="76"/>
        <v>0</v>
      </c>
      <c r="AE65" s="174">
        <f t="shared" ref="AE65:AE83" si="77">AE8*$C$58</f>
        <v>330007.68303999997</v>
      </c>
      <c r="AF65" s="174">
        <f t="shared" si="63"/>
        <v>65974.340449523021</v>
      </c>
      <c r="AG65" s="174">
        <f>SUM(V65:AF65)</f>
        <v>1023509.4464477581</v>
      </c>
      <c r="AH65" s="174">
        <f t="shared" si="64"/>
        <v>6601252.0750877634</v>
      </c>
      <c r="AI65" s="192">
        <f>AH65/'Collections and ACP'!E77</f>
        <v>8.0567407220053108E-2</v>
      </c>
      <c r="AJ65" s="172"/>
      <c r="AK65" s="172">
        <f t="shared" si="69"/>
        <v>3886640.0750877634</v>
      </c>
      <c r="AL65" s="172">
        <f t="shared" si="70"/>
        <v>2714612</v>
      </c>
      <c r="AM65" s="105">
        <f t="shared" si="71"/>
        <v>0.58877316467817065</v>
      </c>
      <c r="AN65" s="105">
        <f t="shared" si="72"/>
        <v>0.41122683532182935</v>
      </c>
    </row>
    <row r="66" spans="1:40" x14ac:dyDescent="0.35">
      <c r="A66" s="177" t="s">
        <v>23</v>
      </c>
      <c r="B66" s="178">
        <f>'ABP Under Contract'!B67</f>
        <v>367746</v>
      </c>
      <c r="C66" s="178">
        <f>'ABP Under Contract'!C67</f>
        <v>375233</v>
      </c>
      <c r="D66" s="178">
        <f>'ABP Under Contract'!D67</f>
        <v>1060494</v>
      </c>
      <c r="E66" s="178">
        <f>'ABP Under Contract'!E67</f>
        <v>19725</v>
      </c>
      <c r="F66" s="178">
        <f>'ABP Under Contract'!F67</f>
        <v>80281</v>
      </c>
      <c r="G66" s="178">
        <f>'ABP Under Contract'!G67</f>
        <v>188453</v>
      </c>
      <c r="H66" s="174">
        <f t="shared" si="65"/>
        <v>2091932</v>
      </c>
      <c r="I66" s="178">
        <v>1261725</v>
      </c>
      <c r="J66" s="178"/>
      <c r="K66" s="30"/>
      <c r="L66" s="178">
        <v>1452887</v>
      </c>
      <c r="M66" s="178">
        <v>1403726</v>
      </c>
      <c r="N66" s="178">
        <f t="shared" si="75"/>
        <v>324475.53305656568</v>
      </c>
      <c r="O66" s="178">
        <f t="shared" si="75"/>
        <v>1334244.0973101917</v>
      </c>
      <c r="P66" s="178">
        <f t="shared" si="75"/>
        <v>40820.432821703165</v>
      </c>
      <c r="Q66" s="178">
        <f t="shared" si="60"/>
        <v>45065.170496805222</v>
      </c>
      <c r="R66" s="174">
        <f t="shared" si="61"/>
        <v>5862943.2336852662</v>
      </c>
      <c r="S66" s="174">
        <f t="shared" si="66"/>
        <v>4915787.7006287007</v>
      </c>
      <c r="T66" s="174">
        <f t="shared" si="58"/>
        <v>3039087.5330565656</v>
      </c>
      <c r="U66" s="174">
        <f t="shared" si="59"/>
        <v>7954875.2336852662</v>
      </c>
      <c r="V66" s="174">
        <f t="shared" ref="V66:AD66" si="78">$B$58*V9</f>
        <v>209791.91871655887</v>
      </c>
      <c r="W66" s="174">
        <f t="shared" si="78"/>
        <v>257294.44053419205</v>
      </c>
      <c r="X66" s="174">
        <f t="shared" si="78"/>
        <v>115565.56205984511</v>
      </c>
      <c r="Y66" s="174">
        <f t="shared" si="78"/>
        <v>346052.33214214962</v>
      </c>
      <c r="Z66" s="174">
        <f t="shared" si="78"/>
        <v>20058.387195344654</v>
      </c>
      <c r="AA66" s="174">
        <f t="shared" si="78"/>
        <v>236084.03367402928</v>
      </c>
      <c r="AB66" s="174">
        <f t="shared" si="78"/>
        <v>0</v>
      </c>
      <c r="AC66" s="174">
        <f t="shared" si="78"/>
        <v>0</v>
      </c>
      <c r="AD66" s="174">
        <f t="shared" si="78"/>
        <v>0</v>
      </c>
      <c r="AE66" s="174">
        <f t="shared" si="77"/>
        <v>330007.68303999997</v>
      </c>
      <c r="AF66" s="174">
        <f t="shared" si="63"/>
        <v>98961.510674284524</v>
      </c>
      <c r="AG66" s="174">
        <f t="shared" ref="AG66:AG84" si="79">SUM(V66:AF66)</f>
        <v>1613815.8680364043</v>
      </c>
      <c r="AH66" s="174">
        <f t="shared" si="64"/>
        <v>9568691.1017216705</v>
      </c>
      <c r="AI66" s="192">
        <f>AH66/'Collections and ACP'!E78</f>
        <v>0.1173201209432594</v>
      </c>
      <c r="AJ66" s="172"/>
      <c r="AK66" s="172">
        <f t="shared" si="69"/>
        <v>6529603.5686651049</v>
      </c>
      <c r="AL66" s="172">
        <f t="shared" si="70"/>
        <v>3039087.5330565656</v>
      </c>
      <c r="AM66" s="105">
        <f t="shared" si="71"/>
        <v>0.68239255497444684</v>
      </c>
      <c r="AN66" s="105">
        <f t="shared" si="72"/>
        <v>0.31760744502555316</v>
      </c>
    </row>
    <row r="67" spans="1:40" x14ac:dyDescent="0.35">
      <c r="A67" s="177" t="s">
        <v>24</v>
      </c>
      <c r="B67" s="178">
        <f>'ABP Under Contract'!B68</f>
        <v>366067</v>
      </c>
      <c r="C67" s="178">
        <f>'ABP Under Contract'!C68</f>
        <v>373933</v>
      </c>
      <c r="D67" s="178">
        <f>'ABP Under Contract'!D68</f>
        <v>1058213</v>
      </c>
      <c r="E67" s="178">
        <f>'ABP Under Contract'!E68</f>
        <v>19711</v>
      </c>
      <c r="F67" s="178">
        <f>'ABP Under Contract'!F68</f>
        <v>79900</v>
      </c>
      <c r="G67" s="178">
        <f>'ABP Under Contract'!G68</f>
        <v>187510</v>
      </c>
      <c r="H67" s="174">
        <f t="shared" si="65"/>
        <v>2085334</v>
      </c>
      <c r="I67" s="178">
        <v>1261725</v>
      </c>
      <c r="J67" s="178"/>
      <c r="K67" s="30"/>
      <c r="L67" s="178">
        <v>1452887</v>
      </c>
      <c r="M67" s="178">
        <v>1403726</v>
      </c>
      <c r="N67" s="178">
        <f t="shared" si="75"/>
        <v>324475.53305656568</v>
      </c>
      <c r="O67" s="178">
        <f t="shared" si="75"/>
        <v>2072857.907174892</v>
      </c>
      <c r="P67" s="178">
        <f t="shared" si="75"/>
        <v>100573.76611369918</v>
      </c>
      <c r="Q67" s="178">
        <f t="shared" si="60"/>
        <v>44839.844644321194</v>
      </c>
      <c r="R67" s="174">
        <f t="shared" si="61"/>
        <v>6661085.0509894779</v>
      </c>
      <c r="S67" s="174">
        <f t="shared" si="66"/>
        <v>5707331.5179329123</v>
      </c>
      <c r="T67" s="174">
        <f t="shared" si="58"/>
        <v>3039087.5330565656</v>
      </c>
      <c r="U67" s="174">
        <f t="shared" si="59"/>
        <v>8746419.0509894788</v>
      </c>
      <c r="V67" s="174">
        <f t="shared" ref="V67:AD67" si="80">$B$58*V10</f>
        <v>311662.97260042059</v>
      </c>
      <c r="W67" s="174">
        <f t="shared" si="80"/>
        <v>365583.59548486798</v>
      </c>
      <c r="X67" s="174">
        <f t="shared" si="80"/>
        <v>303129.13789588027</v>
      </c>
      <c r="Y67" s="174">
        <f t="shared" si="80"/>
        <v>434908.67223708134</v>
      </c>
      <c r="Z67" s="174">
        <f t="shared" si="80"/>
        <v>47830.895799565616</v>
      </c>
      <c r="AA67" s="174">
        <f t="shared" si="80"/>
        <v>356654.31034271122</v>
      </c>
      <c r="AB67" s="174">
        <f t="shared" si="80"/>
        <v>0</v>
      </c>
      <c r="AC67" s="174">
        <f t="shared" si="80"/>
        <v>745285.03035125136</v>
      </c>
      <c r="AD67" s="174">
        <f t="shared" si="80"/>
        <v>59957.435456104533</v>
      </c>
      <c r="AE67" s="174">
        <f t="shared" si="77"/>
        <v>330007.68303999997</v>
      </c>
      <c r="AF67" s="174">
        <f t="shared" si="63"/>
        <v>131948.68089904604</v>
      </c>
      <c r="AG67" s="174">
        <f t="shared" si="79"/>
        <v>3086968.4141069287</v>
      </c>
      <c r="AH67" s="174">
        <f t="shared" si="64"/>
        <v>11833387.465096407</v>
      </c>
      <c r="AI67" s="192">
        <f>AH67/'Collections and ACP'!E79</f>
        <v>0.14502956769337669</v>
      </c>
      <c r="AJ67" s="172"/>
      <c r="AK67" s="172">
        <f t="shared" si="69"/>
        <v>8794299.932039842</v>
      </c>
      <c r="AL67" s="172">
        <f t="shared" si="70"/>
        <v>3039087.5330565656</v>
      </c>
      <c r="AM67" s="105">
        <f t="shared" si="71"/>
        <v>0.74317687627312001</v>
      </c>
      <c r="AN67" s="105">
        <f t="shared" si="72"/>
        <v>0.25682312372687999</v>
      </c>
    </row>
    <row r="68" spans="1:40" x14ac:dyDescent="0.35">
      <c r="A68" s="177" t="s">
        <v>25</v>
      </c>
      <c r="B68" s="178">
        <f>'ABP Under Contract'!B69</f>
        <v>364511</v>
      </c>
      <c r="C68" s="178">
        <f>'ABP Under Contract'!C69</f>
        <v>372667</v>
      </c>
      <c r="D68" s="178">
        <f>'ABP Under Contract'!D69</f>
        <v>1055955</v>
      </c>
      <c r="E68" s="178">
        <f>'ABP Under Contract'!E69</f>
        <v>19697</v>
      </c>
      <c r="F68" s="178">
        <f>'ABP Under Contract'!F69</f>
        <v>79524</v>
      </c>
      <c r="G68" s="178">
        <f>'ABP Under Contract'!G69</f>
        <v>186573</v>
      </c>
      <c r="H68" s="174">
        <f t="shared" si="65"/>
        <v>2078927</v>
      </c>
      <c r="I68" s="178">
        <v>1261725</v>
      </c>
      <c r="J68" s="178"/>
      <c r="K68" s="30"/>
      <c r="L68" s="178">
        <v>1452887</v>
      </c>
      <c r="M68" s="178">
        <v>1403726</v>
      </c>
      <c r="N68" s="178">
        <f t="shared" si="75"/>
        <v>324475.53305656568</v>
      </c>
      <c r="O68" s="178">
        <f t="shared" si="75"/>
        <v>2062493.6176390173</v>
      </c>
      <c r="P68" s="178">
        <f t="shared" si="75"/>
        <v>100070.89728313067</v>
      </c>
      <c r="Q68" s="178">
        <f t="shared" si="60"/>
        <v>44615.645421099594</v>
      </c>
      <c r="R68" s="174">
        <f t="shared" si="61"/>
        <v>6649993.693399813</v>
      </c>
      <c r="S68" s="174">
        <f t="shared" si="66"/>
        <v>5689833.1603432475</v>
      </c>
      <c r="T68" s="174">
        <f t="shared" si="58"/>
        <v>3039087.5330565656</v>
      </c>
      <c r="U68" s="174">
        <f t="shared" si="59"/>
        <v>8728920.693399813</v>
      </c>
      <c r="V68" s="174">
        <f t="shared" ref="V68:AD68" si="81">$B$58*V11</f>
        <v>413024.67121486302</v>
      </c>
      <c r="W68" s="174">
        <f t="shared" si="81"/>
        <v>473331.30466079043</v>
      </c>
      <c r="X68" s="174">
        <f t="shared" si="81"/>
        <v>489754.89585273515</v>
      </c>
      <c r="Y68" s="174">
        <f t="shared" si="81"/>
        <v>523320.73063153832</v>
      </c>
      <c r="Z68" s="174">
        <f t="shared" si="81"/>
        <v>75464.541860765457</v>
      </c>
      <c r="AA68" s="174">
        <f t="shared" si="81"/>
        <v>476621.73562804976</v>
      </c>
      <c r="AB68" s="174">
        <f t="shared" si="81"/>
        <v>5290361.9520092234</v>
      </c>
      <c r="AC68" s="174">
        <f t="shared" si="81"/>
        <v>1799630.9956013397</v>
      </c>
      <c r="AD68" s="174">
        <f t="shared" si="81"/>
        <v>119615.08373492854</v>
      </c>
      <c r="AE68" s="174">
        <f t="shared" si="77"/>
        <v>330007.68303999997</v>
      </c>
      <c r="AF68" s="174">
        <f t="shared" si="63"/>
        <v>164935.85112380754</v>
      </c>
      <c r="AG68" s="174">
        <f t="shared" si="79"/>
        <v>10156069.445358042</v>
      </c>
      <c r="AH68" s="174">
        <f t="shared" si="64"/>
        <v>18884990.138757855</v>
      </c>
      <c r="AI68" s="192">
        <f>AH68/'Collections and ACP'!E80</f>
        <v>0.23062967793644051</v>
      </c>
      <c r="AJ68" s="172"/>
      <c r="AK68" s="172">
        <f t="shared" si="69"/>
        <v>10555540.653692069</v>
      </c>
      <c r="AL68" s="172">
        <f t="shared" si="70"/>
        <v>8329449.485065789</v>
      </c>
      <c r="AM68" s="105">
        <f t="shared" si="71"/>
        <v>0.55893810778480757</v>
      </c>
      <c r="AN68" s="105">
        <f t="shared" si="72"/>
        <v>0.44106189221519243</v>
      </c>
    </row>
    <row r="69" spans="1:40" x14ac:dyDescent="0.35">
      <c r="A69" s="177" t="s">
        <v>26</v>
      </c>
      <c r="B69" s="178">
        <f>'ABP Under Contract'!B70</f>
        <v>363006</v>
      </c>
      <c r="C69" s="178">
        <f>'ABP Under Contract'!C70</f>
        <v>371413</v>
      </c>
      <c r="D69" s="178">
        <f>'ABP Under Contract'!D70</f>
        <v>1053697</v>
      </c>
      <c r="E69" s="178">
        <f>'ABP Under Contract'!E70</f>
        <v>19684</v>
      </c>
      <c r="F69" s="178">
        <f>'ABP Under Contract'!F70</f>
        <v>79149</v>
      </c>
      <c r="G69" s="178">
        <f>'ABP Under Contract'!G70</f>
        <v>185640</v>
      </c>
      <c r="H69" s="174">
        <f t="shared" si="65"/>
        <v>2072589</v>
      </c>
      <c r="I69" s="178">
        <v>1261725</v>
      </c>
      <c r="J69" s="178"/>
      <c r="K69" s="30"/>
      <c r="L69" s="178">
        <v>1452887</v>
      </c>
      <c r="M69" s="178">
        <v>1403726</v>
      </c>
      <c r="N69" s="178">
        <f t="shared" si="75"/>
        <v>324475.53305656568</v>
      </c>
      <c r="O69" s="178">
        <f t="shared" si="75"/>
        <v>2052181.1495508228</v>
      </c>
      <c r="P69" s="178">
        <f t="shared" si="75"/>
        <v>99570.542796715032</v>
      </c>
      <c r="Q69" s="178">
        <f t="shared" si="60"/>
        <v>44392.567193994095</v>
      </c>
      <c r="R69" s="174">
        <f t="shared" si="61"/>
        <v>6638957.7925980976</v>
      </c>
      <c r="S69" s="174">
        <f t="shared" si="66"/>
        <v>5672459.259541532</v>
      </c>
      <c r="T69" s="174">
        <f t="shared" si="58"/>
        <v>3039087.5330565656</v>
      </c>
      <c r="U69" s="174">
        <f t="shared" si="59"/>
        <v>8711546.7925980985</v>
      </c>
      <c r="V69" s="174">
        <f t="shared" ref="V69:AD69" si="82">$B$58*V12</f>
        <v>513879.56133623322</v>
      </c>
      <c r="W69" s="174">
        <f t="shared" si="82"/>
        <v>580540.27529083332</v>
      </c>
      <c r="X69" s="174">
        <f t="shared" si="82"/>
        <v>675447.52501980588</v>
      </c>
      <c r="Y69" s="174">
        <f t="shared" si="82"/>
        <v>611290.72873402305</v>
      </c>
      <c r="Z69" s="174">
        <f t="shared" si="82"/>
        <v>102960.01969165931</v>
      </c>
      <c r="AA69" s="174">
        <f t="shared" si="82"/>
        <v>595989.3237869615</v>
      </c>
      <c r="AB69" s="174">
        <f t="shared" si="82"/>
        <v>7053815.9360122979</v>
      </c>
      <c r="AC69" s="174">
        <f t="shared" si="82"/>
        <v>2848705.231025178</v>
      </c>
      <c r="AD69" s="174">
        <f t="shared" si="82"/>
        <v>178974.44377235841</v>
      </c>
      <c r="AE69" s="174">
        <f t="shared" si="77"/>
        <v>330007.68303999997</v>
      </c>
      <c r="AF69" s="174">
        <f t="shared" si="63"/>
        <v>197923.02134856905</v>
      </c>
      <c r="AG69" s="174">
        <f t="shared" si="79"/>
        <v>13689533.749057921</v>
      </c>
      <c r="AH69" s="174">
        <f t="shared" si="64"/>
        <v>22401080.541656017</v>
      </c>
      <c r="AI69" s="192">
        <f>AH69/'Collections and ACP'!E81</f>
        <v>0.27326033959500151</v>
      </c>
      <c r="AJ69" s="172"/>
      <c r="AK69" s="172">
        <f t="shared" si="69"/>
        <v>12308177.072587155</v>
      </c>
      <c r="AL69" s="172">
        <f t="shared" si="70"/>
        <v>10092903.469068864</v>
      </c>
      <c r="AM69" s="105">
        <f t="shared" si="71"/>
        <v>0.54944568632300728</v>
      </c>
      <c r="AN69" s="105">
        <f t="shared" si="72"/>
        <v>0.45055431367699272</v>
      </c>
    </row>
    <row r="70" spans="1:40" x14ac:dyDescent="0.35">
      <c r="A70" s="177" t="s">
        <v>27</v>
      </c>
      <c r="B70" s="178">
        <f>'ABP Under Contract'!B71</f>
        <v>361496</v>
      </c>
      <c r="C70" s="178">
        <f>'ABP Under Contract'!C71</f>
        <v>370136</v>
      </c>
      <c r="D70" s="178">
        <f>'ABP Under Contract'!D71</f>
        <v>1051464</v>
      </c>
      <c r="E70" s="178">
        <f>'ABP Under Contract'!E71</f>
        <v>19671</v>
      </c>
      <c r="F70" s="178">
        <f>'ABP Under Contract'!F71</f>
        <v>78773</v>
      </c>
      <c r="G70" s="178">
        <f>'ABP Under Contract'!G71</f>
        <v>184713</v>
      </c>
      <c r="H70" s="174">
        <f t="shared" si="65"/>
        <v>2066253</v>
      </c>
      <c r="I70" s="178">
        <v>1261725</v>
      </c>
      <c r="J70" s="178"/>
      <c r="K70" s="30"/>
      <c r="L70" s="178">
        <v>1452887</v>
      </c>
      <c r="M70" s="178">
        <v>1403726</v>
      </c>
      <c r="N70" s="178">
        <f t="shared" si="75"/>
        <v>324475.53305656568</v>
      </c>
      <c r="O70" s="178">
        <f t="shared" si="75"/>
        <v>2041920.2438030683</v>
      </c>
      <c r="P70" s="178">
        <f t="shared" si="75"/>
        <v>99072.690082731453</v>
      </c>
      <c r="Q70" s="178">
        <f t="shared" si="60"/>
        <v>44170.604358024124</v>
      </c>
      <c r="R70" s="174">
        <f t="shared" si="61"/>
        <v>6627977.0713003892</v>
      </c>
      <c r="S70" s="174">
        <f t="shared" si="66"/>
        <v>5655142.5382438237</v>
      </c>
      <c r="T70" s="174">
        <f t="shared" si="58"/>
        <v>3039087.5330565656</v>
      </c>
      <c r="U70" s="174">
        <f t="shared" si="59"/>
        <v>8694230.0713003892</v>
      </c>
      <c r="V70" s="174">
        <f t="shared" ref="V70:AD70" si="83">$B$58*V13</f>
        <v>614230.17700699659</v>
      </c>
      <c r="W70" s="174">
        <f t="shared" si="83"/>
        <v>687213.20106772601</v>
      </c>
      <c r="X70" s="174">
        <f t="shared" si="83"/>
        <v>860211.69104104117</v>
      </c>
      <c r="Y70" s="174">
        <f t="shared" si="83"/>
        <v>698820.87684599543</v>
      </c>
      <c r="Z70" s="174">
        <f t="shared" si="83"/>
        <v>130318.02013339869</v>
      </c>
      <c r="AA70" s="174">
        <f t="shared" si="83"/>
        <v>714760.07400507887</v>
      </c>
      <c r="AB70" s="174">
        <f t="shared" si="83"/>
        <v>8817269.9200153723</v>
      </c>
      <c r="AC70" s="174">
        <f t="shared" si="83"/>
        <v>3892534.0952718966</v>
      </c>
      <c r="AD70" s="174">
        <f t="shared" si="83"/>
        <v>238037.00700960116</v>
      </c>
      <c r="AE70" s="174">
        <f t="shared" si="77"/>
        <v>330007.68303999997</v>
      </c>
      <c r="AF70" s="174">
        <f t="shared" si="63"/>
        <v>222725.40497620928</v>
      </c>
      <c r="AG70" s="174">
        <f t="shared" si="79"/>
        <v>17206128.150413312</v>
      </c>
      <c r="AH70" s="174">
        <f t="shared" si="64"/>
        <v>25900358.221713699</v>
      </c>
      <c r="AI70" s="192">
        <f>AH70/'Collections and ACP'!E82</f>
        <v>0.31333678973438878</v>
      </c>
      <c r="AJ70" s="172"/>
      <c r="AK70" s="172">
        <f t="shared" si="69"/>
        <v>14044000.768641768</v>
      </c>
      <c r="AL70" s="172">
        <f t="shared" si="70"/>
        <v>11856357.453071939</v>
      </c>
      <c r="AM70" s="105">
        <f t="shared" si="71"/>
        <v>0.54223191233192691</v>
      </c>
      <c r="AN70" s="105">
        <f t="shared" si="72"/>
        <v>0.45776808766807309</v>
      </c>
    </row>
    <row r="71" spans="1:40" x14ac:dyDescent="0.35">
      <c r="A71" s="177" t="s">
        <v>28</v>
      </c>
      <c r="B71" s="178">
        <f>'ABP Under Contract'!B72</f>
        <v>359952</v>
      </c>
      <c r="C71" s="178">
        <f>'ABP Under Contract'!C72</f>
        <v>368860</v>
      </c>
      <c r="D71" s="178">
        <f>'ABP Under Contract'!D72</f>
        <v>1049223</v>
      </c>
      <c r="E71" s="178">
        <f>'ABP Under Contract'!E72</f>
        <v>19658</v>
      </c>
      <c r="F71" s="178">
        <f>'ABP Under Contract'!F72</f>
        <v>78407</v>
      </c>
      <c r="G71" s="178">
        <f>'ABP Under Contract'!G72</f>
        <v>183787</v>
      </c>
      <c r="H71" s="174">
        <f t="shared" si="65"/>
        <v>2059887</v>
      </c>
      <c r="I71" s="178">
        <v>1261725</v>
      </c>
      <c r="J71" s="178"/>
      <c r="K71" s="30"/>
      <c r="L71" s="178">
        <v>1452887</v>
      </c>
      <c r="M71" s="178">
        <v>1403726</v>
      </c>
      <c r="N71" s="178">
        <f t="shared" si="75"/>
        <v>324475.53305656568</v>
      </c>
      <c r="O71" s="178">
        <f t="shared" si="75"/>
        <v>2031710.6425840531</v>
      </c>
      <c r="P71" s="178">
        <f t="shared" si="75"/>
        <v>98577.32663231781</v>
      </c>
      <c r="Q71" s="178">
        <f t="shared" si="60"/>
        <v>43949.751336234003</v>
      </c>
      <c r="R71" s="174">
        <f t="shared" si="61"/>
        <v>6617051.2536091702</v>
      </c>
      <c r="S71" s="174">
        <f t="shared" si="66"/>
        <v>5637850.7205526046</v>
      </c>
      <c r="T71" s="174">
        <f t="shared" si="58"/>
        <v>3039087.5330565656</v>
      </c>
      <c r="U71" s="174">
        <f t="shared" si="59"/>
        <v>8676938.2536091693</v>
      </c>
      <c r="V71" s="174">
        <f t="shared" ref="V71:AD71" si="84">$B$58*V14</f>
        <v>714079.03959940618</v>
      </c>
      <c r="W71" s="174">
        <f t="shared" si="84"/>
        <v>793352.76221573411</v>
      </c>
      <c r="X71" s="174">
        <f t="shared" si="84"/>
        <v>1044052.0362321702</v>
      </c>
      <c r="Y71" s="174">
        <f t="shared" si="84"/>
        <v>785913.37421740789</v>
      </c>
      <c r="Z71" s="174">
        <f t="shared" si="84"/>
        <v>157539.23057292937</v>
      </c>
      <c r="AA71" s="174">
        <f t="shared" si="84"/>
        <v>832936.97047210543</v>
      </c>
      <c r="AB71" s="174">
        <f t="shared" si="84"/>
        <v>10580723.904018447</v>
      </c>
      <c r="AC71" s="174">
        <f t="shared" si="84"/>
        <v>4931143.8151973812</v>
      </c>
      <c r="AD71" s="174">
        <f t="shared" si="84"/>
        <v>296804.25743065769</v>
      </c>
      <c r="AE71" s="174">
        <f t="shared" si="77"/>
        <v>330007.68303999997</v>
      </c>
      <c r="AF71" s="174">
        <f t="shared" si="63"/>
        <v>247527.78860384948</v>
      </c>
      <c r="AG71" s="174">
        <f t="shared" si="79"/>
        <v>20714080.86160009</v>
      </c>
      <c r="AH71" s="174">
        <f t="shared" si="64"/>
        <v>29391019.115209259</v>
      </c>
      <c r="AI71" s="192">
        <f>AH71/'Collections and ACP'!E83</f>
        <v>0.35281894112420031</v>
      </c>
      <c r="AJ71" s="172"/>
      <c r="AK71" s="172">
        <f t="shared" si="69"/>
        <v>15771207.678134248</v>
      </c>
      <c r="AL71" s="172">
        <f t="shared" si="70"/>
        <v>13619811.437075013</v>
      </c>
      <c r="AM71" s="105">
        <f t="shared" si="71"/>
        <v>0.53659955159475792</v>
      </c>
      <c r="AN71" s="105">
        <f t="shared" si="72"/>
        <v>0.46340044840524208</v>
      </c>
    </row>
    <row r="72" spans="1:40" x14ac:dyDescent="0.35">
      <c r="A72" s="177" t="s">
        <v>29</v>
      </c>
      <c r="B72" s="178">
        <f>'ABP Under Contract'!B73</f>
        <v>358495</v>
      </c>
      <c r="C72" s="178">
        <f>'ABP Under Contract'!C73</f>
        <v>367622</v>
      </c>
      <c r="D72" s="178">
        <f>'ABP Under Contract'!D73</f>
        <v>1047006</v>
      </c>
      <c r="E72" s="178">
        <f>'ABP Under Contract'!E73</f>
        <v>19644</v>
      </c>
      <c r="F72" s="178">
        <f>'ABP Under Contract'!F73</f>
        <v>78035</v>
      </c>
      <c r="G72" s="178">
        <f>'ABP Under Contract'!G73</f>
        <v>182869</v>
      </c>
      <c r="H72" s="174">
        <f t="shared" si="65"/>
        <v>2053671</v>
      </c>
      <c r="I72" s="178">
        <v>1261725</v>
      </c>
      <c r="J72" s="178"/>
      <c r="K72" s="30"/>
      <c r="L72" s="178">
        <v>1452887</v>
      </c>
      <c r="M72" s="178">
        <v>1403726</v>
      </c>
      <c r="N72" s="178">
        <f t="shared" si="75"/>
        <v>324475.53305656568</v>
      </c>
      <c r="O72" s="178">
        <f t="shared" si="75"/>
        <v>2021552.0893711327</v>
      </c>
      <c r="P72" s="178">
        <f t="shared" si="75"/>
        <v>98084.43999915621</v>
      </c>
      <c r="Q72" s="178">
        <f t="shared" si="60"/>
        <v>43730.002579552842</v>
      </c>
      <c r="R72" s="174">
        <f t="shared" si="61"/>
        <v>6606180.0650064079</v>
      </c>
      <c r="S72" s="174">
        <f t="shared" si="66"/>
        <v>5620763.5319498423</v>
      </c>
      <c r="T72" s="174">
        <f t="shared" si="58"/>
        <v>3039087.5330565656</v>
      </c>
      <c r="U72" s="174">
        <f t="shared" si="59"/>
        <v>8659851.0650064088</v>
      </c>
      <c r="V72" s="174">
        <f t="shared" ref="V72:AD72" si="85">$B$58*V15</f>
        <v>824864.21493190294</v>
      </c>
      <c r="W72" s="174">
        <f t="shared" si="85"/>
        <v>911136.69524170773</v>
      </c>
      <c r="X72" s="174">
        <f t="shared" si="85"/>
        <v>1226973.1796973438</v>
      </c>
      <c r="Y72" s="174">
        <f t="shared" si="85"/>
        <v>886506.8093720621</v>
      </c>
      <c r="Z72" s="174">
        <f t="shared" si="85"/>
        <v>184624.33496026244</v>
      </c>
      <c r="AA72" s="174">
        <f t="shared" si="85"/>
        <v>889647.63403827092</v>
      </c>
      <c r="AB72" s="174">
        <f t="shared" si="85"/>
        <v>12344177.888021521</v>
      </c>
      <c r="AC72" s="174">
        <f t="shared" si="85"/>
        <v>5611869.6897226246</v>
      </c>
      <c r="AD72" s="174">
        <f t="shared" si="85"/>
        <v>355277.67159960896</v>
      </c>
      <c r="AE72" s="174">
        <f t="shared" si="77"/>
        <v>330007.68303999997</v>
      </c>
      <c r="AF72" s="174">
        <f t="shared" si="63"/>
        <v>272330.17223148968</v>
      </c>
      <c r="AG72" s="174">
        <f t="shared" si="79"/>
        <v>23837415.97285679</v>
      </c>
      <c r="AH72" s="174">
        <f t="shared" si="64"/>
        <v>32497267.037863199</v>
      </c>
      <c r="AI72" s="192">
        <f>AH72/'Collections and ACP'!E84</f>
        <v>0.38660096326585291</v>
      </c>
      <c r="AJ72" s="172"/>
      <c r="AK72" s="172">
        <f t="shared" si="69"/>
        <v>17114001.616785116</v>
      </c>
      <c r="AL72" s="172">
        <f t="shared" si="70"/>
        <v>15383265.421078088</v>
      </c>
      <c r="AM72" s="105">
        <f t="shared" si="71"/>
        <v>0.52662894996201548</v>
      </c>
      <c r="AN72" s="105">
        <f t="shared" si="72"/>
        <v>0.47337105003798452</v>
      </c>
    </row>
    <row r="73" spans="1:40" x14ac:dyDescent="0.35">
      <c r="A73" s="177" t="s">
        <v>30</v>
      </c>
      <c r="B73" s="178">
        <f>'ABP Under Contract'!B74</f>
        <v>356910</v>
      </c>
      <c r="C73" s="178">
        <f>'ABP Under Contract'!C74</f>
        <v>366360</v>
      </c>
      <c r="D73" s="178">
        <f>'ABP Under Contract'!D74</f>
        <v>1044800</v>
      </c>
      <c r="E73" s="178">
        <f>'ABP Under Contract'!E74</f>
        <v>19632</v>
      </c>
      <c r="F73" s="178">
        <f>'ABP Under Contract'!F74</f>
        <v>77670</v>
      </c>
      <c r="G73" s="178">
        <f>'ABP Under Contract'!G74</f>
        <v>181954</v>
      </c>
      <c r="H73" s="174">
        <f t="shared" si="65"/>
        <v>2047326</v>
      </c>
      <c r="I73" s="30"/>
      <c r="J73" s="30"/>
      <c r="K73" s="30"/>
      <c r="L73" s="178">
        <v>1452887</v>
      </c>
      <c r="M73" s="178">
        <v>1403726</v>
      </c>
      <c r="N73" s="178">
        <f t="shared" si="75"/>
        <v>324475.53305656568</v>
      </c>
      <c r="O73" s="178">
        <f t="shared" si="75"/>
        <v>2011444.3289242771</v>
      </c>
      <c r="P73" s="178">
        <f t="shared" si="75"/>
        <v>97594.017799160429</v>
      </c>
      <c r="Q73" s="178">
        <f t="shared" si="60"/>
        <v>43511.35256665507</v>
      </c>
      <c r="R73" s="174">
        <f t="shared" si="61"/>
        <v>5333638.2323466577</v>
      </c>
      <c r="S73" s="174">
        <f t="shared" si="66"/>
        <v>5603601.6992900921</v>
      </c>
      <c r="T73" s="174">
        <f t="shared" si="58"/>
        <v>1777362.5330565656</v>
      </c>
      <c r="U73" s="174">
        <f t="shared" si="59"/>
        <v>7380964.2323466577</v>
      </c>
      <c r="V73" s="174">
        <f t="shared" ref="V73:AD73" si="86">$B$58*V16</f>
        <v>935095.46438773745</v>
      </c>
      <c r="W73" s="174">
        <f t="shared" si="86"/>
        <v>1028331.708602551</v>
      </c>
      <c r="X73" s="174">
        <f t="shared" si="86"/>
        <v>1429884.3178503395</v>
      </c>
      <c r="Y73" s="174">
        <f t="shared" si="86"/>
        <v>986597.27735094319</v>
      </c>
      <c r="Z73" s="174">
        <f t="shared" si="86"/>
        <v>218542.21396070821</v>
      </c>
      <c r="AA73" s="174">
        <f t="shared" si="86"/>
        <v>946074.74428660574</v>
      </c>
      <c r="AB73" s="174">
        <f t="shared" si="86"/>
        <v>14107631.872024596</v>
      </c>
      <c r="AC73" s="174">
        <f t="shared" si="86"/>
        <v>6289191.9348752415</v>
      </c>
      <c r="AD73" s="174">
        <f t="shared" si="86"/>
        <v>413458.71869771543</v>
      </c>
      <c r="AE73" s="174">
        <f t="shared" si="77"/>
        <v>330007.68303999997</v>
      </c>
      <c r="AF73" s="174">
        <f t="shared" si="63"/>
        <v>297132.55585912988</v>
      </c>
      <c r="AG73" s="174">
        <f t="shared" si="79"/>
        <v>26981948.490935571</v>
      </c>
      <c r="AH73" s="174">
        <f t="shared" si="64"/>
        <v>34362912.723282233</v>
      </c>
      <c r="AI73" s="192">
        <f>AH73/'Collections and ACP'!E85</f>
        <v>0.40702939901627772</v>
      </c>
      <c r="AJ73" s="172"/>
      <c r="AK73" s="172">
        <f t="shared" si="69"/>
        <v>18477918.318201065</v>
      </c>
      <c r="AL73" s="172">
        <f t="shared" si="70"/>
        <v>15884994.405081162</v>
      </c>
      <c r="AM73" s="105">
        <f t="shared" si="71"/>
        <v>0.53772852339381427</v>
      </c>
      <c r="AN73" s="105">
        <f t="shared" si="72"/>
        <v>0.46227147660618573</v>
      </c>
    </row>
    <row r="74" spans="1:40" x14ac:dyDescent="0.35">
      <c r="A74" s="177" t="s">
        <v>31</v>
      </c>
      <c r="B74" s="178">
        <f>'ABP Under Contract'!B75</f>
        <v>355396</v>
      </c>
      <c r="C74" s="178">
        <f>'ABP Under Contract'!C75</f>
        <v>365123</v>
      </c>
      <c r="D74" s="178">
        <f>'ABP Under Contract'!D75</f>
        <v>1042603</v>
      </c>
      <c r="E74" s="178">
        <f>'ABP Under Contract'!E75</f>
        <v>19619</v>
      </c>
      <c r="F74" s="178">
        <f>'ABP Under Contract'!F75</f>
        <v>77304</v>
      </c>
      <c r="G74" s="178">
        <f>'ABP Under Contract'!G75</f>
        <v>181045</v>
      </c>
      <c r="H74" s="174">
        <f t="shared" si="65"/>
        <v>2041090</v>
      </c>
      <c r="I74" s="30"/>
      <c r="J74" s="30"/>
      <c r="K74" s="30"/>
      <c r="L74" s="178">
        <v>1150425</v>
      </c>
      <c r="M74" s="178">
        <v>1403726</v>
      </c>
      <c r="N74" s="178">
        <f t="shared" si="75"/>
        <v>324475.53305656568</v>
      </c>
      <c r="O74" s="178">
        <f t="shared" si="75"/>
        <v>2001387.1072796555</v>
      </c>
      <c r="P74" s="178">
        <f t="shared" si="75"/>
        <v>97106.04771016461</v>
      </c>
      <c r="Q74" s="178">
        <f t="shared" si="60"/>
        <v>43293.795803821798</v>
      </c>
      <c r="R74" s="174">
        <f t="shared" si="61"/>
        <v>5020413.4838502072</v>
      </c>
      <c r="S74" s="174">
        <f t="shared" si="66"/>
        <v>5586602.9507936416</v>
      </c>
      <c r="T74" s="174">
        <f t="shared" si="58"/>
        <v>1474900.5330565656</v>
      </c>
      <c r="U74" s="174">
        <f t="shared" si="59"/>
        <v>7061503.4838502072</v>
      </c>
      <c r="V74" s="174">
        <f t="shared" ref="V74:AD74" si="87">$B$58*V17</f>
        <v>1044775.5575962926</v>
      </c>
      <c r="W74" s="174">
        <f t="shared" si="87"/>
        <v>1144940.7468965903</v>
      </c>
      <c r="X74" s="174">
        <f t="shared" si="87"/>
        <v>1631780.9003125704</v>
      </c>
      <c r="Y74" s="174">
        <f t="shared" si="87"/>
        <v>1086187.2929899294</v>
      </c>
      <c r="Z74" s="174">
        <f t="shared" si="87"/>
        <v>252290.50356615178</v>
      </c>
      <c r="AA74" s="174">
        <f t="shared" si="87"/>
        <v>1002219.7189836986</v>
      </c>
      <c r="AB74" s="174">
        <f t="shared" si="87"/>
        <v>13754941.07522398</v>
      </c>
      <c r="AC74" s="174">
        <f t="shared" si="87"/>
        <v>6786782.1704017874</v>
      </c>
      <c r="AD74" s="174">
        <f t="shared" si="87"/>
        <v>446660.50478428829</v>
      </c>
      <c r="AE74" s="174">
        <f t="shared" si="77"/>
        <v>330007.68303999997</v>
      </c>
      <c r="AF74" s="174">
        <f t="shared" si="63"/>
        <v>321934.93948677008</v>
      </c>
      <c r="AG74" s="174">
        <f t="shared" si="79"/>
        <v>27802521.093282063</v>
      </c>
      <c r="AH74" s="174">
        <f t="shared" si="64"/>
        <v>34864024.57713227</v>
      </c>
      <c r="AI74" s="192">
        <f>AH74/'Collections and ACP'!E86</f>
        <v>0.41008853320271738</v>
      </c>
      <c r="AJ74" s="172"/>
      <c r="AK74" s="172">
        <f t="shared" si="69"/>
        <v>19634182.968851723</v>
      </c>
      <c r="AL74" s="172">
        <f t="shared" si="70"/>
        <v>15229841.608280547</v>
      </c>
      <c r="AM74" s="105">
        <f t="shared" si="71"/>
        <v>0.56316455736237681</v>
      </c>
      <c r="AN74" s="105">
        <f t="shared" si="72"/>
        <v>0.43683544263762319</v>
      </c>
    </row>
    <row r="75" spans="1:40" x14ac:dyDescent="0.35">
      <c r="A75" s="177" t="s">
        <v>32</v>
      </c>
      <c r="B75" s="178">
        <f>'ABP Under Contract'!B76</f>
        <v>313341</v>
      </c>
      <c r="C75" s="178">
        <f>'ABP Under Contract'!C76</f>
        <v>312876</v>
      </c>
      <c r="D75" s="178">
        <f>'ABP Under Contract'!D76</f>
        <v>1039167</v>
      </c>
      <c r="E75" s="178">
        <f>'ABP Under Contract'!E76</f>
        <v>19605</v>
      </c>
      <c r="F75" s="178">
        <f>'ABP Under Contract'!F76</f>
        <v>76940</v>
      </c>
      <c r="G75" s="178">
        <f>'ABP Under Contract'!G76</f>
        <v>180140</v>
      </c>
      <c r="H75" s="174">
        <f t="shared" si="65"/>
        <v>1942069</v>
      </c>
      <c r="I75" s="30"/>
      <c r="J75" s="30"/>
      <c r="K75" s="30"/>
      <c r="L75" s="178">
        <v>1150425</v>
      </c>
      <c r="M75" s="178">
        <v>1403726</v>
      </c>
      <c r="N75" s="178">
        <f t="shared" si="75"/>
        <v>324475.53305656568</v>
      </c>
      <c r="O75" s="178">
        <f t="shared" si="75"/>
        <v>1991380.171743257</v>
      </c>
      <c r="P75" s="178">
        <f t="shared" si="75"/>
        <v>96620.517471613784</v>
      </c>
      <c r="Q75" s="178">
        <f t="shared" si="60"/>
        <v>43077.326824802687</v>
      </c>
      <c r="R75" s="174">
        <f t="shared" si="61"/>
        <v>5009704.5490962388</v>
      </c>
      <c r="S75" s="174">
        <f t="shared" si="66"/>
        <v>5476873.0160396732</v>
      </c>
      <c r="T75" s="174">
        <f t="shared" si="58"/>
        <v>1474900.5330565656</v>
      </c>
      <c r="U75" s="174">
        <f t="shared" si="59"/>
        <v>6951773.5490962388</v>
      </c>
      <c r="V75" s="174">
        <f t="shared" ref="V75:AD75" si="88">$B$58*V18</f>
        <v>1096729.4650735583</v>
      </c>
      <c r="W75" s="174">
        <f t="shared" si="88"/>
        <v>1200091.3915806336</v>
      </c>
      <c r="X75" s="174">
        <f t="shared" si="88"/>
        <v>1832667.99986249</v>
      </c>
      <c r="Y75" s="174">
        <f t="shared" si="88"/>
        <v>1133017.8575378507</v>
      </c>
      <c r="Z75" s="174">
        <f t="shared" si="88"/>
        <v>285870.05172356812</v>
      </c>
      <c r="AA75" s="174">
        <f t="shared" si="88"/>
        <v>1027646.2945980432</v>
      </c>
      <c r="AB75" s="174">
        <f t="shared" si="88"/>
        <v>14460322.668825211</v>
      </c>
      <c r="AC75" s="174">
        <f t="shared" si="88"/>
        <v>7281884.4547506999</v>
      </c>
      <c r="AD75" s="174">
        <f t="shared" si="88"/>
        <v>479696.28194042837</v>
      </c>
      <c r="AE75" s="174">
        <f t="shared" si="77"/>
        <v>330007.68303999997</v>
      </c>
      <c r="AF75" s="174">
        <f t="shared" si="63"/>
        <v>346737.32311441033</v>
      </c>
      <c r="AG75" s="174">
        <f t="shared" si="79"/>
        <v>29474671.472046893</v>
      </c>
      <c r="AH75" s="174">
        <f t="shared" si="64"/>
        <v>36426445.021143131</v>
      </c>
      <c r="AI75" s="192">
        <f>AH75/'Collections and ACP'!E87</f>
        <v>0.42628812496876023</v>
      </c>
      <c r="AJ75" s="172"/>
      <c r="AK75" s="172">
        <f t="shared" si="69"/>
        <v>20491221.819261353</v>
      </c>
      <c r="AL75" s="172">
        <f t="shared" si="70"/>
        <v>15935223.201881777</v>
      </c>
      <c r="AM75" s="105">
        <f t="shared" si="71"/>
        <v>0.56253696476193493</v>
      </c>
      <c r="AN75" s="105">
        <f t="shared" si="72"/>
        <v>0.43746303523806507</v>
      </c>
    </row>
    <row r="76" spans="1:40" x14ac:dyDescent="0.35">
      <c r="A76" s="177" t="s">
        <v>33</v>
      </c>
      <c r="B76" s="178">
        <f>'ABP Under Contract'!B77</f>
        <v>309964</v>
      </c>
      <c r="C76" s="178">
        <f>'ABP Under Contract'!C77</f>
        <v>308568</v>
      </c>
      <c r="D76" s="178">
        <f>'ABP Under Contract'!D77</f>
        <v>1037004</v>
      </c>
      <c r="E76" s="178">
        <f>'ABP Under Contract'!E77</f>
        <v>19592</v>
      </c>
      <c r="F76" s="178">
        <f>'ABP Under Contract'!F77</f>
        <v>76576</v>
      </c>
      <c r="G76" s="178">
        <f>'ABP Under Contract'!G77</f>
        <v>179240</v>
      </c>
      <c r="H76" s="174">
        <f t="shared" si="65"/>
        <v>1930944</v>
      </c>
      <c r="I76" s="30"/>
      <c r="J76" s="30"/>
      <c r="K76" s="30"/>
      <c r="L76" s="178">
        <v>939405</v>
      </c>
      <c r="M76" s="178">
        <v>1403726</v>
      </c>
      <c r="N76" s="178">
        <f t="shared" si="75"/>
        <v>324475.53305656568</v>
      </c>
      <c r="O76" s="178">
        <f t="shared" si="75"/>
        <v>1981423.2708845409</v>
      </c>
      <c r="P76" s="178">
        <f t="shared" si="75"/>
        <v>96137.414884255719</v>
      </c>
      <c r="Q76" s="178">
        <f t="shared" si="60"/>
        <v>42861.940190678673</v>
      </c>
      <c r="R76" s="174">
        <f t="shared" si="61"/>
        <v>4788029.1590160402</v>
      </c>
      <c r="S76" s="174">
        <f t="shared" si="66"/>
        <v>5455092.6259594746</v>
      </c>
      <c r="T76" s="174">
        <f t="shared" si="58"/>
        <v>1263880.5330565656</v>
      </c>
      <c r="U76" s="174">
        <f t="shared" si="59"/>
        <v>6718973.1590160402</v>
      </c>
      <c r="V76" s="174">
        <f t="shared" ref="V76:AD76" si="89">$B$58*V19</f>
        <v>1148423.6030134375</v>
      </c>
      <c r="W76" s="174">
        <f t="shared" si="89"/>
        <v>1254966.2830412565</v>
      </c>
      <c r="X76" s="174">
        <f t="shared" si="89"/>
        <v>1928027.6618889193</v>
      </c>
      <c r="Y76" s="174">
        <f t="shared" si="89"/>
        <v>1179614.2692630321</v>
      </c>
      <c r="Z76" s="174">
        <f t="shared" si="89"/>
        <v>301861.20180257387</v>
      </c>
      <c r="AA76" s="174">
        <f t="shared" si="89"/>
        <v>1052945.7373343159</v>
      </c>
      <c r="AB76" s="174">
        <f t="shared" si="89"/>
        <v>16223776.652828284</v>
      </c>
      <c r="AC76" s="174">
        <f t="shared" si="89"/>
        <v>7774511.2276778705</v>
      </c>
      <c r="AD76" s="174">
        <f t="shared" si="89"/>
        <v>512566.8802107877</v>
      </c>
      <c r="AE76" s="174">
        <f t="shared" si="77"/>
        <v>330007.68303999997</v>
      </c>
      <c r="AF76" s="174">
        <f t="shared" si="63"/>
        <v>371539.70674205053</v>
      </c>
      <c r="AG76" s="174">
        <f t="shared" si="79"/>
        <v>32078240.90684253</v>
      </c>
      <c r="AH76" s="174">
        <f t="shared" si="64"/>
        <v>38797214.065858573</v>
      </c>
      <c r="AI76" s="192">
        <f>AH76/'Collections and ACP'!E88</f>
        <v>0.4513020675325794</v>
      </c>
      <c r="AJ76" s="172"/>
      <c r="AK76" s="172">
        <f t="shared" si="69"/>
        <v>21309556.879973717</v>
      </c>
      <c r="AL76" s="172">
        <f t="shared" si="70"/>
        <v>17487657.185884848</v>
      </c>
      <c r="AM76" s="105">
        <f t="shared" si="71"/>
        <v>0.54925482133332004</v>
      </c>
      <c r="AN76" s="105">
        <f t="shared" si="72"/>
        <v>0.45074517866667996</v>
      </c>
    </row>
    <row r="77" spans="1:40" x14ac:dyDescent="0.35">
      <c r="A77" s="177" t="s">
        <v>34</v>
      </c>
      <c r="B77" s="178">
        <f>'ABP Under Contract'!B78</f>
        <v>286813</v>
      </c>
      <c r="C77" s="178">
        <f>'ABP Under Contract'!C78</f>
        <v>263863</v>
      </c>
      <c r="D77" s="178">
        <f>'ABP Under Contract'!D78</f>
        <v>866168</v>
      </c>
      <c r="E77" s="178">
        <f>'ABP Under Contract'!E78</f>
        <v>19579</v>
      </c>
      <c r="F77" s="178">
        <f>'ABP Under Contract'!F78</f>
        <v>76219</v>
      </c>
      <c r="G77" s="178">
        <f>'ABP Under Contract'!G78</f>
        <v>178343</v>
      </c>
      <c r="H77" s="174">
        <f t="shared" si="65"/>
        <v>1690985</v>
      </c>
      <c r="I77" s="30"/>
      <c r="J77" s="30"/>
      <c r="K77" s="30"/>
      <c r="L77" s="178">
        <f t="shared" ref="L77:L84" si="90">L20*$B$58</f>
        <v>0</v>
      </c>
      <c r="M77" s="178"/>
      <c r="N77" s="178">
        <f t="shared" si="75"/>
        <v>324475.53305656568</v>
      </c>
      <c r="O77" s="178">
        <f t="shared" si="75"/>
        <v>1971516.1545301182</v>
      </c>
      <c r="P77" s="178">
        <f t="shared" si="75"/>
        <v>95656.727809834454</v>
      </c>
      <c r="Q77" s="178">
        <f t="shared" si="60"/>
        <v>42647.630489725285</v>
      </c>
      <c r="R77" s="174">
        <f t="shared" si="61"/>
        <v>2434296.0458862432</v>
      </c>
      <c r="S77" s="174">
        <f t="shared" si="66"/>
        <v>3800805.5128296777</v>
      </c>
      <c r="T77" s="174">
        <f t="shared" si="58"/>
        <v>324475.53305656568</v>
      </c>
      <c r="U77" s="174">
        <f t="shared" si="59"/>
        <v>4125281.0458862432</v>
      </c>
      <c r="V77" s="174">
        <f t="shared" ref="V77:AD77" si="91">$B$58*V20</f>
        <v>1199859.2702636169</v>
      </c>
      <c r="W77" s="174">
        <f t="shared" si="91"/>
        <v>1309566.8000445762</v>
      </c>
      <c r="X77" s="174">
        <f t="shared" si="91"/>
        <v>2022910.5256052159</v>
      </c>
      <c r="Y77" s="174">
        <f t="shared" si="91"/>
        <v>1225977.6989295876</v>
      </c>
      <c r="Z77" s="174">
        <f t="shared" si="91"/>
        <v>317772.39613118453</v>
      </c>
      <c r="AA77" s="174">
        <f t="shared" si="91"/>
        <v>1078118.6828569071</v>
      </c>
      <c r="AB77" s="174">
        <f t="shared" si="91"/>
        <v>15871085.85602767</v>
      </c>
      <c r="AC77" s="174">
        <f t="shared" si="91"/>
        <v>8264674.8667404028</v>
      </c>
      <c r="AD77" s="174">
        <f t="shared" si="91"/>
        <v>545273.12548979523</v>
      </c>
      <c r="AE77" s="174">
        <f t="shared" si="77"/>
        <v>330007.68303999997</v>
      </c>
      <c r="AF77" s="174">
        <f t="shared" si="63"/>
        <v>396342.09036969068</v>
      </c>
      <c r="AG77" s="174">
        <f t="shared" si="79"/>
        <v>32561588.995498646</v>
      </c>
      <c r="AH77" s="174">
        <f t="shared" si="64"/>
        <v>36686870.041384891</v>
      </c>
      <c r="AI77" s="192">
        <f>AH77/'Collections and ACP'!E89</f>
        <v>0.42552230453016671</v>
      </c>
      <c r="AJ77" s="172"/>
      <c r="AK77" s="172">
        <f t="shared" si="69"/>
        <v>20491308.652300656</v>
      </c>
      <c r="AL77" s="172">
        <f t="shared" si="70"/>
        <v>16195561.389084237</v>
      </c>
      <c r="AM77" s="105">
        <f t="shared" si="71"/>
        <v>0.55854611279690214</v>
      </c>
      <c r="AN77" s="105">
        <f t="shared" si="72"/>
        <v>0.44145388720309786</v>
      </c>
    </row>
    <row r="78" spans="1:40" x14ac:dyDescent="0.35">
      <c r="A78" s="177" t="s">
        <v>35</v>
      </c>
      <c r="B78" s="178">
        <f>'ABP Under Contract'!B79</f>
        <v>284757</v>
      </c>
      <c r="C78" s="178">
        <f>'ABP Under Contract'!C79</f>
        <v>257886</v>
      </c>
      <c r="D78" s="178">
        <f>'ABP Under Contract'!D79</f>
        <v>802961</v>
      </c>
      <c r="E78" s="178">
        <f>'ABP Under Contract'!E79</f>
        <v>19566</v>
      </c>
      <c r="F78" s="178">
        <f>'ABP Under Contract'!F79</f>
        <v>75861</v>
      </c>
      <c r="G78" s="178">
        <f>'ABP Under Contract'!G79</f>
        <v>177452</v>
      </c>
      <c r="H78" s="174">
        <f t="shared" si="65"/>
        <v>1618483</v>
      </c>
      <c r="I78" s="30"/>
      <c r="J78" s="30"/>
      <c r="K78" s="30"/>
      <c r="L78" s="178">
        <f t="shared" si="90"/>
        <v>0</v>
      </c>
      <c r="M78" s="178"/>
      <c r="N78" s="178">
        <f t="shared" si="75"/>
        <v>324475.53305656568</v>
      </c>
      <c r="O78" s="178">
        <f t="shared" si="75"/>
        <v>1961658.5737574678</v>
      </c>
      <c r="P78" s="178">
        <f t="shared" si="75"/>
        <v>95178.444170785267</v>
      </c>
      <c r="Q78" s="178">
        <f t="shared" si="60"/>
        <v>42434.392337276659</v>
      </c>
      <c r="R78" s="174">
        <f t="shared" si="61"/>
        <v>2423746.9433220951</v>
      </c>
      <c r="S78" s="174">
        <f t="shared" si="66"/>
        <v>3717754.4102655295</v>
      </c>
      <c r="T78" s="174">
        <f t="shared" si="58"/>
        <v>324475.53305656568</v>
      </c>
      <c r="U78" s="174">
        <f t="shared" si="59"/>
        <v>4042229.9433220951</v>
      </c>
      <c r="V78" s="174">
        <f t="shared" ref="V78:AD78" si="92">$B$58*V21</f>
        <v>1251037.7591775458</v>
      </c>
      <c r="W78" s="174">
        <f t="shared" si="92"/>
        <v>1363894.3144628794</v>
      </c>
      <c r="X78" s="174">
        <f t="shared" si="92"/>
        <v>2117318.975002931</v>
      </c>
      <c r="Y78" s="174">
        <f t="shared" si="92"/>
        <v>1272109.3114478101</v>
      </c>
      <c r="Z78" s="174">
        <f t="shared" si="92"/>
        <v>333604.03448815207</v>
      </c>
      <c r="AA78" s="174">
        <f t="shared" si="92"/>
        <v>1103165.7636518856</v>
      </c>
      <c r="AB78" s="174">
        <f t="shared" si="92"/>
        <v>16576467.449628899</v>
      </c>
      <c r="AC78" s="174">
        <f t="shared" si="92"/>
        <v>8752387.6876076236</v>
      </c>
      <c r="AD78" s="174">
        <f t="shared" si="92"/>
        <v>577815.83954240778</v>
      </c>
      <c r="AE78" s="174">
        <f t="shared" si="77"/>
        <v>330007.68303999997</v>
      </c>
      <c r="AF78" s="174">
        <f t="shared" si="63"/>
        <v>421144.47399733093</v>
      </c>
      <c r="AG78" s="174">
        <f t="shared" si="79"/>
        <v>34098953.292047463</v>
      </c>
      <c r="AH78" s="174">
        <f t="shared" si="64"/>
        <v>38141183.235369556</v>
      </c>
      <c r="AI78" s="192">
        <f>AH78/'Collections and ACP'!E90</f>
        <v>0.43958216636651198</v>
      </c>
      <c r="AJ78" s="172"/>
      <c r="AK78" s="172">
        <f t="shared" si="69"/>
        <v>21240240.252684098</v>
      </c>
      <c r="AL78" s="172">
        <f t="shared" si="70"/>
        <v>16900942.982685465</v>
      </c>
      <c r="AM78" s="105">
        <f t="shared" si="71"/>
        <v>0.55688467034728306</v>
      </c>
      <c r="AN78" s="105">
        <f t="shared" si="72"/>
        <v>0.44311532965271694</v>
      </c>
    </row>
    <row r="79" spans="1:40" x14ac:dyDescent="0.35">
      <c r="A79" s="177" t="s">
        <v>36</v>
      </c>
      <c r="B79" s="178">
        <f>'ABP Under Contract'!B80</f>
        <v>265692</v>
      </c>
      <c r="C79" s="178">
        <f>'ABP Under Contract'!C80</f>
        <v>244707</v>
      </c>
      <c r="D79" s="178">
        <f>'ABP Under Contract'!D80</f>
        <v>790299</v>
      </c>
      <c r="E79" s="178">
        <f>'ABP Under Contract'!E80</f>
        <v>19554</v>
      </c>
      <c r="F79" s="178">
        <f>'ABP Under Contract'!F80</f>
        <v>75500</v>
      </c>
      <c r="G79" s="178">
        <f>'ABP Under Contract'!G80</f>
        <v>176562</v>
      </c>
      <c r="H79" s="174">
        <f t="shared" si="65"/>
        <v>1572314</v>
      </c>
      <c r="I79" s="30"/>
      <c r="J79" s="30"/>
      <c r="K79" s="30"/>
      <c r="L79" s="178">
        <f t="shared" si="90"/>
        <v>0</v>
      </c>
      <c r="M79" s="178"/>
      <c r="N79" s="178">
        <f t="shared" si="75"/>
        <v>324475.53305656568</v>
      </c>
      <c r="O79" s="178">
        <f t="shared" si="75"/>
        <v>1951850.2808886804</v>
      </c>
      <c r="P79" s="178">
        <f t="shared" si="75"/>
        <v>94702.551949931352</v>
      </c>
      <c r="Q79" s="178">
        <f t="shared" si="60"/>
        <v>42222.220375590274</v>
      </c>
      <c r="R79" s="174">
        <f t="shared" si="61"/>
        <v>2413250.5862707677</v>
      </c>
      <c r="S79" s="174">
        <f t="shared" si="66"/>
        <v>3661089.0532142022</v>
      </c>
      <c r="T79" s="174">
        <f t="shared" si="58"/>
        <v>324475.53305656568</v>
      </c>
      <c r="U79" s="174">
        <f t="shared" si="59"/>
        <v>3985564.5862707677</v>
      </c>
      <c r="V79" s="174">
        <f t="shared" ref="V79:AD79" si="93">$B$58*V22</f>
        <v>1301960.355646905</v>
      </c>
      <c r="W79" s="174">
        <f t="shared" si="93"/>
        <v>1417950.1913090909</v>
      </c>
      <c r="X79" s="174">
        <f t="shared" si="93"/>
        <v>2211255.3821536573</v>
      </c>
      <c r="Y79" s="174">
        <f t="shared" si="93"/>
        <v>1318010.2659034419</v>
      </c>
      <c r="Z79" s="174">
        <f t="shared" si="93"/>
        <v>349356.51465333492</v>
      </c>
      <c r="AA79" s="174">
        <f t="shared" si="93"/>
        <v>1128087.6090428892</v>
      </c>
      <c r="AB79" s="174">
        <f t="shared" si="93"/>
        <v>17281849.043230128</v>
      </c>
      <c r="AC79" s="174">
        <f t="shared" si="93"/>
        <v>9237661.9443705082</v>
      </c>
      <c r="AD79" s="174">
        <f t="shared" si="93"/>
        <v>610195.8400247572</v>
      </c>
      <c r="AE79" s="174">
        <f t="shared" si="77"/>
        <v>330007.68303999997</v>
      </c>
      <c r="AF79" s="174">
        <f t="shared" si="63"/>
        <v>445946.85762497113</v>
      </c>
      <c r="AG79" s="174">
        <f t="shared" si="79"/>
        <v>35632281.686999679</v>
      </c>
      <c r="AH79" s="174">
        <f t="shared" si="64"/>
        <v>39617846.273270443</v>
      </c>
      <c r="AI79" s="192">
        <f>AH79/'Collections and ACP'!E91</f>
        <v>0.45425773206348319</v>
      </c>
      <c r="AJ79" s="172"/>
      <c r="AK79" s="172">
        <f t="shared" si="69"/>
        <v>22011521.696983762</v>
      </c>
      <c r="AL79" s="172">
        <f t="shared" si="70"/>
        <v>17606324.576286692</v>
      </c>
      <c r="AM79" s="105">
        <f t="shared" si="71"/>
        <v>0.555596120625936</v>
      </c>
      <c r="AN79" s="105">
        <f t="shared" si="72"/>
        <v>0.444403879374064</v>
      </c>
    </row>
    <row r="80" spans="1:40" x14ac:dyDescent="0.35">
      <c r="A80" s="177" t="s">
        <v>37</v>
      </c>
      <c r="B80" s="178">
        <f>'ABP Under Contract'!B81</f>
        <v>155011</v>
      </c>
      <c r="C80" s="178">
        <f>'ABP Under Contract'!C81</f>
        <v>125798</v>
      </c>
      <c r="D80" s="178">
        <f>'ABP Under Contract'!D81</f>
        <v>789315</v>
      </c>
      <c r="E80" s="178">
        <f>'ABP Under Contract'!E81</f>
        <v>19542</v>
      </c>
      <c r="F80" s="178">
        <f>'ABP Under Contract'!F81</f>
        <v>75146</v>
      </c>
      <c r="G80" s="178">
        <f>'ABP Under Contract'!G81</f>
        <v>175682</v>
      </c>
      <c r="H80" s="174">
        <f t="shared" si="65"/>
        <v>1340494</v>
      </c>
      <c r="I80" s="30"/>
      <c r="J80" s="30"/>
      <c r="K80" s="30"/>
      <c r="L80" s="178">
        <f t="shared" si="90"/>
        <v>0</v>
      </c>
      <c r="M80" s="178"/>
      <c r="N80" s="178">
        <f t="shared" si="75"/>
        <v>324475.53305656568</v>
      </c>
      <c r="O80" s="178">
        <f t="shared" si="75"/>
        <v>1942091.0294842368</v>
      </c>
      <c r="P80" s="178">
        <f t="shared" si="75"/>
        <v>94229.039190181677</v>
      </c>
      <c r="Q80" s="178">
        <f t="shared" si="60"/>
        <v>42011.109273712318</v>
      </c>
      <c r="R80" s="174">
        <f t="shared" si="61"/>
        <v>2402806.7110046963</v>
      </c>
      <c r="S80" s="174">
        <f t="shared" si="66"/>
        <v>3418825.1779481303</v>
      </c>
      <c r="T80" s="174">
        <f t="shared" si="58"/>
        <v>324475.53305656568</v>
      </c>
      <c r="U80" s="174">
        <f t="shared" si="59"/>
        <v>3743300.7110046963</v>
      </c>
      <c r="V80" s="174">
        <f t="shared" ref="V80:AD80" si="94">$B$58*V23</f>
        <v>1252999.130150706</v>
      </c>
      <c r="W80" s="174">
        <f t="shared" si="94"/>
        <v>1334027.8617331441</v>
      </c>
      <c r="X80" s="174">
        <f t="shared" si="94"/>
        <v>2304722.1072686305</v>
      </c>
      <c r="Y80" s="174">
        <f t="shared" si="94"/>
        <v>1125528.8672420382</v>
      </c>
      <c r="Z80" s="174">
        <f t="shared" si="94"/>
        <v>365030.23241769179</v>
      </c>
      <c r="AA80" s="174">
        <f t="shared" si="94"/>
        <v>1046299.8649542409</v>
      </c>
      <c r="AB80" s="174">
        <f t="shared" si="94"/>
        <v>17987230.636831358</v>
      </c>
      <c r="AC80" s="174">
        <f t="shared" si="94"/>
        <v>9720509.8298495766</v>
      </c>
      <c r="AD80" s="174">
        <f t="shared" si="94"/>
        <v>642413.94050469494</v>
      </c>
      <c r="AE80" s="174">
        <f t="shared" si="77"/>
        <v>330007.68303999997</v>
      </c>
      <c r="AF80" s="174">
        <f t="shared" si="63"/>
        <v>470749.24125261139</v>
      </c>
      <c r="AG80" s="174">
        <f t="shared" si="79"/>
        <v>36579519.395244688</v>
      </c>
      <c r="AH80" s="174">
        <f t="shared" si="64"/>
        <v>40322820.106249385</v>
      </c>
      <c r="AI80" s="192">
        <f>AH80/'Collections and ACP'!E92</f>
        <v>0.45952480856474615</v>
      </c>
      <c r="AJ80" s="172"/>
      <c r="AK80" s="172">
        <f t="shared" si="69"/>
        <v>22011113.936361469</v>
      </c>
      <c r="AL80" s="172">
        <f t="shared" si="70"/>
        <v>18311706.169887923</v>
      </c>
      <c r="AM80" s="105">
        <f t="shared" si="71"/>
        <v>0.5458723838849282</v>
      </c>
      <c r="AN80" s="105">
        <f t="shared" si="72"/>
        <v>0.4541276161150718</v>
      </c>
    </row>
    <row r="81" spans="1:40" x14ac:dyDescent="0.35">
      <c r="A81" s="177" t="s">
        <v>38</v>
      </c>
      <c r="B81" s="178">
        <f>'ABP Under Contract'!B82</f>
        <v>154538</v>
      </c>
      <c r="C81" s="178">
        <f>'ABP Under Contract'!C82</f>
        <v>125704</v>
      </c>
      <c r="D81" s="178">
        <f>'ABP Under Contract'!D82</f>
        <v>759459</v>
      </c>
      <c r="E81" s="178">
        <f>'ABP Under Contract'!E82</f>
        <v>19529</v>
      </c>
      <c r="F81" s="178">
        <f>'ABP Under Contract'!F82</f>
        <v>4572</v>
      </c>
      <c r="G81" s="178">
        <f>'ABP Under Contract'!G82</f>
        <v>174803</v>
      </c>
      <c r="H81" s="174">
        <f t="shared" si="65"/>
        <v>1238605</v>
      </c>
      <c r="I81" s="30"/>
      <c r="J81" s="30"/>
      <c r="K81" s="30"/>
      <c r="L81" s="178">
        <f t="shared" si="90"/>
        <v>0</v>
      </c>
      <c r="M81" s="178"/>
      <c r="N81" s="178">
        <f t="shared" si="75"/>
        <v>324475.53305656568</v>
      </c>
      <c r="O81" s="178">
        <f t="shared" si="75"/>
        <v>1932380.5743368156</v>
      </c>
      <c r="P81" s="178">
        <f t="shared" si="75"/>
        <v>93757.893994230792</v>
      </c>
      <c r="Q81" s="178">
        <f t="shared" si="60"/>
        <v>41801.053727343759</v>
      </c>
      <c r="R81" s="174">
        <f t="shared" si="61"/>
        <v>2392415.0551149556</v>
      </c>
      <c r="S81" s="174">
        <f t="shared" si="66"/>
        <v>3306544.5220583901</v>
      </c>
      <c r="T81" s="174">
        <f t="shared" si="58"/>
        <v>324475.53305656568</v>
      </c>
      <c r="U81" s="174">
        <f t="shared" si="59"/>
        <v>3631020.0551149556</v>
      </c>
      <c r="V81" s="174">
        <f t="shared" ref="V81:AD81" si="95">$B$58*V24</f>
        <v>1208446.5089931579</v>
      </c>
      <c r="W81" s="174">
        <f t="shared" si="95"/>
        <v>1286594.1193567531</v>
      </c>
      <c r="X81" s="174">
        <f t="shared" si="95"/>
        <v>2397721.4987580287</v>
      </c>
      <c r="Y81" s="174">
        <f t="shared" si="95"/>
        <v>1172162.7239186985</v>
      </c>
      <c r="Z81" s="174">
        <f t="shared" si="95"/>
        <v>380625.58159322687</v>
      </c>
      <c r="AA81" s="174">
        <f t="shared" si="95"/>
        <v>958573.87152067549</v>
      </c>
      <c r="AB81" s="174">
        <f t="shared" si="95"/>
        <v>18692612.230432589</v>
      </c>
      <c r="AC81" s="174">
        <f t="shared" si="95"/>
        <v>10200943.47590125</v>
      </c>
      <c r="AD81" s="174">
        <f t="shared" si="95"/>
        <v>674470.95048223285</v>
      </c>
      <c r="AE81" s="174">
        <f t="shared" si="77"/>
        <v>330007.68303999997</v>
      </c>
      <c r="AF81" s="174">
        <f t="shared" si="63"/>
        <v>495551.62488025159</v>
      </c>
      <c r="AG81" s="174">
        <f t="shared" si="79"/>
        <v>37797710.268876873</v>
      </c>
      <c r="AH81" s="174">
        <f t="shared" si="64"/>
        <v>41428730.323991828</v>
      </c>
      <c r="AI81" s="192">
        <f>AH81/'Collections and ACP'!E93</f>
        <v>0.47015699047623327</v>
      </c>
      <c r="AJ81" s="172"/>
      <c r="AK81" s="172">
        <f t="shared" si="69"/>
        <v>22411642.560502667</v>
      </c>
      <c r="AL81" s="172">
        <f t="shared" si="70"/>
        <v>19017087.763489153</v>
      </c>
      <c r="AM81" s="105">
        <f t="shared" si="71"/>
        <v>0.54096860766027011</v>
      </c>
      <c r="AN81" s="105">
        <f t="shared" si="72"/>
        <v>0.45903139233972989</v>
      </c>
    </row>
    <row r="82" spans="1:40" x14ac:dyDescent="0.35">
      <c r="A82" s="177" t="s">
        <v>39</v>
      </c>
      <c r="B82" s="178">
        <f>'ABP Under Contract'!B83</f>
        <v>136277</v>
      </c>
      <c r="C82" s="178">
        <f>'ABP Under Contract'!C83</f>
        <v>120727</v>
      </c>
      <c r="D82" s="178">
        <f>'ABP Under Contract'!D83</f>
        <v>758488</v>
      </c>
      <c r="E82" s="178">
        <f>'ABP Under Contract'!E83</f>
        <v>19516</v>
      </c>
      <c r="F82" s="178">
        <f>'ABP Under Contract'!F83</f>
        <v>4572</v>
      </c>
      <c r="G82" s="178">
        <f>'ABP Under Contract'!G83</f>
        <v>173930</v>
      </c>
      <c r="H82" s="174">
        <f t="shared" si="65"/>
        <v>1213510</v>
      </c>
      <c r="I82" s="30"/>
      <c r="J82" s="30"/>
      <c r="K82" s="30"/>
      <c r="L82" s="178">
        <f t="shared" si="90"/>
        <v>0</v>
      </c>
      <c r="M82" s="178"/>
      <c r="N82" s="178">
        <f t="shared" si="75"/>
        <v>324475.53305656568</v>
      </c>
      <c r="O82" s="178">
        <f t="shared" si="75"/>
        <v>1922718.6714651317</v>
      </c>
      <c r="P82" s="178">
        <f t="shared" si="75"/>
        <v>93289.10452425963</v>
      </c>
      <c r="Q82" s="178">
        <f t="shared" si="60"/>
        <v>41592.048458707039</v>
      </c>
      <c r="R82" s="174">
        <f t="shared" si="61"/>
        <v>2382075.357504664</v>
      </c>
      <c r="S82" s="174">
        <f t="shared" si="66"/>
        <v>3271109.824448098</v>
      </c>
      <c r="T82" s="174">
        <f t="shared" si="58"/>
        <v>324475.53305656568</v>
      </c>
      <c r="U82" s="174">
        <f t="shared" si="59"/>
        <v>3595585.357504664</v>
      </c>
      <c r="V82" s="174">
        <f t="shared" ref="V82:AD82" si="96">$B$58*V25</f>
        <v>1164116.6509413973</v>
      </c>
      <c r="W82" s="174">
        <f t="shared" si="96"/>
        <v>1239397.5456922438</v>
      </c>
      <c r="X82" s="174">
        <f t="shared" si="96"/>
        <v>2490255.8932899795</v>
      </c>
      <c r="Y82" s="174">
        <f t="shared" si="96"/>
        <v>1218563.4113119759</v>
      </c>
      <c r="Z82" s="174">
        <f t="shared" si="96"/>
        <v>370289.00916773418</v>
      </c>
      <c r="AA82" s="174">
        <f t="shared" si="96"/>
        <v>871286.50805427774</v>
      </c>
      <c r="AB82" s="174">
        <f t="shared" si="96"/>
        <v>20456066.214435663</v>
      </c>
      <c r="AC82" s="174">
        <f t="shared" si="96"/>
        <v>10678974.953722667</v>
      </c>
      <c r="AD82" s="174">
        <f t="shared" si="96"/>
        <v>706367.67540988314</v>
      </c>
      <c r="AE82" s="174">
        <f t="shared" si="77"/>
        <v>330007.68303999997</v>
      </c>
      <c r="AF82" s="174">
        <f t="shared" si="63"/>
        <v>520354.00850789173</v>
      </c>
      <c r="AG82" s="174">
        <f t="shared" si="79"/>
        <v>40045679.55357372</v>
      </c>
      <c r="AH82" s="174">
        <f t="shared" si="64"/>
        <v>43641264.911078386</v>
      </c>
      <c r="AI82" s="192">
        <f>AH82/'Collections and ACP'!E94</f>
        <v>0.49316898942112525</v>
      </c>
      <c r="AJ82" s="172"/>
      <c r="AK82" s="172">
        <f t="shared" si="69"/>
        <v>22860723.163586147</v>
      </c>
      <c r="AL82" s="172">
        <f t="shared" si="70"/>
        <v>20780541.747492228</v>
      </c>
      <c r="AM82" s="105">
        <f t="shared" si="71"/>
        <v>0.52383273514565176</v>
      </c>
      <c r="AN82" s="105">
        <f t="shared" si="72"/>
        <v>0.47616726485434824</v>
      </c>
    </row>
    <row r="83" spans="1:40" x14ac:dyDescent="0.35">
      <c r="A83" s="177" t="s">
        <v>40</v>
      </c>
      <c r="B83" s="178">
        <f>'ABP Under Contract'!B84</f>
        <v>57181</v>
      </c>
      <c r="C83" s="178">
        <f>'ABP Under Contract'!C84</f>
        <v>45845</v>
      </c>
      <c r="D83" s="178">
        <f>'ABP Under Contract'!D84</f>
        <v>608082</v>
      </c>
      <c r="E83" s="178">
        <f>'ABP Under Contract'!E84</f>
        <v>19504</v>
      </c>
      <c r="F83" s="178">
        <f>'ABP Under Contract'!F84</f>
        <v>4572</v>
      </c>
      <c r="G83" s="178">
        <f>'ABP Under Contract'!G84</f>
        <v>173060</v>
      </c>
      <c r="H83" s="174">
        <f t="shared" si="65"/>
        <v>908244</v>
      </c>
      <c r="I83" s="30"/>
      <c r="J83" s="30"/>
      <c r="K83" s="30"/>
      <c r="L83" s="178">
        <f t="shared" si="90"/>
        <v>0</v>
      </c>
      <c r="M83" s="178"/>
      <c r="N83" s="178">
        <f t="shared" si="75"/>
        <v>324475.53305656568</v>
      </c>
      <c r="O83" s="178">
        <f t="shared" si="75"/>
        <v>1913105.0781078057</v>
      </c>
      <c r="P83" s="178">
        <f t="shared" si="75"/>
        <v>92822.659001638342</v>
      </c>
      <c r="Q83" s="178">
        <f t="shared" si="60"/>
        <v>41384.088216413504</v>
      </c>
      <c r="R83" s="174">
        <f t="shared" si="61"/>
        <v>2371787.3583824229</v>
      </c>
      <c r="S83" s="174">
        <f t="shared" si="66"/>
        <v>2955555.8253258574</v>
      </c>
      <c r="T83" s="174">
        <f t="shared" si="58"/>
        <v>324475.53305656568</v>
      </c>
      <c r="U83" s="174">
        <f t="shared" si="59"/>
        <v>3280031.3583824229</v>
      </c>
      <c r="V83" s="174">
        <f t="shared" ref="V83:AD83" si="97">$B$58*V26</f>
        <v>1062830.6569146488</v>
      </c>
      <c r="W83" s="174">
        <f t="shared" si="97"/>
        <v>1131561.6064775309</v>
      </c>
      <c r="X83" s="174">
        <f t="shared" si="97"/>
        <v>2582327.615849271</v>
      </c>
      <c r="Y83" s="174">
        <f t="shared" si="97"/>
        <v>1212470.594255416</v>
      </c>
      <c r="Z83" s="174">
        <f t="shared" si="97"/>
        <v>360004.11960436899</v>
      </c>
      <c r="AA83" s="174">
        <f t="shared" si="97"/>
        <v>753997.90719594923</v>
      </c>
      <c r="AB83" s="174">
        <f t="shared" si="97"/>
        <v>20103375.41763505</v>
      </c>
      <c r="AC83" s="174">
        <f t="shared" si="97"/>
        <v>11154616.274154976</v>
      </c>
      <c r="AD83" s="174">
        <f t="shared" si="97"/>
        <v>738104.91671289527</v>
      </c>
      <c r="AE83" s="174">
        <f t="shared" si="77"/>
        <v>330007.68303999997</v>
      </c>
      <c r="AF83" s="174">
        <f t="shared" si="63"/>
        <v>545156.39213553199</v>
      </c>
      <c r="AG83" s="174">
        <f t="shared" si="79"/>
        <v>39974453.183975637</v>
      </c>
      <c r="AH83" s="174">
        <f t="shared" si="64"/>
        <v>43254484.542358063</v>
      </c>
      <c r="AI83" s="192"/>
      <c r="AJ83" s="172"/>
      <c r="AK83" s="172">
        <f t="shared" si="69"/>
        <v>22826633.591666441</v>
      </c>
      <c r="AL83" s="172">
        <f t="shared" si="70"/>
        <v>20427850.950691614</v>
      </c>
      <c r="AM83" s="105">
        <f t="shared" si="71"/>
        <v>0.52772871606672089</v>
      </c>
      <c r="AN83" s="105">
        <f t="shared" si="72"/>
        <v>0.47227128393327911</v>
      </c>
    </row>
    <row r="84" spans="1:40" x14ac:dyDescent="0.35">
      <c r="A84" s="190" t="s">
        <v>165</v>
      </c>
      <c r="L84" s="178">
        <f t="shared" si="90"/>
        <v>0</v>
      </c>
      <c r="N84" s="178">
        <f t="shared" si="75"/>
        <v>324475.53305656568</v>
      </c>
      <c r="O84" s="178">
        <f t="shared" si="75"/>
        <v>1909666.5497356853</v>
      </c>
      <c r="P84" s="178">
        <f t="shared" si="75"/>
        <v>92546.681466751354</v>
      </c>
      <c r="S84" s="174">
        <f t="shared" si="66"/>
        <v>2002213.2312024366</v>
      </c>
      <c r="T84" s="174">
        <f t="shared" si="58"/>
        <v>324475.53305656568</v>
      </c>
      <c r="U84" s="174">
        <f t="shared" si="59"/>
        <v>0</v>
      </c>
      <c r="AG84" s="174">
        <f t="shared" si="79"/>
        <v>0</v>
      </c>
      <c r="AH84" s="174">
        <f t="shared" ref="AH84" si="98">H84+R84+AG84</f>
        <v>0</v>
      </c>
      <c r="AI84" s="192"/>
      <c r="AK84" s="172">
        <f t="shared" si="69"/>
        <v>2002213.2312024366</v>
      </c>
      <c r="AL84" s="172">
        <f t="shared" si="70"/>
        <v>324475.53305656568</v>
      </c>
      <c r="AM84" s="105">
        <f t="shared" si="71"/>
        <v>0.86054192634574234</v>
      </c>
      <c r="AN84" s="105">
        <f t="shared" si="72"/>
        <v>0.13945807365425766</v>
      </c>
    </row>
    <row r="85" spans="1:40" x14ac:dyDescent="0.35">
      <c r="N85" s="187"/>
      <c r="O85" s="187"/>
      <c r="P85" s="187"/>
    </row>
    <row r="86" spans="1:40" x14ac:dyDescent="0.35">
      <c r="A86" s="177" t="s">
        <v>236</v>
      </c>
      <c r="B86" s="22">
        <v>5.0041044571267233E-3</v>
      </c>
    </row>
    <row r="87" spans="1:40" ht="29" x14ac:dyDescent="0.35">
      <c r="A87" s="184" t="s">
        <v>1</v>
      </c>
      <c r="B87" s="184" t="str">
        <f t="shared" ref="B87:G87" si="99">B2</f>
        <v>Small DG</v>
      </c>
      <c r="C87" s="184" t="str">
        <f t="shared" si="99"/>
        <v>Large DG</v>
      </c>
      <c r="D87" s="184" t="str">
        <f t="shared" si="99"/>
        <v>Traditional CS</v>
      </c>
      <c r="E87" s="184" t="str">
        <f t="shared" si="99"/>
        <v xml:space="preserve"> Public Schools </v>
      </c>
      <c r="F87" s="184" t="str">
        <f t="shared" si="99"/>
        <v xml:space="preserve"> CDCS </v>
      </c>
      <c r="G87" s="184" t="str">
        <f t="shared" si="99"/>
        <v xml:space="preserve"> EEC </v>
      </c>
      <c r="H87" s="24" t="s">
        <v>211</v>
      </c>
      <c r="I87" s="184" t="s">
        <v>212</v>
      </c>
      <c r="J87" s="184" t="s">
        <v>213</v>
      </c>
      <c r="K87" s="184" t="s">
        <v>214</v>
      </c>
      <c r="L87" s="184" t="s">
        <v>234</v>
      </c>
      <c r="M87" s="184" t="s">
        <v>235</v>
      </c>
      <c r="N87" s="184" t="s">
        <v>217</v>
      </c>
      <c r="O87" s="184" t="s">
        <v>218</v>
      </c>
      <c r="P87" s="184" t="s">
        <v>219</v>
      </c>
      <c r="Q87" s="240" t="s">
        <v>220</v>
      </c>
      <c r="R87" s="24" t="s">
        <v>221</v>
      </c>
      <c r="S87" s="24" t="s">
        <v>222</v>
      </c>
      <c r="T87" s="24" t="s">
        <v>223</v>
      </c>
      <c r="U87" s="24" t="s">
        <v>224</v>
      </c>
      <c r="V87" s="184" t="s">
        <v>131</v>
      </c>
      <c r="W87" s="184" t="s">
        <v>137</v>
      </c>
      <c r="X87" s="25" t="s">
        <v>146</v>
      </c>
      <c r="Y87" s="184" t="s">
        <v>151</v>
      </c>
      <c r="Z87" s="25" t="s">
        <v>155</v>
      </c>
      <c r="AA87" s="25" t="s">
        <v>158</v>
      </c>
      <c r="AB87" s="184" t="s">
        <v>87</v>
      </c>
      <c r="AC87" s="184" t="s">
        <v>88</v>
      </c>
      <c r="AD87" s="184" t="s">
        <v>83</v>
      </c>
      <c r="AE87" s="184" t="s">
        <v>225</v>
      </c>
      <c r="AF87" s="25" t="s">
        <v>226</v>
      </c>
      <c r="AG87" s="193" t="s">
        <v>227</v>
      </c>
      <c r="AH87" s="24" t="s">
        <v>228</v>
      </c>
      <c r="AI87" s="24" t="s">
        <v>229</v>
      </c>
      <c r="AK87" s="76" t="s">
        <v>230</v>
      </c>
      <c r="AL87" s="76" t="s">
        <v>231</v>
      </c>
      <c r="AM87" t="s">
        <v>232</v>
      </c>
      <c r="AN87" t="s">
        <v>233</v>
      </c>
    </row>
    <row r="88" spans="1:40" x14ac:dyDescent="0.35">
      <c r="A88" s="184"/>
      <c r="B88" s="184"/>
      <c r="C88" s="184"/>
      <c r="D88" s="184"/>
      <c r="E88" s="184"/>
      <c r="F88" s="184"/>
      <c r="G88" s="184"/>
      <c r="H88" s="24"/>
      <c r="I88" s="184"/>
      <c r="J88" s="184"/>
      <c r="K88" s="184"/>
      <c r="L88" s="184"/>
      <c r="M88" s="184"/>
      <c r="N88" s="184"/>
      <c r="O88" s="184"/>
      <c r="P88" s="184"/>
      <c r="Q88" s="240"/>
      <c r="R88" s="24"/>
      <c r="S88" s="24"/>
      <c r="T88" s="24"/>
      <c r="U88" s="24"/>
      <c r="V88" s="184"/>
      <c r="W88" s="184"/>
      <c r="X88" s="184"/>
      <c r="Y88" s="184"/>
      <c r="Z88" s="184"/>
      <c r="AA88" s="184"/>
      <c r="AB88" s="184"/>
      <c r="AC88" s="184"/>
      <c r="AD88" s="184"/>
      <c r="AE88" s="184"/>
      <c r="AF88" s="184"/>
      <c r="AG88" s="24"/>
      <c r="AH88" s="24"/>
      <c r="AI88" s="24"/>
    </row>
    <row r="89" spans="1:40" x14ac:dyDescent="0.35">
      <c r="A89" s="177" t="s">
        <v>17</v>
      </c>
      <c r="B89" s="178" t="str">
        <f>'ABP Under Contract'!B92</f>
        <v xml:space="preserve">                     -   </v>
      </c>
      <c r="C89" s="178" t="str">
        <f>'ABP Under Contract'!C92</f>
        <v xml:space="preserve">                -   </v>
      </c>
      <c r="D89" s="178" t="str">
        <f>'ABP Under Contract'!D92</f>
        <v xml:space="preserve">                   -   </v>
      </c>
      <c r="E89" s="178" t="str">
        <f>'ABP Under Contract'!E92</f>
        <v xml:space="preserve">                -   </v>
      </c>
      <c r="F89" s="178" t="str">
        <f>'ABP Under Contract'!F92</f>
        <v xml:space="preserve">                -   </v>
      </c>
      <c r="G89" s="178" t="str">
        <f>'ABP Under Contract'!G92</f>
        <v xml:space="preserve">                -   </v>
      </c>
      <c r="H89" s="174">
        <f>SUM(B89:G89)</f>
        <v>0</v>
      </c>
      <c r="I89" s="178"/>
      <c r="J89" s="178"/>
      <c r="K89" s="178"/>
      <c r="L89" s="178">
        <v>2409</v>
      </c>
      <c r="M89" s="178">
        <v>3030.2923000000001</v>
      </c>
      <c r="N89" s="178"/>
      <c r="O89" s="178"/>
      <c r="P89" s="178"/>
      <c r="Q89" s="178">
        <f t="shared" ref="Q89:Q111" si="100">Q4*$B$86</f>
        <v>291.59717328390559</v>
      </c>
      <c r="R89" s="174">
        <f t="shared" ref="R89:R111" si="101">SUM(I89:Q89)</f>
        <v>5730.8894732839053</v>
      </c>
      <c r="S89" s="174">
        <f>H89+J89+K89+M89+O89+P89+Q89</f>
        <v>3321.8894732839058</v>
      </c>
      <c r="T89" s="174">
        <f t="shared" ref="T89:T112" si="102">I89+L89+N89</f>
        <v>2409</v>
      </c>
      <c r="U89" s="174">
        <f t="shared" ref="U89:U112" si="103">H89+R89</f>
        <v>5730.8894732839053</v>
      </c>
      <c r="V89" s="174">
        <f t="shared" ref="V89:AD89" si="104">$B$86*V4</f>
        <v>0</v>
      </c>
      <c r="W89" s="174">
        <f t="shared" si="104"/>
        <v>0</v>
      </c>
      <c r="X89" s="174">
        <f t="shared" si="104"/>
        <v>0</v>
      </c>
      <c r="Y89" s="174">
        <f t="shared" si="104"/>
        <v>0</v>
      </c>
      <c r="Z89" s="174">
        <f t="shared" si="104"/>
        <v>0</v>
      </c>
      <c r="AA89" s="174">
        <f t="shared" si="104"/>
        <v>0</v>
      </c>
      <c r="AB89" s="174">
        <f t="shared" si="104"/>
        <v>0</v>
      </c>
      <c r="AC89" s="174">
        <f t="shared" si="104"/>
        <v>0</v>
      </c>
      <c r="AD89" s="174">
        <f t="shared" si="104"/>
        <v>0</v>
      </c>
      <c r="AE89" s="174"/>
      <c r="AF89" s="174">
        <f t="shared" ref="AF89:AF111" si="105">AF4*$B$86</f>
        <v>0</v>
      </c>
      <c r="AG89" s="174">
        <f>SUM(V89:AF89)</f>
        <v>0</v>
      </c>
      <c r="AH89" s="174">
        <f t="shared" ref="AH89:AH111" si="106">H89+R89+AG89</f>
        <v>5730.8894732839053</v>
      </c>
      <c r="AI89" s="192">
        <f>AH89/'Collections and ACP'!E106</f>
        <v>1.0751109130803441E-2</v>
      </c>
      <c r="AK89" s="172">
        <f>H89+J89+K89+M89+Q89+V89+W89+X89+Y89+Z89+AA89+AC89+AD89+AF89+O89+P89+AE89</f>
        <v>3321.8894732839058</v>
      </c>
      <c r="AL89" s="172">
        <f>I89+L89+AB89+N89</f>
        <v>2409</v>
      </c>
      <c r="AM89" s="105">
        <f>AK89/(AK89+AL89)</f>
        <v>0.57964640371617604</v>
      </c>
      <c r="AN89" s="105">
        <f>1-AM89</f>
        <v>0.42035359628382396</v>
      </c>
    </row>
    <row r="90" spans="1:40" x14ac:dyDescent="0.35">
      <c r="A90" s="177" t="s">
        <v>18</v>
      </c>
      <c r="B90" s="178" t="str">
        <f>'ABP Under Contract'!B93</f>
        <v xml:space="preserve">                     -   </v>
      </c>
      <c r="C90" s="178">
        <f>'ABP Under Contract'!C93</f>
        <v>2831</v>
      </c>
      <c r="D90" s="178" t="str">
        <f>'ABP Under Contract'!D93</f>
        <v xml:space="preserve">                   -   </v>
      </c>
      <c r="E90" s="178" t="str">
        <f>'ABP Under Contract'!E93</f>
        <v xml:space="preserve">                -   </v>
      </c>
      <c r="F90" s="178" t="str">
        <f>'ABP Under Contract'!F93</f>
        <v xml:space="preserve">                -   </v>
      </c>
      <c r="G90" s="178" t="str">
        <f>'ABP Under Contract'!G93</f>
        <v xml:space="preserve">                -   </v>
      </c>
      <c r="H90" s="174">
        <f t="shared" ref="H90:H111" si="107">SUM(B90:G90)</f>
        <v>2831</v>
      </c>
      <c r="I90" s="178"/>
      <c r="J90" s="178"/>
      <c r="K90" s="178">
        <v>449</v>
      </c>
      <c r="L90" s="178">
        <v>6816</v>
      </c>
      <c r="M90" s="178">
        <v>6586.2923000000001</v>
      </c>
      <c r="N90" s="178"/>
      <c r="O90" s="178"/>
      <c r="P90" s="178"/>
      <c r="Q90" s="178">
        <f t="shared" si="100"/>
        <v>326.17520147568746</v>
      </c>
      <c r="R90" s="174">
        <f t="shared" si="101"/>
        <v>14177.467501475689</v>
      </c>
      <c r="S90" s="174">
        <f t="shared" ref="S90:S112" si="108">H90+J90+K90+M90+O90+P90+Q90</f>
        <v>10192.467501475689</v>
      </c>
      <c r="T90" s="174">
        <f t="shared" si="102"/>
        <v>6816</v>
      </c>
      <c r="U90" s="174">
        <f t="shared" si="103"/>
        <v>17008.467501475687</v>
      </c>
      <c r="V90" s="174">
        <f t="shared" ref="V90:AD90" si="109">$B$86*V5</f>
        <v>0</v>
      </c>
      <c r="W90" s="174">
        <f t="shared" si="109"/>
        <v>0</v>
      </c>
      <c r="X90" s="174">
        <f t="shared" si="109"/>
        <v>0</v>
      </c>
      <c r="Y90" s="174">
        <f t="shared" si="109"/>
        <v>0</v>
      </c>
      <c r="Z90" s="174">
        <f t="shared" si="109"/>
        <v>0</v>
      </c>
      <c r="AA90" s="174">
        <f t="shared" si="109"/>
        <v>0</v>
      </c>
      <c r="AB90" s="174">
        <f t="shared" si="109"/>
        <v>0</v>
      </c>
      <c r="AC90" s="174">
        <f t="shared" si="109"/>
        <v>0</v>
      </c>
      <c r="AD90" s="174">
        <f t="shared" si="109"/>
        <v>0</v>
      </c>
      <c r="AE90" s="174"/>
      <c r="AF90" s="174">
        <f t="shared" si="105"/>
        <v>0</v>
      </c>
      <c r="AG90" s="174">
        <f t="shared" ref="AG90:AG91" si="110">SUM(V90:AF90)</f>
        <v>0</v>
      </c>
      <c r="AH90" s="174">
        <f t="shared" si="106"/>
        <v>17008.467501475687</v>
      </c>
      <c r="AI90" s="192">
        <f>AH90/'Collections and ACP'!E107</f>
        <v>3.205922814105322E-2</v>
      </c>
      <c r="AK90" s="172">
        <f t="shared" ref="AK90:AK112" si="111">H90+J90+K90+M90+Q90+V90+W90+X90+Y90+Z90+AA90+AC90+AD90+AF90+O90+P90+AE90</f>
        <v>10192.467501475689</v>
      </c>
      <c r="AL90" s="172">
        <f t="shared" ref="AL90:AL112" si="112">I90+L90+AB90+N90</f>
        <v>6816</v>
      </c>
      <c r="AM90" s="105">
        <f t="shared" ref="AM90:AM112" si="113">AK90/(AK90+AL90)</f>
        <v>0.59925842822649189</v>
      </c>
      <c r="AN90" s="105">
        <f t="shared" ref="AN90:AN112" si="114">1-AM90</f>
        <v>0.40074157177350811</v>
      </c>
    </row>
    <row r="91" spans="1:40" x14ac:dyDescent="0.35">
      <c r="A91" s="177" t="s">
        <v>19</v>
      </c>
      <c r="B91" s="178">
        <f>'ABP Under Contract'!B94</f>
        <v>266</v>
      </c>
      <c r="C91" s="178">
        <f>'ABP Under Contract'!C94</f>
        <v>3364</v>
      </c>
      <c r="D91" s="178" t="str">
        <f>'ABP Under Contract'!D94</f>
        <v xml:space="preserve">                   -   </v>
      </c>
      <c r="E91" s="178" t="str">
        <f>'ABP Under Contract'!E94</f>
        <v xml:space="preserve">                -   </v>
      </c>
      <c r="F91" s="178" t="str">
        <f>'ABP Under Contract'!F94</f>
        <v xml:space="preserve">                -   </v>
      </c>
      <c r="G91" s="178" t="str">
        <f>'ABP Under Contract'!G94</f>
        <v xml:space="preserve">                -   </v>
      </c>
      <c r="H91" s="174">
        <f t="shared" si="107"/>
        <v>3630</v>
      </c>
      <c r="I91" s="178"/>
      <c r="J91" s="178"/>
      <c r="K91" s="178"/>
      <c r="L91" s="178">
        <v>6816</v>
      </c>
      <c r="M91" s="178">
        <v>6586.2923000000001</v>
      </c>
      <c r="N91" s="178"/>
      <c r="O91" s="178"/>
      <c r="P91" s="178"/>
      <c r="Q91" s="178">
        <f t="shared" si="100"/>
        <v>324.54432546830901</v>
      </c>
      <c r="R91" s="174">
        <f t="shared" si="101"/>
        <v>13726.83662546831</v>
      </c>
      <c r="S91" s="174">
        <f t="shared" si="108"/>
        <v>10540.83662546831</v>
      </c>
      <c r="T91" s="174">
        <f t="shared" si="102"/>
        <v>6816</v>
      </c>
      <c r="U91" s="174">
        <f t="shared" si="103"/>
        <v>17356.83662546831</v>
      </c>
      <c r="V91" s="174">
        <f t="shared" ref="V91:AD91" si="115">$B$86*V6</f>
        <v>0</v>
      </c>
      <c r="W91" s="174">
        <f t="shared" si="115"/>
        <v>0</v>
      </c>
      <c r="X91" s="174">
        <f t="shared" si="115"/>
        <v>0</v>
      </c>
      <c r="Y91" s="174">
        <f t="shared" si="115"/>
        <v>0</v>
      </c>
      <c r="Z91" s="174">
        <f t="shared" si="115"/>
        <v>0</v>
      </c>
      <c r="AA91" s="174">
        <f t="shared" si="115"/>
        <v>0</v>
      </c>
      <c r="AB91" s="174">
        <f t="shared" si="115"/>
        <v>0</v>
      </c>
      <c r="AC91" s="174">
        <f t="shared" si="115"/>
        <v>0</v>
      </c>
      <c r="AD91" s="174">
        <f t="shared" si="115"/>
        <v>0</v>
      </c>
      <c r="AE91" s="174"/>
      <c r="AF91" s="174">
        <f t="shared" si="105"/>
        <v>0</v>
      </c>
      <c r="AG91" s="174">
        <f t="shared" si="110"/>
        <v>0</v>
      </c>
      <c r="AH91" s="174">
        <f t="shared" si="106"/>
        <v>17356.83662546831</v>
      </c>
      <c r="AI91" s="192">
        <f>AH91/'Collections and ACP'!E108</f>
        <v>3.2938758782017935E-2</v>
      </c>
      <c r="AJ91" s="172"/>
      <c r="AK91" s="172">
        <f t="shared" si="111"/>
        <v>10540.83662546831</v>
      </c>
      <c r="AL91" s="172">
        <f t="shared" si="112"/>
        <v>6816</v>
      </c>
      <c r="AM91" s="105">
        <f t="shared" si="113"/>
        <v>0.60730171360842111</v>
      </c>
      <c r="AN91" s="105">
        <f t="shared" si="114"/>
        <v>0.39269828639157889</v>
      </c>
    </row>
    <row r="92" spans="1:40" x14ac:dyDescent="0.35">
      <c r="A92" s="177" t="s">
        <v>20</v>
      </c>
      <c r="B92" s="178">
        <f>'ABP Under Contract'!B95</f>
        <v>1324</v>
      </c>
      <c r="C92" s="178">
        <f>'ABP Under Contract'!C95</f>
        <v>8526</v>
      </c>
      <c r="D92" s="178" t="str">
        <f>'ABP Under Contract'!D95</f>
        <v xml:space="preserve">                   -   </v>
      </c>
      <c r="E92" s="178" t="str">
        <f>'ABP Under Contract'!E95</f>
        <v xml:space="preserve">                -   </v>
      </c>
      <c r="F92" s="178" t="str">
        <f>'ABP Under Contract'!F95</f>
        <v xml:space="preserve">                -   </v>
      </c>
      <c r="G92" s="178" t="str">
        <f>'ABP Under Contract'!G95</f>
        <v xml:space="preserve">                -   </v>
      </c>
      <c r="H92" s="174">
        <f t="shared" si="107"/>
        <v>9850</v>
      </c>
      <c r="I92" s="178"/>
      <c r="J92" s="178"/>
      <c r="K92" s="30"/>
      <c r="L92" s="178">
        <v>6816</v>
      </c>
      <c r="M92" s="178">
        <v>6586.2923000000001</v>
      </c>
      <c r="N92" s="178"/>
      <c r="O92" s="178"/>
      <c r="P92" s="178"/>
      <c r="Q92" s="178">
        <f t="shared" si="100"/>
        <v>322.92160384096746</v>
      </c>
      <c r="R92" s="174">
        <f t="shared" si="101"/>
        <v>13725.213903840968</v>
      </c>
      <c r="S92" s="174">
        <f t="shared" si="108"/>
        <v>16759.21390384097</v>
      </c>
      <c r="T92" s="174">
        <f t="shared" si="102"/>
        <v>6816</v>
      </c>
      <c r="U92" s="174">
        <f t="shared" si="103"/>
        <v>23575.213903840966</v>
      </c>
      <c r="V92" s="174">
        <f t="shared" ref="V92:AD92" si="116">$B$86*V7</f>
        <v>0</v>
      </c>
      <c r="W92" s="174">
        <f t="shared" si="116"/>
        <v>0</v>
      </c>
      <c r="X92" s="174">
        <f t="shared" si="116"/>
        <v>0</v>
      </c>
      <c r="Y92" s="174">
        <f t="shared" si="116"/>
        <v>0</v>
      </c>
      <c r="Z92" s="174">
        <f t="shared" si="116"/>
        <v>0</v>
      </c>
      <c r="AA92" s="174">
        <f t="shared" si="116"/>
        <v>0</v>
      </c>
      <c r="AB92" s="174">
        <f t="shared" si="116"/>
        <v>0</v>
      </c>
      <c r="AC92" s="174">
        <f t="shared" si="116"/>
        <v>0</v>
      </c>
      <c r="AD92" s="174">
        <f t="shared" si="116"/>
        <v>0</v>
      </c>
      <c r="AE92" s="174"/>
      <c r="AF92" s="174">
        <f t="shared" si="105"/>
        <v>235.192909484956</v>
      </c>
      <c r="AG92" s="174">
        <f>SUM(V92:AF92)</f>
        <v>235.192909484956</v>
      </c>
      <c r="AH92" s="174">
        <f t="shared" si="106"/>
        <v>23810.406813325921</v>
      </c>
      <c r="AI92" s="192">
        <f>AH92/'Collections and ACP'!E109</f>
        <v>4.5061517364343211E-2</v>
      </c>
      <c r="AJ92" s="172"/>
      <c r="AK92" s="172">
        <f t="shared" si="111"/>
        <v>16994.406813325924</v>
      </c>
      <c r="AL92" s="172">
        <f t="shared" si="112"/>
        <v>6816</v>
      </c>
      <c r="AM92" s="105">
        <f t="shared" si="113"/>
        <v>0.71373861633538738</v>
      </c>
      <c r="AN92" s="105">
        <f t="shared" si="114"/>
        <v>0.28626138366461262</v>
      </c>
    </row>
    <row r="93" spans="1:40" x14ac:dyDescent="0.35">
      <c r="A93" s="177" t="s">
        <v>22</v>
      </c>
      <c r="B93" s="178">
        <f>'ABP Under Contract'!B96</f>
        <v>6177</v>
      </c>
      <c r="C93" s="178">
        <f>'ABP Under Contract'!C96</f>
        <v>11855</v>
      </c>
      <c r="D93" s="178" t="str">
        <f>'ABP Under Contract'!D96</f>
        <v xml:space="preserve">                   -   </v>
      </c>
      <c r="E93" s="178" t="str">
        <f>'ABP Under Contract'!E96</f>
        <v xml:space="preserve">                -   </v>
      </c>
      <c r="F93" s="178" t="str">
        <f>'ABP Under Contract'!F96</f>
        <v xml:space="preserve">                -   </v>
      </c>
      <c r="G93" s="178" t="str">
        <f>'ABP Under Contract'!G96</f>
        <v xml:space="preserve">                -   </v>
      </c>
      <c r="H93" s="174">
        <f t="shared" si="107"/>
        <v>18032</v>
      </c>
      <c r="I93" s="178"/>
      <c r="J93" s="178"/>
      <c r="K93" s="30"/>
      <c r="L93" s="178">
        <v>6816</v>
      </c>
      <c r="M93" s="178">
        <v>6586.2923000000001</v>
      </c>
      <c r="N93" s="178">
        <f t="shared" ref="N93:P112" si="117">N8*$B$86</f>
        <v>0</v>
      </c>
      <c r="O93" s="178">
        <f t="shared" si="117"/>
        <v>0</v>
      </c>
      <c r="P93" s="178">
        <f t="shared" si="117"/>
        <v>0</v>
      </c>
      <c r="Q93" s="178">
        <f t="shared" si="100"/>
        <v>321.30699582176265</v>
      </c>
      <c r="R93" s="174">
        <f t="shared" si="101"/>
        <v>13723.599295821763</v>
      </c>
      <c r="S93" s="174">
        <f t="shared" si="108"/>
        <v>24939.599295821765</v>
      </c>
      <c r="T93" s="174">
        <f t="shared" si="102"/>
        <v>6816</v>
      </c>
      <c r="U93" s="174">
        <f t="shared" si="103"/>
        <v>31755.599295821761</v>
      </c>
      <c r="V93" s="174">
        <f t="shared" ref="V93:AD93" si="118">$B$86*V8</f>
        <v>761.97849540061725</v>
      </c>
      <c r="W93" s="174">
        <f t="shared" si="118"/>
        <v>1053.2099985535335</v>
      </c>
      <c r="X93" s="174">
        <f t="shared" si="118"/>
        <v>0</v>
      </c>
      <c r="Y93" s="174">
        <f t="shared" si="118"/>
        <v>1821.4271789279053</v>
      </c>
      <c r="Z93" s="174">
        <f t="shared" si="118"/>
        <v>0</v>
      </c>
      <c r="AA93" s="174">
        <f t="shared" si="118"/>
        <v>815.17723280268387</v>
      </c>
      <c r="AB93" s="174">
        <f t="shared" si="118"/>
        <v>0</v>
      </c>
      <c r="AC93" s="174">
        <f t="shared" si="118"/>
        <v>0</v>
      </c>
      <c r="AD93" s="174">
        <f t="shared" si="118"/>
        <v>0</v>
      </c>
      <c r="AE93" s="174"/>
      <c r="AF93" s="174">
        <f t="shared" si="105"/>
        <v>468.03388987506241</v>
      </c>
      <c r="AG93" s="174">
        <f>SUM(V93:AF93)</f>
        <v>4919.8267955598021</v>
      </c>
      <c r="AH93" s="174">
        <f t="shared" si="106"/>
        <v>36675.426091381567</v>
      </c>
      <c r="AI93" s="192">
        <f>AH93/'Collections and ACP'!E110</f>
        <v>6.9453187379032305E-2</v>
      </c>
      <c r="AJ93" s="172"/>
      <c r="AK93" s="172">
        <f t="shared" si="111"/>
        <v>29859.426091381571</v>
      </c>
      <c r="AL93" s="172">
        <f t="shared" si="112"/>
        <v>6816</v>
      </c>
      <c r="AM93" s="105">
        <f t="shared" si="113"/>
        <v>0.8141534884143663</v>
      </c>
      <c r="AN93" s="105">
        <f t="shared" si="114"/>
        <v>0.1858465115856337</v>
      </c>
    </row>
    <row r="94" spans="1:40" x14ac:dyDescent="0.35">
      <c r="A94" s="177" t="s">
        <v>23</v>
      </c>
      <c r="B94" s="178">
        <f>'ABP Under Contract'!B97</f>
        <v>6143</v>
      </c>
      <c r="C94" s="178">
        <f>'ABP Under Contract'!C97</f>
        <v>11835</v>
      </c>
      <c r="D94" s="178" t="str">
        <f>'ABP Under Contract'!D97</f>
        <v xml:space="preserve">                   -   </v>
      </c>
      <c r="E94" s="178" t="str">
        <f>'ABP Under Contract'!E97</f>
        <v xml:space="preserve">                -   </v>
      </c>
      <c r="F94" s="178" t="str">
        <f>'ABP Under Contract'!F97</f>
        <v xml:space="preserve">                -   </v>
      </c>
      <c r="G94" s="178" t="str">
        <f>'ABP Under Contract'!G97</f>
        <v xml:space="preserve">                -   </v>
      </c>
      <c r="H94" s="174">
        <f t="shared" si="107"/>
        <v>17978</v>
      </c>
      <c r="I94" s="178"/>
      <c r="J94" s="178"/>
      <c r="K94" s="30"/>
      <c r="L94" s="178">
        <v>6816</v>
      </c>
      <c r="M94" s="178">
        <v>6586.2923000000001</v>
      </c>
      <c r="N94" s="178">
        <f t="shared" si="117"/>
        <v>2301.8880502782927</v>
      </c>
      <c r="O94" s="178">
        <f t="shared" si="117"/>
        <v>9465.3686668487971</v>
      </c>
      <c r="P94" s="178">
        <f t="shared" si="117"/>
        <v>289.58752493392348</v>
      </c>
      <c r="Q94" s="178">
        <f t="shared" si="100"/>
        <v>319.70046084265385</v>
      </c>
      <c r="R94" s="174">
        <f t="shared" si="101"/>
        <v>25778.837002903667</v>
      </c>
      <c r="S94" s="174">
        <f t="shared" si="108"/>
        <v>34638.948952625367</v>
      </c>
      <c r="T94" s="174">
        <f t="shared" si="102"/>
        <v>9117.8880502782922</v>
      </c>
      <c r="U94" s="174">
        <f t="shared" si="103"/>
        <v>43756.837002903667</v>
      </c>
      <c r="V94" s="174">
        <f t="shared" ref="V94:AD94" si="119">$B$86*V9</f>
        <v>1488.301771753049</v>
      </c>
      <c r="W94" s="174">
        <f t="shared" si="119"/>
        <v>1825.2932431902238</v>
      </c>
      <c r="X94" s="174">
        <f t="shared" si="119"/>
        <v>819.84297497980197</v>
      </c>
      <c r="Y94" s="174">
        <f t="shared" si="119"/>
        <v>2454.9577609911271</v>
      </c>
      <c r="Z94" s="174">
        <f t="shared" si="119"/>
        <v>142.29782245174647</v>
      </c>
      <c r="AA94" s="174">
        <f t="shared" si="119"/>
        <v>1674.8227851158458</v>
      </c>
      <c r="AB94" s="174">
        <f t="shared" si="119"/>
        <v>0</v>
      </c>
      <c r="AC94" s="174">
        <f t="shared" si="119"/>
        <v>0</v>
      </c>
      <c r="AD94" s="174">
        <f t="shared" si="119"/>
        <v>0</v>
      </c>
      <c r="AE94" s="174"/>
      <c r="AF94" s="174">
        <f t="shared" si="105"/>
        <v>702.05083481259362</v>
      </c>
      <c r="AG94" s="174">
        <f t="shared" ref="AG94:AG111" si="120">SUM(V94:AF94)</f>
        <v>9107.5671932943878</v>
      </c>
      <c r="AH94" s="174">
        <f t="shared" si="106"/>
        <v>52864.404196198055</v>
      </c>
      <c r="AI94" s="192">
        <f>AH94/'Collections and ACP'!E111</f>
        <v>9.9772348570403957E-2</v>
      </c>
      <c r="AJ94" s="172"/>
      <c r="AK94" s="172">
        <f t="shared" si="111"/>
        <v>43746.516145919762</v>
      </c>
      <c r="AL94" s="172">
        <f t="shared" si="112"/>
        <v>9117.8880502782922</v>
      </c>
      <c r="AM94" s="105">
        <f t="shared" si="113"/>
        <v>0.82752310956842223</v>
      </c>
      <c r="AN94" s="105">
        <f t="shared" si="114"/>
        <v>0.17247689043157777</v>
      </c>
    </row>
    <row r="95" spans="1:40" x14ac:dyDescent="0.35">
      <c r="A95" s="177" t="s">
        <v>24</v>
      </c>
      <c r="B95" s="178">
        <f>'ABP Under Contract'!B98</f>
        <v>6115</v>
      </c>
      <c r="C95" s="178">
        <f>'ABP Under Contract'!C98</f>
        <v>11814</v>
      </c>
      <c r="D95" s="178" t="str">
        <f>'ABP Under Contract'!D98</f>
        <v xml:space="preserve">                   -   </v>
      </c>
      <c r="E95" s="178" t="str">
        <f>'ABP Under Contract'!E98</f>
        <v xml:space="preserve">                -   </v>
      </c>
      <c r="F95" s="178" t="str">
        <f>'ABP Under Contract'!F98</f>
        <v xml:space="preserve">                -   </v>
      </c>
      <c r="G95" s="178" t="str">
        <f>'ABP Under Contract'!G98</f>
        <v xml:space="preserve">                -   </v>
      </c>
      <c r="H95" s="174">
        <f t="shared" si="107"/>
        <v>17929</v>
      </c>
      <c r="I95" s="178"/>
      <c r="J95" s="178"/>
      <c r="K95" s="30"/>
      <c r="L95" s="178">
        <v>6816</v>
      </c>
      <c r="M95" s="178">
        <v>6586.2923000000001</v>
      </c>
      <c r="N95" s="178">
        <f t="shared" si="117"/>
        <v>2301.8880502782927</v>
      </c>
      <c r="O95" s="178">
        <f t="shared" si="117"/>
        <v>14705.228469780935</v>
      </c>
      <c r="P95" s="178">
        <f t="shared" si="117"/>
        <v>713.48846616502533</v>
      </c>
      <c r="Q95" s="178">
        <f t="shared" si="100"/>
        <v>318.10195853844056</v>
      </c>
      <c r="R95" s="174">
        <f t="shared" si="101"/>
        <v>31440.999244762697</v>
      </c>
      <c r="S95" s="174">
        <f t="shared" si="108"/>
        <v>40252.111194484409</v>
      </c>
      <c r="T95" s="174">
        <f t="shared" si="102"/>
        <v>9117.8880502782922</v>
      </c>
      <c r="U95" s="174">
        <f t="shared" si="103"/>
        <v>49369.999244762701</v>
      </c>
      <c r="V95" s="174">
        <f t="shared" ref="V95:AD95" si="121">$B$86*V10</f>
        <v>2210.9934317237185</v>
      </c>
      <c r="W95" s="174">
        <f t="shared" si="121"/>
        <v>2593.5160716037308</v>
      </c>
      <c r="X95" s="174">
        <f t="shared" si="121"/>
        <v>2150.4528666327692</v>
      </c>
      <c r="Y95" s="174">
        <f t="shared" si="121"/>
        <v>3085.3206901440326</v>
      </c>
      <c r="Z95" s="174">
        <f t="shared" si="121"/>
        <v>339.32101578806049</v>
      </c>
      <c r="AA95" s="174">
        <f t="shared" si="121"/>
        <v>2530.1701096674424</v>
      </c>
      <c r="AB95" s="174">
        <f t="shared" si="121"/>
        <v>0</v>
      </c>
      <c r="AC95" s="174">
        <f t="shared" si="121"/>
        <v>5287.186646266382</v>
      </c>
      <c r="AD95" s="174">
        <f t="shared" si="121"/>
        <v>425.34887885577149</v>
      </c>
      <c r="AE95" s="174"/>
      <c r="AF95" s="174">
        <f t="shared" si="105"/>
        <v>936.06777975012483</v>
      </c>
      <c r="AG95" s="174">
        <f t="shared" si="120"/>
        <v>19558.377490432031</v>
      </c>
      <c r="AH95" s="174">
        <f t="shared" si="106"/>
        <v>68928.376735194732</v>
      </c>
      <c r="AI95" s="192">
        <f>AH95/'Collections and ACP'!E112</f>
        <v>0.12994830632961424</v>
      </c>
      <c r="AJ95" s="172"/>
      <c r="AK95" s="172">
        <f t="shared" si="111"/>
        <v>59810.488684916447</v>
      </c>
      <c r="AL95" s="172">
        <f t="shared" si="112"/>
        <v>9117.8880502782922</v>
      </c>
      <c r="AM95" s="105">
        <f t="shared" si="113"/>
        <v>0.86771938522059078</v>
      </c>
      <c r="AN95" s="105">
        <f t="shared" si="114"/>
        <v>0.13228061477940922</v>
      </c>
    </row>
    <row r="96" spans="1:40" x14ac:dyDescent="0.35">
      <c r="A96" s="177" t="s">
        <v>25</v>
      </c>
      <c r="B96" s="178">
        <f>'ABP Under Contract'!B99</f>
        <v>6090</v>
      </c>
      <c r="C96" s="178">
        <f>'ABP Under Contract'!C99</f>
        <v>11796</v>
      </c>
      <c r="D96" s="178" t="str">
        <f>'ABP Under Contract'!D99</f>
        <v xml:space="preserve">                   -   </v>
      </c>
      <c r="E96" s="178" t="str">
        <f>'ABP Under Contract'!E99</f>
        <v xml:space="preserve">                -   </v>
      </c>
      <c r="F96" s="178" t="str">
        <f>'ABP Under Contract'!F99</f>
        <v xml:space="preserve">                -   </v>
      </c>
      <c r="G96" s="178" t="str">
        <f>'ABP Under Contract'!G99</f>
        <v xml:space="preserve">                -   </v>
      </c>
      <c r="H96" s="174">
        <f t="shared" si="107"/>
        <v>17886</v>
      </c>
      <c r="I96" s="178"/>
      <c r="J96" s="178"/>
      <c r="K96" s="30"/>
      <c r="L96" s="178">
        <v>6816</v>
      </c>
      <c r="M96" s="178">
        <v>6586.2923000000001</v>
      </c>
      <c r="N96" s="178">
        <f t="shared" si="117"/>
        <v>2301.8880502782927</v>
      </c>
      <c r="O96" s="178">
        <f t="shared" si="117"/>
        <v>14631.702327432029</v>
      </c>
      <c r="P96" s="178">
        <f t="shared" si="117"/>
        <v>709.92102383420013</v>
      </c>
      <c r="Q96" s="178">
        <f t="shared" si="100"/>
        <v>316.5114487457484</v>
      </c>
      <c r="R96" s="174">
        <f t="shared" si="101"/>
        <v>31362.315150290269</v>
      </c>
      <c r="S96" s="174">
        <f t="shared" si="108"/>
        <v>40130.427100011977</v>
      </c>
      <c r="T96" s="174">
        <f t="shared" si="102"/>
        <v>9117.8880502782922</v>
      </c>
      <c r="U96" s="174">
        <f t="shared" si="103"/>
        <v>49248.315150290269</v>
      </c>
      <c r="V96" s="174">
        <f t="shared" ref="V96:AD96" si="122">$B$86*V11</f>
        <v>2930.0716333945352</v>
      </c>
      <c r="W96" s="174">
        <f t="shared" si="122"/>
        <v>3357.89778587517</v>
      </c>
      <c r="X96" s="174">
        <f t="shared" si="122"/>
        <v>3474.4097088274711</v>
      </c>
      <c r="Y96" s="174">
        <f t="shared" si="122"/>
        <v>3712.5318046511738</v>
      </c>
      <c r="Z96" s="174">
        <f t="shared" si="122"/>
        <v>535.35909315769277</v>
      </c>
      <c r="AA96" s="174">
        <f t="shared" si="122"/>
        <v>3381.2406975962813</v>
      </c>
      <c r="AB96" s="174">
        <f t="shared" si="122"/>
        <v>37530.783428450428</v>
      </c>
      <c r="AC96" s="174">
        <f t="shared" si="122"/>
        <v>12766.907398725134</v>
      </c>
      <c r="AD96" s="174">
        <f t="shared" si="122"/>
        <v>848.57101331726415</v>
      </c>
      <c r="AE96" s="174"/>
      <c r="AF96" s="174">
        <f t="shared" si="105"/>
        <v>1170.084724687656</v>
      </c>
      <c r="AG96" s="174">
        <f t="shared" si="120"/>
        <v>69707.857288682804</v>
      </c>
      <c r="AH96" s="174">
        <f t="shared" si="106"/>
        <v>118956.17243897307</v>
      </c>
      <c r="AI96" s="192">
        <f>AH96/'Collections and ACP'!E113</f>
        <v>0.22386886804945713</v>
      </c>
      <c r="AJ96" s="172"/>
      <c r="AK96" s="172">
        <f t="shared" si="111"/>
        <v>72307.500960244361</v>
      </c>
      <c r="AL96" s="172">
        <f t="shared" si="112"/>
        <v>46648.67147872872</v>
      </c>
      <c r="AM96" s="105">
        <f t="shared" si="113"/>
        <v>0.60784992890839329</v>
      </c>
      <c r="AN96" s="105">
        <f t="shared" si="114"/>
        <v>0.39215007109160671</v>
      </c>
    </row>
    <row r="97" spans="1:40" x14ac:dyDescent="0.35">
      <c r="A97" s="177" t="s">
        <v>26</v>
      </c>
      <c r="B97" s="178">
        <f>'ABP Under Contract'!B100</f>
        <v>6069</v>
      </c>
      <c r="C97" s="178">
        <f>'ABP Under Contract'!C100</f>
        <v>11777</v>
      </c>
      <c r="D97" s="178" t="str">
        <f>'ABP Under Contract'!D100</f>
        <v xml:space="preserve">                   -   </v>
      </c>
      <c r="E97" s="178" t="str">
        <f>'ABP Under Contract'!E100</f>
        <v xml:space="preserve">                -   </v>
      </c>
      <c r="F97" s="178" t="str">
        <f>'ABP Under Contract'!F100</f>
        <v xml:space="preserve">                -   </v>
      </c>
      <c r="G97" s="178" t="str">
        <f>'ABP Under Contract'!G100</f>
        <v xml:space="preserve">                -   </v>
      </c>
      <c r="H97" s="174">
        <f t="shared" si="107"/>
        <v>17846</v>
      </c>
      <c r="I97" s="178"/>
      <c r="J97" s="178"/>
      <c r="K97" s="30"/>
      <c r="L97" s="178">
        <v>6816</v>
      </c>
      <c r="M97" s="178">
        <v>6586.2923000000001</v>
      </c>
      <c r="N97" s="178">
        <f t="shared" si="117"/>
        <v>2301.8880502782927</v>
      </c>
      <c r="O97" s="178">
        <f t="shared" si="117"/>
        <v>14558.543815794872</v>
      </c>
      <c r="P97" s="178">
        <f t="shared" si="117"/>
        <v>706.37141871502922</v>
      </c>
      <c r="Q97" s="178">
        <f t="shared" si="100"/>
        <v>314.92889150201967</v>
      </c>
      <c r="R97" s="174">
        <f t="shared" si="101"/>
        <v>31284.024476290215</v>
      </c>
      <c r="S97" s="174">
        <f t="shared" si="108"/>
        <v>40012.13642601193</v>
      </c>
      <c r="T97" s="174">
        <f t="shared" si="102"/>
        <v>9117.8880502782922</v>
      </c>
      <c r="U97" s="174">
        <f t="shared" si="103"/>
        <v>49130.024476290215</v>
      </c>
      <c r="V97" s="174">
        <f t="shared" ref="V97:AD97" si="123">$B$86*V12</f>
        <v>3645.5544440569975</v>
      </c>
      <c r="W97" s="174">
        <f t="shared" si="123"/>
        <v>4118.4575915752521</v>
      </c>
      <c r="X97" s="174">
        <f t="shared" si="123"/>
        <v>4791.7467668112004</v>
      </c>
      <c r="Y97" s="174">
        <f t="shared" si="123"/>
        <v>4336.6068635857782</v>
      </c>
      <c r="Z97" s="174">
        <f t="shared" si="123"/>
        <v>730.41698014047722</v>
      </c>
      <c r="AA97" s="174">
        <f t="shared" si="123"/>
        <v>4228.0559325854747</v>
      </c>
      <c r="AB97" s="174">
        <f t="shared" si="123"/>
        <v>50041.04457126723</v>
      </c>
      <c r="AC97" s="174">
        <f t="shared" si="123"/>
        <v>20209.229547421597</v>
      </c>
      <c r="AD97" s="174">
        <f t="shared" si="123"/>
        <v>1269.6770371064492</v>
      </c>
      <c r="AE97" s="174"/>
      <c r="AF97" s="174">
        <f t="shared" si="105"/>
        <v>1404.1016696251872</v>
      </c>
      <c r="AG97" s="174">
        <f t="shared" si="120"/>
        <v>94774.891404175651</v>
      </c>
      <c r="AH97" s="174">
        <f t="shared" si="106"/>
        <v>143904.91588046588</v>
      </c>
      <c r="AI97" s="192">
        <f>AH97/'Collections and ACP'!E114</f>
        <v>0.27073791958838145</v>
      </c>
      <c r="AJ97" s="172"/>
      <c r="AK97" s="172">
        <f t="shared" si="111"/>
        <v>84745.983258920343</v>
      </c>
      <c r="AL97" s="172">
        <f t="shared" si="112"/>
        <v>59158.932621545522</v>
      </c>
      <c r="AM97" s="105">
        <f t="shared" si="113"/>
        <v>0.5889026287977146</v>
      </c>
      <c r="AN97" s="105">
        <f t="shared" si="114"/>
        <v>0.4110973712022854</v>
      </c>
    </row>
    <row r="98" spans="1:40" x14ac:dyDescent="0.35">
      <c r="A98" s="177" t="s">
        <v>27</v>
      </c>
      <c r="B98" s="178">
        <f>'ABP Under Contract'!B101</f>
        <v>6045</v>
      </c>
      <c r="C98" s="178">
        <f>'ABP Under Contract'!C101</f>
        <v>11756</v>
      </c>
      <c r="D98" s="178" t="str">
        <f>'ABP Under Contract'!D101</f>
        <v xml:space="preserve">                   -   </v>
      </c>
      <c r="E98" s="178" t="str">
        <f>'ABP Under Contract'!E101</f>
        <v xml:space="preserve">                -   </v>
      </c>
      <c r="F98" s="178" t="str">
        <f>'ABP Under Contract'!F101</f>
        <v xml:space="preserve">                -   </v>
      </c>
      <c r="G98" s="178" t="str">
        <f>'ABP Under Contract'!G101</f>
        <v xml:space="preserve">                -   </v>
      </c>
      <c r="H98" s="174">
        <f t="shared" si="107"/>
        <v>17801</v>
      </c>
      <c r="I98" s="178"/>
      <c r="J98" s="178"/>
      <c r="K98" s="30"/>
      <c r="L98" s="178">
        <v>6816</v>
      </c>
      <c r="M98" s="178">
        <v>6586.2923000000001</v>
      </c>
      <c r="N98" s="178">
        <f t="shared" si="117"/>
        <v>2301.8880502782927</v>
      </c>
      <c r="O98" s="178">
        <f t="shared" si="117"/>
        <v>14485.751096715894</v>
      </c>
      <c r="P98" s="178">
        <f t="shared" si="117"/>
        <v>702.8395616214541</v>
      </c>
      <c r="Q98" s="178">
        <f t="shared" si="100"/>
        <v>313.35424704450958</v>
      </c>
      <c r="R98" s="174">
        <f t="shared" si="101"/>
        <v>31206.125255660154</v>
      </c>
      <c r="S98" s="174">
        <f t="shared" si="108"/>
        <v>39889.237205381862</v>
      </c>
      <c r="T98" s="174">
        <f t="shared" si="102"/>
        <v>9117.8880502782922</v>
      </c>
      <c r="U98" s="174">
        <f t="shared" si="103"/>
        <v>49007.125255660154</v>
      </c>
      <c r="V98" s="174">
        <f t="shared" ref="V98:AD98" si="124">$B$86*V13</f>
        <v>4357.4598406661471</v>
      </c>
      <c r="W98" s="174">
        <f t="shared" si="124"/>
        <v>4875.2145982468346</v>
      </c>
      <c r="X98" s="174">
        <f t="shared" si="124"/>
        <v>6102.4971395050097</v>
      </c>
      <c r="Y98" s="174">
        <f t="shared" si="124"/>
        <v>4957.5615472257114</v>
      </c>
      <c r="Z98" s="174">
        <f t="shared" si="124"/>
        <v>924.49957768834747</v>
      </c>
      <c r="AA98" s="174">
        <f t="shared" si="124"/>
        <v>5070.6370913997234</v>
      </c>
      <c r="AB98" s="174">
        <f t="shared" si="124"/>
        <v>62551.305714084039</v>
      </c>
      <c r="AC98" s="174">
        <f t="shared" si="124"/>
        <v>27614.340085374573</v>
      </c>
      <c r="AD98" s="174">
        <f t="shared" si="124"/>
        <v>1688.6775307766886</v>
      </c>
      <c r="AE98" s="174"/>
      <c r="AF98" s="174">
        <f t="shared" si="105"/>
        <v>1580.0542598037821</v>
      </c>
      <c r="AG98" s="174">
        <f t="shared" si="120"/>
        <v>119722.24738477086</v>
      </c>
      <c r="AH98" s="174">
        <f t="shared" si="106"/>
        <v>168729.37264043101</v>
      </c>
      <c r="AI98" s="192">
        <f>AH98/'Collections and ACP'!E115</f>
        <v>0.31690681904467799</v>
      </c>
      <c r="AJ98" s="172"/>
      <c r="AK98" s="172">
        <f t="shared" si="111"/>
        <v>97060.178876068676</v>
      </c>
      <c r="AL98" s="172">
        <f t="shared" si="112"/>
        <v>71669.193764362339</v>
      </c>
      <c r="AM98" s="105">
        <f t="shared" si="113"/>
        <v>0.57524174574457621</v>
      </c>
      <c r="AN98" s="105">
        <f t="shared" si="114"/>
        <v>0.42475825425542379</v>
      </c>
    </row>
    <row r="99" spans="1:40" x14ac:dyDescent="0.35">
      <c r="A99" s="177" t="s">
        <v>28</v>
      </c>
      <c r="B99" s="178">
        <f>'ABP Under Contract'!B102</f>
        <v>6016</v>
      </c>
      <c r="C99" s="178">
        <f>'ABP Under Contract'!C102</f>
        <v>11735</v>
      </c>
      <c r="D99" s="178" t="str">
        <f>'ABP Under Contract'!D102</f>
        <v xml:space="preserve">                   -   </v>
      </c>
      <c r="E99" s="178" t="str">
        <f>'ABP Under Contract'!E102</f>
        <v xml:space="preserve">                -   </v>
      </c>
      <c r="F99" s="178" t="str">
        <f>'ABP Under Contract'!F102</f>
        <v xml:space="preserve">                -   </v>
      </c>
      <c r="G99" s="178" t="str">
        <f>'ABP Under Contract'!G102</f>
        <v xml:space="preserve">                -   </v>
      </c>
      <c r="H99" s="174">
        <f t="shared" si="107"/>
        <v>17751</v>
      </c>
      <c r="I99" s="178"/>
      <c r="J99" s="178"/>
      <c r="K99" s="30"/>
      <c r="L99" s="178">
        <v>6816</v>
      </c>
      <c r="M99" s="178">
        <v>6586.2923000000001</v>
      </c>
      <c r="N99" s="178">
        <f t="shared" si="117"/>
        <v>2301.8880502782927</v>
      </c>
      <c r="O99" s="178">
        <f t="shared" si="117"/>
        <v>14413.322341232315</v>
      </c>
      <c r="P99" s="178">
        <f t="shared" si="117"/>
        <v>699.32536381334683</v>
      </c>
      <c r="Q99" s="178">
        <f t="shared" si="100"/>
        <v>311.787475809287</v>
      </c>
      <c r="R99" s="174">
        <f t="shared" si="101"/>
        <v>31128.61553113324</v>
      </c>
      <c r="S99" s="174">
        <f t="shared" si="108"/>
        <v>39761.727480854948</v>
      </c>
      <c r="T99" s="174">
        <f t="shared" si="102"/>
        <v>9117.8880502782922</v>
      </c>
      <c r="U99" s="174">
        <f t="shared" si="103"/>
        <v>48879.61553113324</v>
      </c>
      <c r="V99" s="174">
        <f t="shared" ref="V99:AD99" si="125">$B$86*V14</f>
        <v>5065.8057102922521</v>
      </c>
      <c r="W99" s="174">
        <f t="shared" si="125"/>
        <v>5628.1878198850573</v>
      </c>
      <c r="X99" s="174">
        <f t="shared" si="125"/>
        <v>7406.6937603353499</v>
      </c>
      <c r="Y99" s="174">
        <f t="shared" si="125"/>
        <v>5575.4114574474443</v>
      </c>
      <c r="Z99" s="174">
        <f t="shared" si="125"/>
        <v>1117.6117622484785</v>
      </c>
      <c r="AA99" s="174">
        <f t="shared" si="125"/>
        <v>5909.0053444199002</v>
      </c>
      <c r="AB99" s="174">
        <f t="shared" si="125"/>
        <v>75061.566856900856</v>
      </c>
      <c r="AC99" s="174">
        <f t="shared" si="125"/>
        <v>34982.425070637779</v>
      </c>
      <c r="AD99" s="174">
        <f t="shared" si="125"/>
        <v>2105.5830219785767</v>
      </c>
      <c r="AE99" s="174"/>
      <c r="AF99" s="174">
        <f t="shared" si="105"/>
        <v>1756.0068499823769</v>
      </c>
      <c r="AG99" s="174">
        <f t="shared" si="120"/>
        <v>144608.29765412808</v>
      </c>
      <c r="AH99" s="174">
        <f t="shared" si="106"/>
        <v>193487.91318526131</v>
      </c>
      <c r="AI99" s="192">
        <f>AH99/'Collections and ACP'!E116</f>
        <v>0.36301308595543719</v>
      </c>
      <c r="AJ99" s="172"/>
      <c r="AK99" s="172">
        <f t="shared" si="111"/>
        <v>109308.45827808218</v>
      </c>
      <c r="AL99" s="172">
        <f t="shared" si="112"/>
        <v>84179.454907179155</v>
      </c>
      <c r="AM99" s="105">
        <f t="shared" si="113"/>
        <v>0.56493688147549159</v>
      </c>
      <c r="AN99" s="105">
        <f t="shared" si="114"/>
        <v>0.43506311852450841</v>
      </c>
    </row>
    <row r="100" spans="1:40" x14ac:dyDescent="0.35">
      <c r="A100" s="177" t="s">
        <v>29</v>
      </c>
      <c r="B100" s="178">
        <f>'ABP Under Contract'!B103</f>
        <v>5990</v>
      </c>
      <c r="C100" s="178">
        <f>'ABP Under Contract'!C103</f>
        <v>11719</v>
      </c>
      <c r="D100" s="178" t="str">
        <f>'ABP Under Contract'!D103</f>
        <v xml:space="preserve">                   -   </v>
      </c>
      <c r="E100" s="178" t="str">
        <f>'ABP Under Contract'!E103</f>
        <v xml:space="preserve">                -   </v>
      </c>
      <c r="F100" s="178" t="str">
        <f>'ABP Under Contract'!F103</f>
        <v xml:space="preserve">                -   </v>
      </c>
      <c r="G100" s="178" t="str">
        <f>'ABP Under Contract'!G103</f>
        <v xml:space="preserve">                -   </v>
      </c>
      <c r="H100" s="174">
        <f t="shared" si="107"/>
        <v>17709</v>
      </c>
      <c r="I100" s="178"/>
      <c r="J100" s="178"/>
      <c r="K100" s="30"/>
      <c r="L100" s="178">
        <v>6816</v>
      </c>
      <c r="M100" s="178">
        <v>6586.2923000000001</v>
      </c>
      <c r="N100" s="178">
        <f t="shared" si="117"/>
        <v>2301.8880502782927</v>
      </c>
      <c r="O100" s="178">
        <f t="shared" si="117"/>
        <v>14341.255729526152</v>
      </c>
      <c r="P100" s="178">
        <f t="shared" si="117"/>
        <v>695.82873699428012</v>
      </c>
      <c r="Q100" s="178">
        <f t="shared" si="100"/>
        <v>310.22853843024058</v>
      </c>
      <c r="R100" s="174">
        <f t="shared" si="101"/>
        <v>31051.493355228966</v>
      </c>
      <c r="S100" s="174">
        <f t="shared" si="108"/>
        <v>39642.605304950666</v>
      </c>
      <c r="T100" s="174">
        <f t="shared" si="102"/>
        <v>9117.8880502782922</v>
      </c>
      <c r="U100" s="174">
        <f t="shared" si="103"/>
        <v>48760.493355228966</v>
      </c>
      <c r="V100" s="174">
        <f t="shared" ref="V100:AD100" si="126">$B$86*V15</f>
        <v>5851.7357582179402</v>
      </c>
      <c r="W100" s="174">
        <f t="shared" si="126"/>
        <v>6463.7683192628092</v>
      </c>
      <c r="X100" s="174">
        <f t="shared" si="126"/>
        <v>8704.369398061539</v>
      </c>
      <c r="Y100" s="174">
        <f t="shared" si="126"/>
        <v>6289.0394593423543</v>
      </c>
      <c r="Z100" s="174">
        <f t="shared" si="126"/>
        <v>1309.7583858858088</v>
      </c>
      <c r="AA100" s="174">
        <f t="shared" si="126"/>
        <v>6311.3210369363887</v>
      </c>
      <c r="AB100" s="174">
        <f t="shared" si="126"/>
        <v>87571.827999717658</v>
      </c>
      <c r="AC100" s="174">
        <f t="shared" si="126"/>
        <v>39811.617402411321</v>
      </c>
      <c r="AD100" s="174">
        <f t="shared" si="126"/>
        <v>2520.4039857244552</v>
      </c>
      <c r="AE100" s="174"/>
      <c r="AF100" s="174">
        <f t="shared" si="105"/>
        <v>1931.9594401609713</v>
      </c>
      <c r="AG100" s="174">
        <f t="shared" si="120"/>
        <v>166765.80118572127</v>
      </c>
      <c r="AH100" s="174">
        <f t="shared" si="106"/>
        <v>215526.29454095024</v>
      </c>
      <c r="AI100" s="192">
        <f>AH100/'Collections and ACP'!E117</f>
        <v>0.40379270833241587</v>
      </c>
      <c r="AJ100" s="172"/>
      <c r="AK100" s="172">
        <f t="shared" si="111"/>
        <v>118836.57849095426</v>
      </c>
      <c r="AL100" s="172">
        <f t="shared" si="112"/>
        <v>96689.716049995957</v>
      </c>
      <c r="AM100" s="105">
        <f t="shared" si="113"/>
        <v>0.55137856262069773</v>
      </c>
      <c r="AN100" s="105">
        <f t="shared" si="114"/>
        <v>0.44862143737930227</v>
      </c>
    </row>
    <row r="101" spans="1:40" x14ac:dyDescent="0.35">
      <c r="A101" s="177" t="s">
        <v>30</v>
      </c>
      <c r="B101" s="178">
        <f>'ABP Under Contract'!B104</f>
        <v>5968</v>
      </c>
      <c r="C101" s="178">
        <f>'ABP Under Contract'!C104</f>
        <v>11702</v>
      </c>
      <c r="D101" s="178" t="str">
        <f>'ABP Under Contract'!D104</f>
        <v xml:space="preserve">                   -   </v>
      </c>
      <c r="E101" s="178" t="str">
        <f>'ABP Under Contract'!E104</f>
        <v xml:space="preserve">                -   </v>
      </c>
      <c r="F101" s="178" t="str">
        <f>'ABP Under Contract'!F104</f>
        <v xml:space="preserve">                -   </v>
      </c>
      <c r="G101" s="178" t="str">
        <f>'ABP Under Contract'!G104</f>
        <v xml:space="preserve">                -   </v>
      </c>
      <c r="H101" s="174">
        <f t="shared" si="107"/>
        <v>17670</v>
      </c>
      <c r="I101" s="30"/>
      <c r="J101" s="30"/>
      <c r="K101" s="30"/>
      <c r="L101" s="178">
        <v>6816</v>
      </c>
      <c r="M101" s="178">
        <v>6586.2923000000001</v>
      </c>
      <c r="N101" s="178">
        <f t="shared" si="117"/>
        <v>2301.8880502782927</v>
      </c>
      <c r="O101" s="178">
        <f t="shared" si="117"/>
        <v>14269.549450878523</v>
      </c>
      <c r="P101" s="178">
        <f t="shared" si="117"/>
        <v>692.3495933093086</v>
      </c>
      <c r="Q101" s="178">
        <f t="shared" si="100"/>
        <v>308.67739573808939</v>
      </c>
      <c r="R101" s="174">
        <f t="shared" si="101"/>
        <v>30974.756790204214</v>
      </c>
      <c r="S101" s="174">
        <f t="shared" si="108"/>
        <v>39526.868739925914</v>
      </c>
      <c r="T101" s="174">
        <f t="shared" si="102"/>
        <v>9117.8880502782922</v>
      </c>
      <c r="U101" s="174">
        <f t="shared" si="103"/>
        <v>48644.756790204214</v>
      </c>
      <c r="V101" s="174">
        <f t="shared" ref="V101:AD101" si="127">$B$86*V16</f>
        <v>6633.736155904001</v>
      </c>
      <c r="W101" s="174">
        <f t="shared" si="127"/>
        <v>7295.1709161436693</v>
      </c>
      <c r="X101" s="174">
        <f t="shared" si="127"/>
        <v>10143.857669435527</v>
      </c>
      <c r="Y101" s="174">
        <f t="shared" si="127"/>
        <v>6999.0993212277908</v>
      </c>
      <c r="Z101" s="174">
        <f t="shared" si="127"/>
        <v>1550.3779470170957</v>
      </c>
      <c r="AA101" s="174">
        <f t="shared" si="127"/>
        <v>6711.625150990295</v>
      </c>
      <c r="AB101" s="174">
        <f t="shared" si="127"/>
        <v>100082.08914253446</v>
      </c>
      <c r="AC101" s="174">
        <f t="shared" si="127"/>
        <v>44616.663772525986</v>
      </c>
      <c r="AD101" s="174">
        <f t="shared" si="127"/>
        <v>2933.1508446516045</v>
      </c>
      <c r="AE101" s="174"/>
      <c r="AF101" s="174">
        <f t="shared" si="105"/>
        <v>2107.9120303395662</v>
      </c>
      <c r="AG101" s="174">
        <f t="shared" si="120"/>
        <v>189073.68295076999</v>
      </c>
      <c r="AH101" s="174">
        <f t="shared" si="106"/>
        <v>237718.43974097419</v>
      </c>
      <c r="AI101" s="192">
        <f>AH101/'Collections and ACP'!E118</f>
        <v>0.4452258664549415</v>
      </c>
      <c r="AJ101" s="172"/>
      <c r="AK101" s="172">
        <f t="shared" si="111"/>
        <v>128518.46254816146</v>
      </c>
      <c r="AL101" s="172">
        <f t="shared" si="112"/>
        <v>109199.97719281276</v>
      </c>
      <c r="AM101" s="105">
        <f t="shared" si="113"/>
        <v>0.54063312332101532</v>
      </c>
      <c r="AN101" s="105">
        <f t="shared" si="114"/>
        <v>0.45936687667898468</v>
      </c>
    </row>
    <row r="102" spans="1:40" x14ac:dyDescent="0.35">
      <c r="A102" s="177" t="s">
        <v>31</v>
      </c>
      <c r="B102" s="178">
        <f>'ABP Under Contract'!B105</f>
        <v>5933</v>
      </c>
      <c r="C102" s="178">
        <f>'ABP Under Contract'!C105</f>
        <v>11681</v>
      </c>
      <c r="D102" s="178" t="str">
        <f>'ABP Under Contract'!D105</f>
        <v xml:space="preserve">                   -   </v>
      </c>
      <c r="E102" s="178" t="str">
        <f>'ABP Under Contract'!E105</f>
        <v xml:space="preserve">                -   </v>
      </c>
      <c r="F102" s="178" t="str">
        <f>'ABP Under Contract'!F105</f>
        <v xml:space="preserve">                -   </v>
      </c>
      <c r="G102" s="178" t="str">
        <f>'ABP Under Contract'!G105</f>
        <v xml:space="preserve">                -   </v>
      </c>
      <c r="H102" s="174">
        <f t="shared" si="107"/>
        <v>17614</v>
      </c>
      <c r="I102" s="30"/>
      <c r="J102" s="30"/>
      <c r="K102" s="30"/>
      <c r="L102" s="178">
        <v>5397</v>
      </c>
      <c r="M102" s="178">
        <v>6586.2923000000001</v>
      </c>
      <c r="N102" s="178">
        <f t="shared" si="117"/>
        <v>2301.8880502782927</v>
      </c>
      <c r="O102" s="178">
        <f t="shared" si="117"/>
        <v>14198.20170362413</v>
      </c>
      <c r="P102" s="178">
        <f t="shared" si="117"/>
        <v>688.88784534276203</v>
      </c>
      <c r="Q102" s="178">
        <f t="shared" si="100"/>
        <v>307.13400875939891</v>
      </c>
      <c r="R102" s="174">
        <f t="shared" si="101"/>
        <v>29479.403908004584</v>
      </c>
      <c r="S102" s="174">
        <f t="shared" si="108"/>
        <v>39394.515857726292</v>
      </c>
      <c r="T102" s="174">
        <f t="shared" si="102"/>
        <v>7698.8880502782922</v>
      </c>
      <c r="U102" s="174">
        <f t="shared" si="103"/>
        <v>47093.403908004584</v>
      </c>
      <c r="V102" s="174">
        <f t="shared" ref="V102:AD102" si="128">$B$86*V17</f>
        <v>7411.8265516016299</v>
      </c>
      <c r="W102" s="174">
        <f t="shared" si="128"/>
        <v>8122.4165000401263</v>
      </c>
      <c r="X102" s="174">
        <f t="shared" si="128"/>
        <v>11576.148499452645</v>
      </c>
      <c r="Y102" s="174">
        <f t="shared" si="128"/>
        <v>7705.6088838037977</v>
      </c>
      <c r="Z102" s="174">
        <f t="shared" si="128"/>
        <v>1789.7944103427262</v>
      </c>
      <c r="AA102" s="174">
        <f t="shared" si="128"/>
        <v>7109.9277444739309</v>
      </c>
      <c r="AB102" s="174">
        <f t="shared" si="128"/>
        <v>97580.036913971111</v>
      </c>
      <c r="AC102" s="174">
        <f t="shared" si="128"/>
        <v>48146.658796508396</v>
      </c>
      <c r="AD102" s="174">
        <f t="shared" si="128"/>
        <v>3168.6903132846824</v>
      </c>
      <c r="AE102" s="174"/>
      <c r="AF102" s="174">
        <f t="shared" si="105"/>
        <v>2283.8646205181608</v>
      </c>
      <c r="AG102" s="174">
        <f t="shared" si="120"/>
        <v>194894.97323399724</v>
      </c>
      <c r="AH102" s="174">
        <f t="shared" si="106"/>
        <v>241988.37714200182</v>
      </c>
      <c r="AI102" s="192">
        <f>AH102/'Collections and ACP'!E119</f>
        <v>0.45290726151666982</v>
      </c>
      <c r="AJ102" s="172"/>
      <c r="AK102" s="172">
        <f t="shared" si="111"/>
        <v>136709.45217775239</v>
      </c>
      <c r="AL102" s="172">
        <f t="shared" si="112"/>
        <v>105278.92496424941</v>
      </c>
      <c r="AM102" s="105">
        <f t="shared" si="113"/>
        <v>0.56494222488020396</v>
      </c>
      <c r="AN102" s="105">
        <f t="shared" si="114"/>
        <v>0.43505777511979604</v>
      </c>
    </row>
    <row r="103" spans="1:40" x14ac:dyDescent="0.35">
      <c r="A103" s="177" t="s">
        <v>32</v>
      </c>
      <c r="B103" s="178">
        <f>'ABP Under Contract'!B106</f>
        <v>5907</v>
      </c>
      <c r="C103" s="178">
        <f>'ABP Under Contract'!C106</f>
        <v>11663</v>
      </c>
      <c r="D103" s="178" t="str">
        <f>'ABP Under Contract'!D106</f>
        <v xml:space="preserve">                   -   </v>
      </c>
      <c r="E103" s="178" t="str">
        <f>'ABP Under Contract'!E106</f>
        <v xml:space="preserve">                -   </v>
      </c>
      <c r="F103" s="178" t="str">
        <f>'ABP Under Contract'!F106</f>
        <v xml:space="preserve">                -   </v>
      </c>
      <c r="G103" s="178" t="str">
        <f>'ABP Under Contract'!G106</f>
        <v xml:space="preserve">                -   </v>
      </c>
      <c r="H103" s="174">
        <f t="shared" si="107"/>
        <v>17570</v>
      </c>
      <c r="I103" s="30"/>
      <c r="J103" s="30"/>
      <c r="K103" s="30"/>
      <c r="L103" s="178">
        <v>5397</v>
      </c>
      <c r="M103" s="178">
        <v>6586.2923000000001</v>
      </c>
      <c r="N103" s="178">
        <f t="shared" si="117"/>
        <v>2301.8880502782927</v>
      </c>
      <c r="O103" s="178">
        <f t="shared" si="117"/>
        <v>14127.210695106007</v>
      </c>
      <c r="P103" s="178">
        <f t="shared" si="117"/>
        <v>685.44340611604821</v>
      </c>
      <c r="Q103" s="178">
        <f t="shared" si="100"/>
        <v>305.59833871560193</v>
      </c>
      <c r="R103" s="174">
        <f t="shared" si="101"/>
        <v>29403.432790215949</v>
      </c>
      <c r="S103" s="174">
        <f t="shared" si="108"/>
        <v>39274.544739937657</v>
      </c>
      <c r="T103" s="174">
        <f t="shared" si="102"/>
        <v>7698.8880502782922</v>
      </c>
      <c r="U103" s="174">
        <f t="shared" si="103"/>
        <v>46973.432790215949</v>
      </c>
      <c r="V103" s="174">
        <f t="shared" ref="V103:AD103" si="129">$B$86*V18</f>
        <v>7780.3969570821982</v>
      </c>
      <c r="W103" s="174">
        <f t="shared" si="129"/>
        <v>8513.6651367785144</v>
      </c>
      <c r="X103" s="174">
        <f t="shared" si="129"/>
        <v>13001.277875319676</v>
      </c>
      <c r="Y103" s="174">
        <f t="shared" si="129"/>
        <v>8037.8333689758547</v>
      </c>
      <c r="Z103" s="174">
        <f t="shared" si="129"/>
        <v>2028.0137913517287</v>
      </c>
      <c r="AA103" s="174">
        <f t="shared" si="129"/>
        <v>7290.3084653708556</v>
      </c>
      <c r="AB103" s="174">
        <f t="shared" si="129"/>
        <v>102584.14137109782</v>
      </c>
      <c r="AC103" s="174">
        <f t="shared" si="129"/>
        <v>51659.003845370898</v>
      </c>
      <c r="AD103" s="174">
        <f t="shared" si="129"/>
        <v>3403.0520845745955</v>
      </c>
      <c r="AE103" s="174"/>
      <c r="AF103" s="174">
        <f t="shared" si="105"/>
        <v>2459.8172106967559</v>
      </c>
      <c r="AG103" s="174">
        <f t="shared" si="120"/>
        <v>206757.51010661889</v>
      </c>
      <c r="AH103" s="174">
        <f t="shared" si="106"/>
        <v>253730.94289683484</v>
      </c>
      <c r="AI103" s="192">
        <f>AH103/'Collections and ACP'!E120</f>
        <v>0.47457814175194013</v>
      </c>
      <c r="AJ103" s="172"/>
      <c r="AK103" s="172">
        <f t="shared" si="111"/>
        <v>143447.91347545871</v>
      </c>
      <c r="AL103" s="172">
        <f t="shared" si="112"/>
        <v>110283.02942137612</v>
      </c>
      <c r="AM103" s="105">
        <f t="shared" si="113"/>
        <v>0.56535443347082659</v>
      </c>
      <c r="AN103" s="105">
        <f t="shared" si="114"/>
        <v>0.43464556652917341</v>
      </c>
    </row>
    <row r="104" spans="1:40" x14ac:dyDescent="0.35">
      <c r="A104" s="177" t="s">
        <v>33</v>
      </c>
      <c r="B104" s="178">
        <f>'ABP Under Contract'!B107</f>
        <v>5878</v>
      </c>
      <c r="C104" s="178">
        <f>'ABP Under Contract'!C107</f>
        <v>11644</v>
      </c>
      <c r="D104" s="178" t="str">
        <f>'ABP Under Contract'!D107</f>
        <v xml:space="preserve">                   -   </v>
      </c>
      <c r="E104" s="178" t="str">
        <f>'ABP Under Contract'!E107</f>
        <v xml:space="preserve">                -   </v>
      </c>
      <c r="F104" s="178" t="str">
        <f>'ABP Under Contract'!F107</f>
        <v xml:space="preserve">                -   </v>
      </c>
      <c r="G104" s="178" t="str">
        <f>'ABP Under Contract'!G107</f>
        <v xml:space="preserve">                -   </v>
      </c>
      <c r="H104" s="174">
        <f t="shared" si="107"/>
        <v>17522</v>
      </c>
      <c r="I104" s="30"/>
      <c r="J104" s="30"/>
      <c r="K104" s="30"/>
      <c r="L104" s="178">
        <v>4407</v>
      </c>
      <c r="M104" s="178"/>
      <c r="N104" s="178">
        <f t="shared" si="117"/>
        <v>2301.8880502782927</v>
      </c>
      <c r="O104" s="178">
        <f t="shared" si="117"/>
        <v>14056.574641630477</v>
      </c>
      <c r="P104" s="178">
        <f t="shared" si="117"/>
        <v>682.016189085468</v>
      </c>
      <c r="Q104" s="178">
        <f t="shared" si="100"/>
        <v>304.0703470220239</v>
      </c>
      <c r="R104" s="174">
        <f t="shared" si="101"/>
        <v>21751.549228016262</v>
      </c>
      <c r="S104" s="174">
        <f t="shared" si="108"/>
        <v>32564.661177737969</v>
      </c>
      <c r="T104" s="174">
        <f t="shared" si="102"/>
        <v>6708.8880502782922</v>
      </c>
      <c r="U104" s="174">
        <f t="shared" si="103"/>
        <v>39273.549228016258</v>
      </c>
      <c r="V104" s="174">
        <f t="shared" ref="V104:AD104" si="130">$B$86*V19</f>
        <v>8147.1245105353628</v>
      </c>
      <c r="W104" s="174">
        <f t="shared" si="130"/>
        <v>8902.9575303332094</v>
      </c>
      <c r="X104" s="174">
        <f t="shared" si="130"/>
        <v>13677.776545125227</v>
      </c>
      <c r="Y104" s="174">
        <f t="shared" si="130"/>
        <v>8368.3967317220486</v>
      </c>
      <c r="Z104" s="174">
        <f t="shared" si="130"/>
        <v>2141.4578989253282</v>
      </c>
      <c r="AA104" s="174">
        <f t="shared" si="130"/>
        <v>7469.7872826632938</v>
      </c>
      <c r="AB104" s="174">
        <f t="shared" si="130"/>
        <v>115094.40251391464</v>
      </c>
      <c r="AC104" s="174">
        <f t="shared" si="130"/>
        <v>55153.787168989089</v>
      </c>
      <c r="AD104" s="174">
        <f t="shared" si="130"/>
        <v>3636.2420470080583</v>
      </c>
      <c r="AE104" s="174"/>
      <c r="AF104" s="174">
        <f t="shared" si="105"/>
        <v>2635.7698008753505</v>
      </c>
      <c r="AG104" s="174">
        <f t="shared" si="120"/>
        <v>225227.7020300916</v>
      </c>
      <c r="AH104" s="174">
        <f t="shared" si="106"/>
        <v>264501.25125810783</v>
      </c>
      <c r="AI104" s="192">
        <f>AH104/'Collections and ACP'!E121</f>
        <v>0.49442790387382418</v>
      </c>
      <c r="AJ104" s="172"/>
      <c r="AK104" s="172">
        <f t="shared" si="111"/>
        <v>142697.96069391494</v>
      </c>
      <c r="AL104" s="172">
        <f t="shared" si="112"/>
        <v>121803.29056419294</v>
      </c>
      <c r="AM104" s="105">
        <f t="shared" si="113"/>
        <v>0.53949824439456506</v>
      </c>
      <c r="AN104" s="105">
        <f t="shared" si="114"/>
        <v>0.46050175560543494</v>
      </c>
    </row>
    <row r="105" spans="1:40" x14ac:dyDescent="0.35">
      <c r="A105" s="177" t="s">
        <v>34</v>
      </c>
      <c r="B105" s="178">
        <f>'ABP Under Contract'!B108</f>
        <v>5854</v>
      </c>
      <c r="C105" s="178">
        <f>'ABP Under Contract'!C108</f>
        <v>8999</v>
      </c>
      <c r="D105" s="178" t="str">
        <f>'ABP Under Contract'!D108</f>
        <v xml:space="preserve">                   -   </v>
      </c>
      <c r="E105" s="178" t="str">
        <f>'ABP Under Contract'!E108</f>
        <v xml:space="preserve">                -   </v>
      </c>
      <c r="F105" s="178" t="str">
        <f>'ABP Under Contract'!F108</f>
        <v xml:space="preserve">                -   </v>
      </c>
      <c r="G105" s="178" t="str">
        <f>'ABP Under Contract'!G108</f>
        <v xml:space="preserve">                -   </v>
      </c>
      <c r="H105" s="174">
        <f t="shared" si="107"/>
        <v>14853</v>
      </c>
      <c r="I105" s="30"/>
      <c r="J105" s="30"/>
      <c r="K105" s="30"/>
      <c r="L105" s="178">
        <f t="shared" ref="L105:L112" si="131">L20*$B$86</f>
        <v>0</v>
      </c>
      <c r="M105" s="30"/>
      <c r="N105" s="178">
        <f t="shared" si="117"/>
        <v>2301.8880502782927</v>
      </c>
      <c r="O105" s="178">
        <f t="shared" si="117"/>
        <v>13986.291768422327</v>
      </c>
      <c r="P105" s="178">
        <f t="shared" si="117"/>
        <v>678.60610814004076</v>
      </c>
      <c r="Q105" s="178">
        <f t="shared" si="100"/>
        <v>302.54999528691383</v>
      </c>
      <c r="R105" s="174">
        <f t="shared" si="101"/>
        <v>17269.335922127575</v>
      </c>
      <c r="S105" s="174">
        <f t="shared" si="108"/>
        <v>29820.447871849283</v>
      </c>
      <c r="T105" s="174">
        <f t="shared" si="102"/>
        <v>2301.8880502782927</v>
      </c>
      <c r="U105" s="174">
        <f t="shared" si="103"/>
        <v>32122.335922127575</v>
      </c>
      <c r="V105" s="174">
        <f t="shared" ref="V105:AD105" si="132">$B$86*V20</f>
        <v>8512.0184262212588</v>
      </c>
      <c r="W105" s="174">
        <f t="shared" si="132"/>
        <v>9290.3034619201298</v>
      </c>
      <c r="X105" s="174">
        <f t="shared" si="132"/>
        <v>14350.892721581749</v>
      </c>
      <c r="Y105" s="174">
        <f t="shared" si="132"/>
        <v>8697.3072776545123</v>
      </c>
      <c r="Z105" s="174">
        <f t="shared" si="132"/>
        <v>2254.334785961059</v>
      </c>
      <c r="AA105" s="174">
        <f t="shared" si="132"/>
        <v>7648.3687058692703</v>
      </c>
      <c r="AB105" s="174">
        <f t="shared" si="132"/>
        <v>112592.35028535128</v>
      </c>
      <c r="AC105" s="174">
        <f t="shared" si="132"/>
        <v>58631.096575989184</v>
      </c>
      <c r="AD105" s="174">
        <f t="shared" si="132"/>
        <v>3868.266059629354</v>
      </c>
      <c r="AE105" s="174"/>
      <c r="AF105" s="174">
        <f t="shared" si="105"/>
        <v>2811.7223910539451</v>
      </c>
      <c r="AG105" s="174">
        <f t="shared" si="120"/>
        <v>228656.66069123175</v>
      </c>
      <c r="AH105" s="174">
        <f t="shared" si="106"/>
        <v>260778.99661335931</v>
      </c>
      <c r="AI105" s="192">
        <f>AH105/'Collections and ACP'!E122</f>
        <v>0.48720187960548578</v>
      </c>
      <c r="AJ105" s="172"/>
      <c r="AK105" s="172">
        <f t="shared" si="111"/>
        <v>145884.75827772974</v>
      </c>
      <c r="AL105" s="172">
        <f t="shared" si="112"/>
        <v>114894.23833562958</v>
      </c>
      <c r="AM105" s="105">
        <f t="shared" si="113"/>
        <v>0.55941912566687235</v>
      </c>
      <c r="AN105" s="105">
        <f t="shared" si="114"/>
        <v>0.44058087433312765</v>
      </c>
    </row>
    <row r="106" spans="1:40" x14ac:dyDescent="0.35">
      <c r="A106" s="177" t="s">
        <v>35</v>
      </c>
      <c r="B106" s="178">
        <f>'ABP Under Contract'!B109</f>
        <v>5826</v>
      </c>
      <c r="C106" s="178">
        <f>'ABP Under Contract'!C109</f>
        <v>8993</v>
      </c>
      <c r="D106" s="178" t="str">
        <f>'ABP Under Contract'!D109</f>
        <v xml:space="preserve">                   -   </v>
      </c>
      <c r="E106" s="178" t="str">
        <f>'ABP Under Contract'!E109</f>
        <v xml:space="preserve">                -   </v>
      </c>
      <c r="F106" s="178" t="str">
        <f>'ABP Under Contract'!F109</f>
        <v xml:space="preserve">                -   </v>
      </c>
      <c r="G106" s="178" t="str">
        <f>'ABP Under Contract'!G109</f>
        <v xml:space="preserve">                -   </v>
      </c>
      <c r="H106" s="174">
        <f t="shared" si="107"/>
        <v>14819</v>
      </c>
      <c r="I106" s="30"/>
      <c r="J106" s="30"/>
      <c r="K106" s="30"/>
      <c r="L106" s="178">
        <f t="shared" si="131"/>
        <v>0</v>
      </c>
      <c r="M106" s="30"/>
      <c r="N106" s="178">
        <f t="shared" si="117"/>
        <v>2301.8880502782927</v>
      </c>
      <c r="O106" s="178">
        <f t="shared" si="117"/>
        <v>13916.360309580215</v>
      </c>
      <c r="P106" s="178">
        <f t="shared" si="117"/>
        <v>675.21307759934041</v>
      </c>
      <c r="Q106" s="178">
        <f t="shared" si="100"/>
        <v>301.03724531047925</v>
      </c>
      <c r="R106" s="174">
        <f t="shared" si="101"/>
        <v>17194.498682768328</v>
      </c>
      <c r="S106" s="174">
        <f t="shared" si="108"/>
        <v>29711.610632490036</v>
      </c>
      <c r="T106" s="174">
        <f t="shared" si="102"/>
        <v>2301.8880502782927</v>
      </c>
      <c r="U106" s="174">
        <f t="shared" si="103"/>
        <v>32013.498682768328</v>
      </c>
      <c r="V106" s="174">
        <f t="shared" ref="V106:AD106" si="133">$B$86*V21</f>
        <v>8875.0878723287278</v>
      </c>
      <c r="W106" s="174">
        <f t="shared" si="133"/>
        <v>9675.7126638491191</v>
      </c>
      <c r="X106" s="174">
        <f t="shared" si="133"/>
        <v>15020.643317155987</v>
      </c>
      <c r="Y106" s="174">
        <f t="shared" si="133"/>
        <v>9024.5732708573141</v>
      </c>
      <c r="Z106" s="174">
        <f t="shared" si="133"/>
        <v>2366.6472885616113</v>
      </c>
      <c r="AA106" s="174">
        <f t="shared" si="133"/>
        <v>7826.0572219592186</v>
      </c>
      <c r="AB106" s="174">
        <f t="shared" si="133"/>
        <v>117596.454742478</v>
      </c>
      <c r="AC106" s="174">
        <f t="shared" si="133"/>
        <v>62091.01943595428</v>
      </c>
      <c r="AD106" s="174">
        <f t="shared" si="133"/>
        <v>4099.1299521875435</v>
      </c>
      <c r="AE106" s="174"/>
      <c r="AF106" s="174">
        <f t="shared" si="105"/>
        <v>2987.6749812325402</v>
      </c>
      <c r="AG106" s="174">
        <f t="shared" si="120"/>
        <v>239563.00074656433</v>
      </c>
      <c r="AH106" s="174">
        <f t="shared" si="106"/>
        <v>271576.49942933267</v>
      </c>
      <c r="AI106" s="192">
        <f>AH106/'Collections and ACP'!E123</f>
        <v>0.50711818035578637</v>
      </c>
      <c r="AJ106" s="172"/>
      <c r="AK106" s="172">
        <f t="shared" si="111"/>
        <v>151678.15663657637</v>
      </c>
      <c r="AL106" s="172">
        <f t="shared" si="112"/>
        <v>119898.3427927563</v>
      </c>
      <c r="AM106" s="105">
        <f t="shared" si="113"/>
        <v>0.5585098745852447</v>
      </c>
      <c r="AN106" s="105">
        <f t="shared" si="114"/>
        <v>0.4414901254147553</v>
      </c>
    </row>
    <row r="107" spans="1:40" x14ac:dyDescent="0.35">
      <c r="A107" s="177" t="s">
        <v>36</v>
      </c>
      <c r="B107" s="178">
        <f>'ABP Under Contract'!B110</f>
        <v>5299</v>
      </c>
      <c r="C107" s="178">
        <f>'ABP Under Contract'!C110</f>
        <v>8197</v>
      </c>
      <c r="D107" s="178" t="str">
        <f>'ABP Under Contract'!D110</f>
        <v xml:space="preserve">                   -   </v>
      </c>
      <c r="E107" s="178" t="str">
        <f>'ABP Under Contract'!E110</f>
        <v xml:space="preserve">                -   </v>
      </c>
      <c r="F107" s="178" t="str">
        <f>'ABP Under Contract'!F110</f>
        <v xml:space="preserve">                -   </v>
      </c>
      <c r="G107" s="178" t="str">
        <f>'ABP Under Contract'!G110</f>
        <v xml:space="preserve">                -   </v>
      </c>
      <c r="H107" s="174">
        <f t="shared" si="107"/>
        <v>13496</v>
      </c>
      <c r="I107" s="30"/>
      <c r="J107" s="30"/>
      <c r="K107" s="30"/>
      <c r="L107" s="178">
        <f t="shared" si="131"/>
        <v>0</v>
      </c>
      <c r="M107" s="30"/>
      <c r="N107" s="178">
        <f t="shared" si="117"/>
        <v>2301.8880502782927</v>
      </c>
      <c r="O107" s="178">
        <f t="shared" si="117"/>
        <v>13846.778508032316</v>
      </c>
      <c r="P107" s="178">
        <f t="shared" si="117"/>
        <v>671.83701221134379</v>
      </c>
      <c r="Q107" s="178">
        <f t="shared" si="100"/>
        <v>299.53205908392687</v>
      </c>
      <c r="R107" s="174">
        <f t="shared" si="101"/>
        <v>17120.035629605878</v>
      </c>
      <c r="S107" s="174">
        <f t="shared" si="108"/>
        <v>28314.147579327586</v>
      </c>
      <c r="T107" s="174">
        <f t="shared" si="102"/>
        <v>2301.8880502782927</v>
      </c>
      <c r="U107" s="174">
        <f t="shared" si="103"/>
        <v>30616.035629605878</v>
      </c>
      <c r="V107" s="174">
        <f t="shared" ref="V107:AD107" si="134">$B$86*V22</f>
        <v>9236.3419712056584</v>
      </c>
      <c r="W107" s="174">
        <f t="shared" si="134"/>
        <v>10059.19481976846</v>
      </c>
      <c r="X107" s="174">
        <f t="shared" si="134"/>
        <v>15687.045159752353</v>
      </c>
      <c r="Y107" s="174">
        <f t="shared" si="134"/>
        <v>9350.2029340941008</v>
      </c>
      <c r="Z107" s="174">
        <f t="shared" si="134"/>
        <v>2478.3982286491614</v>
      </c>
      <c r="AA107" s="174">
        <f t="shared" si="134"/>
        <v>8002.8572954687161</v>
      </c>
      <c r="AB107" s="174">
        <f t="shared" si="134"/>
        <v>122600.55919960472</v>
      </c>
      <c r="AC107" s="174">
        <f t="shared" si="134"/>
        <v>65533.642681619553</v>
      </c>
      <c r="AD107" s="174">
        <f t="shared" si="134"/>
        <v>4328.8395252829423</v>
      </c>
      <c r="AE107" s="174"/>
      <c r="AF107" s="174">
        <f t="shared" si="105"/>
        <v>3163.6275714111343</v>
      </c>
      <c r="AG107" s="174">
        <f t="shared" si="120"/>
        <v>250440.70938685679</v>
      </c>
      <c r="AH107" s="174">
        <f t="shared" si="106"/>
        <v>281056.74501646269</v>
      </c>
      <c r="AI107" s="192">
        <f>AH107/'Collections and ACP'!E124</f>
        <v>0.52457835241507011</v>
      </c>
      <c r="AJ107" s="172"/>
      <c r="AK107" s="172">
        <f t="shared" si="111"/>
        <v>156154.29776657966</v>
      </c>
      <c r="AL107" s="172">
        <f t="shared" si="112"/>
        <v>124902.44724988301</v>
      </c>
      <c r="AM107" s="105">
        <f t="shared" si="113"/>
        <v>0.55559704769737173</v>
      </c>
      <c r="AN107" s="105">
        <f t="shared" si="114"/>
        <v>0.44440295230262827</v>
      </c>
    </row>
    <row r="108" spans="1:40" x14ac:dyDescent="0.35">
      <c r="A108" s="177" t="s">
        <v>37</v>
      </c>
      <c r="B108" s="178">
        <f>'ABP Under Contract'!B111</f>
        <v>1047</v>
      </c>
      <c r="C108" s="178">
        <f>'ABP Under Contract'!C111</f>
        <v>7702</v>
      </c>
      <c r="D108" s="178" t="str">
        <f>'ABP Under Contract'!D111</f>
        <v xml:space="preserve">                   -   </v>
      </c>
      <c r="E108" s="178" t="str">
        <f>'ABP Under Contract'!E111</f>
        <v xml:space="preserve">                -   </v>
      </c>
      <c r="F108" s="178" t="str">
        <f>'ABP Under Contract'!F111</f>
        <v xml:space="preserve">                -   </v>
      </c>
      <c r="G108" s="178" t="str">
        <f>'ABP Under Contract'!G111</f>
        <v xml:space="preserve">                -   </v>
      </c>
      <c r="H108" s="174">
        <f t="shared" si="107"/>
        <v>8749</v>
      </c>
      <c r="I108" s="30"/>
      <c r="J108" s="30"/>
      <c r="K108" s="30"/>
      <c r="L108" s="178">
        <f t="shared" si="131"/>
        <v>0</v>
      </c>
      <c r="M108" s="30"/>
      <c r="N108" s="178">
        <f t="shared" si="117"/>
        <v>2301.8880502782927</v>
      </c>
      <c r="O108" s="178">
        <f t="shared" si="117"/>
        <v>13777.544615492152</v>
      </c>
      <c r="P108" s="178">
        <f t="shared" si="117"/>
        <v>668.477827150287</v>
      </c>
      <c r="Q108" s="178">
        <f t="shared" si="100"/>
        <v>298.03439878850725</v>
      </c>
      <c r="R108" s="174">
        <f t="shared" si="101"/>
        <v>17045.944891709238</v>
      </c>
      <c r="S108" s="174">
        <f t="shared" si="108"/>
        <v>23493.056841430945</v>
      </c>
      <c r="T108" s="174">
        <f t="shared" si="102"/>
        <v>2301.8880502782927</v>
      </c>
      <c r="U108" s="174">
        <f t="shared" si="103"/>
        <v>25794.944891709238</v>
      </c>
      <c r="V108" s="174">
        <f t="shared" ref="V108:AD108" si="135">$B$86*V23</f>
        <v>8889.0021923477143</v>
      </c>
      <c r="W108" s="174">
        <f t="shared" si="135"/>
        <v>9463.8346526007517</v>
      </c>
      <c r="X108" s="174">
        <f t="shared" si="135"/>
        <v>16350.114993135739</v>
      </c>
      <c r="Y108" s="174">
        <f t="shared" si="135"/>
        <v>7984.7051188788719</v>
      </c>
      <c r="Z108" s="174">
        <f t="shared" si="135"/>
        <v>2589.5904140362741</v>
      </c>
      <c r="AA108" s="174">
        <f t="shared" si="135"/>
        <v>7422.6402633757034</v>
      </c>
      <c r="AB108" s="174">
        <f t="shared" si="135"/>
        <v>127604.66365673144</v>
      </c>
      <c r="AC108" s="174">
        <f t="shared" si="135"/>
        <v>68959.052811056492</v>
      </c>
      <c r="AD108" s="174">
        <f t="shared" si="135"/>
        <v>4557.4005505128634</v>
      </c>
      <c r="AE108" s="174"/>
      <c r="AF108" s="174">
        <f t="shared" si="105"/>
        <v>3339.5801615897294</v>
      </c>
      <c r="AG108" s="174">
        <f t="shared" si="120"/>
        <v>257160.58481426557</v>
      </c>
      <c r="AH108" s="174">
        <f t="shared" si="106"/>
        <v>282955.5297059748</v>
      </c>
      <c r="AI108" s="192">
        <f>AH108/'Collections and ACP'!E125</f>
        <v>0.52790007765947089</v>
      </c>
      <c r="AJ108" s="172"/>
      <c r="AK108" s="172">
        <f t="shared" si="111"/>
        <v>153048.9779989651</v>
      </c>
      <c r="AL108" s="172">
        <f t="shared" si="112"/>
        <v>129906.55170700974</v>
      </c>
      <c r="AM108" s="105">
        <f t="shared" si="113"/>
        <v>0.54089410501360957</v>
      </c>
      <c r="AN108" s="105">
        <f t="shared" si="114"/>
        <v>0.45910589498639043</v>
      </c>
    </row>
    <row r="109" spans="1:40" x14ac:dyDescent="0.35">
      <c r="A109" s="177" t="s">
        <v>38</v>
      </c>
      <c r="B109" s="178">
        <f>'ABP Under Contract'!B112</f>
        <v>1043</v>
      </c>
      <c r="C109" s="178">
        <f>'ABP Under Contract'!C112</f>
        <v>7699</v>
      </c>
      <c r="D109" s="178" t="str">
        <f>'ABP Under Contract'!D112</f>
        <v xml:space="preserve">                   -   </v>
      </c>
      <c r="E109" s="178" t="str">
        <f>'ABP Under Contract'!E112</f>
        <v xml:space="preserve">                -   </v>
      </c>
      <c r="F109" s="178" t="str">
        <f>'ABP Under Contract'!F112</f>
        <v xml:space="preserve">                -   </v>
      </c>
      <c r="G109" s="178" t="str">
        <f>'ABP Under Contract'!G112</f>
        <v xml:space="preserve">                -   </v>
      </c>
      <c r="H109" s="174">
        <f t="shared" si="107"/>
        <v>8742</v>
      </c>
      <c r="I109" s="30"/>
      <c r="J109" s="30"/>
      <c r="K109" s="30"/>
      <c r="L109" s="178">
        <f t="shared" si="131"/>
        <v>0</v>
      </c>
      <c r="M109" s="30"/>
      <c r="N109" s="178">
        <f t="shared" si="117"/>
        <v>2301.8880502782927</v>
      </c>
      <c r="O109" s="178">
        <f t="shared" si="117"/>
        <v>13708.65689241469</v>
      </c>
      <c r="P109" s="178">
        <f t="shared" si="117"/>
        <v>665.13543801453568</v>
      </c>
      <c r="Q109" s="178">
        <f t="shared" si="100"/>
        <v>296.54422679456468</v>
      </c>
      <c r="R109" s="174">
        <f t="shared" si="101"/>
        <v>16972.224607502085</v>
      </c>
      <c r="S109" s="174">
        <f t="shared" si="108"/>
        <v>23412.336557223793</v>
      </c>
      <c r="T109" s="174">
        <f t="shared" si="102"/>
        <v>2301.8880502782927</v>
      </c>
      <c r="U109" s="174">
        <f t="shared" si="103"/>
        <v>25714.224607502085</v>
      </c>
      <c r="V109" s="174">
        <f t="shared" ref="V109:AD109" si="136">$B$86*V24</f>
        <v>8572.9378491133739</v>
      </c>
      <c r="W109" s="174">
        <f t="shared" si="136"/>
        <v>9127.3311149452365</v>
      </c>
      <c r="X109" s="174">
        <f t="shared" si="136"/>
        <v>17009.869477352207</v>
      </c>
      <c r="Y109" s="174">
        <f t="shared" si="136"/>
        <v>8315.5341228755497</v>
      </c>
      <c r="Z109" s="174">
        <f t="shared" si="136"/>
        <v>2700.2266384964505</v>
      </c>
      <c r="AA109" s="174">
        <f t="shared" si="136"/>
        <v>6800.2962176435622</v>
      </c>
      <c r="AB109" s="174">
        <f t="shared" si="136"/>
        <v>132608.76811385815</v>
      </c>
      <c r="AC109" s="174">
        <f t="shared" si="136"/>
        <v>72367.335889846247</v>
      </c>
      <c r="AD109" s="174">
        <f t="shared" si="136"/>
        <v>4784.8187706166354</v>
      </c>
      <c r="AE109" s="174"/>
      <c r="AF109" s="174">
        <f t="shared" si="105"/>
        <v>3515.532751768324</v>
      </c>
      <c r="AG109" s="174">
        <f t="shared" si="120"/>
        <v>265802.65094651567</v>
      </c>
      <c r="AH109" s="174">
        <f t="shared" si="106"/>
        <v>291516.87555401778</v>
      </c>
      <c r="AI109" s="192">
        <f>AH109/'Collections and ACP'!E126</f>
        <v>0.54366504733166898</v>
      </c>
      <c r="AJ109" s="172"/>
      <c r="AK109" s="172">
        <f t="shared" si="111"/>
        <v>156606.21938988141</v>
      </c>
      <c r="AL109" s="172">
        <f t="shared" si="112"/>
        <v>134910.65616413645</v>
      </c>
      <c r="AM109" s="105">
        <f t="shared" si="113"/>
        <v>0.53721150479627178</v>
      </c>
      <c r="AN109" s="105">
        <f t="shared" si="114"/>
        <v>0.46278849520372822</v>
      </c>
    </row>
    <row r="110" spans="1:40" x14ac:dyDescent="0.35">
      <c r="A110" s="177" t="s">
        <v>39</v>
      </c>
      <c r="B110" s="178">
        <f>'ABP Under Contract'!B113</f>
        <v>1042</v>
      </c>
      <c r="C110" s="178">
        <f>'ABP Under Contract'!C113</f>
        <v>7696</v>
      </c>
      <c r="D110" s="178" t="str">
        <f>'ABP Under Contract'!D113</f>
        <v xml:space="preserve">                   -   </v>
      </c>
      <c r="E110" s="178" t="str">
        <f>'ABP Under Contract'!E113</f>
        <v xml:space="preserve">                -   </v>
      </c>
      <c r="F110" s="178" t="str">
        <f>'ABP Under Contract'!F113</f>
        <v xml:space="preserve">                -   </v>
      </c>
      <c r="G110" s="178" t="str">
        <f>'ABP Under Contract'!G113</f>
        <v xml:space="preserve">                -   </v>
      </c>
      <c r="H110" s="174">
        <f t="shared" si="107"/>
        <v>8738</v>
      </c>
      <c r="I110" s="30"/>
      <c r="J110" s="30"/>
      <c r="K110" s="30"/>
      <c r="L110" s="178">
        <f t="shared" si="131"/>
        <v>0</v>
      </c>
      <c r="M110" s="30"/>
      <c r="N110" s="178">
        <f t="shared" si="117"/>
        <v>2301.8880502782927</v>
      </c>
      <c r="O110" s="178">
        <f t="shared" si="117"/>
        <v>13640.113607952619</v>
      </c>
      <c r="P110" s="178">
        <f t="shared" si="117"/>
        <v>661.80976082446296</v>
      </c>
      <c r="Q110" s="178">
        <f t="shared" si="100"/>
        <v>295.06150566059182</v>
      </c>
      <c r="R110" s="174">
        <f t="shared" si="101"/>
        <v>16898.872924715968</v>
      </c>
      <c r="S110" s="174">
        <f t="shared" si="108"/>
        <v>23334.984874437676</v>
      </c>
      <c r="T110" s="174">
        <f t="shared" si="102"/>
        <v>2301.8880502782927</v>
      </c>
      <c r="U110" s="174">
        <f t="shared" si="103"/>
        <v>25636.872924715968</v>
      </c>
      <c r="V110" s="174">
        <f t="shared" ref="V110:AD110" si="137">$B$86*V25</f>
        <v>8258.4538275952036</v>
      </c>
      <c r="W110" s="174">
        <f t="shared" si="137"/>
        <v>8792.5100949779953</v>
      </c>
      <c r="X110" s="174">
        <f t="shared" si="137"/>
        <v>17666.325189147596</v>
      </c>
      <c r="Y110" s="174">
        <f t="shared" si="137"/>
        <v>8644.7089818522472</v>
      </c>
      <c r="Z110" s="174">
        <f t="shared" si="137"/>
        <v>2626.897126335884</v>
      </c>
      <c r="AA110" s="174">
        <f t="shared" si="137"/>
        <v>6181.0638921400805</v>
      </c>
      <c r="AB110" s="174">
        <f t="shared" si="137"/>
        <v>145119.02925667498</v>
      </c>
      <c r="AC110" s="174">
        <f t="shared" si="137"/>
        <v>75758.577553242067</v>
      </c>
      <c r="AD110" s="174">
        <f t="shared" si="137"/>
        <v>5011.0998996198878</v>
      </c>
      <c r="AE110" s="174"/>
      <c r="AF110" s="174">
        <f t="shared" si="105"/>
        <v>3691.4853419469187</v>
      </c>
      <c r="AG110" s="174">
        <f t="shared" si="120"/>
        <v>281750.15116353292</v>
      </c>
      <c r="AH110" s="174">
        <f t="shared" si="106"/>
        <v>307387.0240882489</v>
      </c>
      <c r="AI110" s="192">
        <f>AH110/'Collections and ACP'!E127</f>
        <v>0.57306544948804483</v>
      </c>
      <c r="AJ110" s="172"/>
      <c r="AK110" s="172">
        <f t="shared" si="111"/>
        <v>159966.10678129553</v>
      </c>
      <c r="AL110" s="172">
        <f t="shared" si="112"/>
        <v>147420.91730695328</v>
      </c>
      <c r="AM110" s="105">
        <f t="shared" si="113"/>
        <v>0.52040617932971134</v>
      </c>
      <c r="AN110" s="105">
        <f t="shared" si="114"/>
        <v>0.47959382067028866</v>
      </c>
    </row>
    <row r="111" spans="1:40" x14ac:dyDescent="0.35">
      <c r="A111" s="177" t="s">
        <v>40</v>
      </c>
      <c r="B111" s="178">
        <f>'ABP Under Contract'!B114</f>
        <v>461</v>
      </c>
      <c r="C111" s="178">
        <f>'ABP Under Contract'!C114</f>
        <v>2883</v>
      </c>
      <c r="D111" s="178" t="str">
        <f>'ABP Under Contract'!D114</f>
        <v xml:space="preserve">                   -   </v>
      </c>
      <c r="E111" s="178" t="str">
        <f>'ABP Under Contract'!E114</f>
        <v xml:space="preserve">                -   </v>
      </c>
      <c r="F111" s="178" t="str">
        <f>'ABP Under Contract'!F114</f>
        <v xml:space="preserve">                -   </v>
      </c>
      <c r="G111" s="178" t="str">
        <f>'ABP Under Contract'!G114</f>
        <v xml:space="preserve">                -   </v>
      </c>
      <c r="H111" s="174">
        <f t="shared" si="107"/>
        <v>3344</v>
      </c>
      <c r="I111" s="30"/>
      <c r="J111" s="30"/>
      <c r="K111" s="30"/>
      <c r="L111" s="178">
        <f t="shared" si="131"/>
        <v>0</v>
      </c>
      <c r="M111" s="30"/>
      <c r="N111" s="178">
        <f t="shared" si="117"/>
        <v>2301.8880502782927</v>
      </c>
      <c r="O111" s="178">
        <f t="shared" si="117"/>
        <v>13571.913039912853</v>
      </c>
      <c r="P111" s="178">
        <f t="shared" si="117"/>
        <v>658.50071202034064</v>
      </c>
      <c r="Q111" s="178">
        <f t="shared" si="100"/>
        <v>293.58619813228887</v>
      </c>
      <c r="R111" s="174">
        <f t="shared" si="101"/>
        <v>16825.888000343773</v>
      </c>
      <c r="S111" s="174">
        <f t="shared" si="108"/>
        <v>17867.999950065485</v>
      </c>
      <c r="T111" s="174">
        <f t="shared" si="102"/>
        <v>2301.8880502782927</v>
      </c>
      <c r="U111" s="174">
        <f t="shared" si="103"/>
        <v>20169.888000343773</v>
      </c>
      <c r="V111" s="174">
        <f t="shared" ref="V111:AD111" si="138">$B$86*V26</f>
        <v>7539.9126879460518</v>
      </c>
      <c r="W111" s="174">
        <f t="shared" si="138"/>
        <v>8027.5024608720032</v>
      </c>
      <c r="X111" s="174">
        <f t="shared" si="138"/>
        <v>18319.498622384002</v>
      </c>
      <c r="Y111" s="174">
        <f t="shared" si="138"/>
        <v>8601.485436942985</v>
      </c>
      <c r="Z111" s="174">
        <f t="shared" si="138"/>
        <v>2553.9342617361203</v>
      </c>
      <c r="AA111" s="174">
        <f t="shared" si="138"/>
        <v>5348.9973686448247</v>
      </c>
      <c r="AB111" s="174">
        <f t="shared" si="138"/>
        <v>142616.97702811161</v>
      </c>
      <c r="AC111" s="174">
        <f t="shared" si="138"/>
        <v>79132.863008320899</v>
      </c>
      <c r="AD111" s="174">
        <f t="shared" si="138"/>
        <v>5236.2496229781245</v>
      </c>
      <c r="AE111" s="174"/>
      <c r="AF111" s="174">
        <f t="shared" si="105"/>
        <v>3867.4379321255137</v>
      </c>
      <c r="AG111" s="174">
        <f t="shared" si="120"/>
        <v>281244.85843006219</v>
      </c>
      <c r="AH111" s="174">
        <f t="shared" si="106"/>
        <v>301414.74643040594</v>
      </c>
      <c r="AI111" s="192"/>
      <c r="AJ111" s="172"/>
      <c r="AK111" s="172">
        <f t="shared" si="111"/>
        <v>156495.88135201603</v>
      </c>
      <c r="AL111" s="172">
        <f t="shared" si="112"/>
        <v>144918.86507838991</v>
      </c>
      <c r="AM111" s="105">
        <f t="shared" si="113"/>
        <v>0.51920446230771788</v>
      </c>
      <c r="AN111" s="105">
        <f t="shared" si="114"/>
        <v>0.48079553769228212</v>
      </c>
    </row>
    <row r="112" spans="1:40" x14ac:dyDescent="0.35">
      <c r="A112" s="190" t="s">
        <v>165</v>
      </c>
      <c r="L112" s="178">
        <f t="shared" si="131"/>
        <v>0</v>
      </c>
      <c r="N112" s="178">
        <f t="shared" si="117"/>
        <v>2301.8880502782927</v>
      </c>
      <c r="O112" s="178">
        <f t="shared" si="117"/>
        <v>13547.519498446825</v>
      </c>
      <c r="P112" s="178">
        <f t="shared" si="117"/>
        <v>656.54287753057997</v>
      </c>
      <c r="S112" s="174">
        <f t="shared" si="108"/>
        <v>14204.062375977406</v>
      </c>
      <c r="T112" s="174">
        <f t="shared" si="102"/>
        <v>2301.8880502782927</v>
      </c>
      <c r="U112" s="174">
        <f t="shared" si="103"/>
        <v>0</v>
      </c>
      <c r="AG112" s="174">
        <f t="shared" ref="AG112" si="139">SUM(V112:AF112)</f>
        <v>0</v>
      </c>
      <c r="AH112" s="174">
        <f t="shared" ref="AH112" si="140">H112+R112+AG112</f>
        <v>0</v>
      </c>
      <c r="AI112" s="192"/>
      <c r="AK112" s="172">
        <f t="shared" si="111"/>
        <v>14204.062375977406</v>
      </c>
      <c r="AL112" s="172">
        <f t="shared" si="112"/>
        <v>2301.8880502782927</v>
      </c>
      <c r="AM112" s="105">
        <f t="shared" si="113"/>
        <v>0.86054192634574234</v>
      </c>
      <c r="AN112" s="105">
        <f t="shared" si="114"/>
        <v>0.13945807365425766</v>
      </c>
    </row>
    <row r="114" spans="8:13" x14ac:dyDescent="0.35">
      <c r="H114" s="172"/>
    </row>
    <row r="115" spans="8:13" x14ac:dyDescent="0.35">
      <c r="H115" s="172"/>
    </row>
    <row r="116" spans="8:13" x14ac:dyDescent="0.35">
      <c r="H116" s="172"/>
    </row>
    <row r="117" spans="8:13" x14ac:dyDescent="0.35">
      <c r="H117" s="172"/>
    </row>
    <row r="118" spans="8:13" x14ac:dyDescent="0.35">
      <c r="H118" s="172"/>
    </row>
    <row r="119" spans="8:13" x14ac:dyDescent="0.35">
      <c r="H119" s="172"/>
      <c r="L119" s="172"/>
      <c r="M119" s="172"/>
    </row>
    <row r="120" spans="8:13" x14ac:dyDescent="0.35">
      <c r="H120" s="172"/>
      <c r="L120" s="172"/>
      <c r="M120" s="172"/>
    </row>
    <row r="121" spans="8:13" x14ac:dyDescent="0.35">
      <c r="H121" s="172"/>
    </row>
    <row r="122" spans="8:13" x14ac:dyDescent="0.35">
      <c r="H122" s="172"/>
    </row>
    <row r="123" spans="8:13" x14ac:dyDescent="0.35">
      <c r="H123" s="172"/>
    </row>
    <row r="124" spans="8:13" x14ac:dyDescent="0.35">
      <c r="H124" s="172"/>
    </row>
    <row r="125" spans="8:13" x14ac:dyDescent="0.35">
      <c r="H125" s="172"/>
      <c r="M125" s="172"/>
    </row>
    <row r="126" spans="8:13" x14ac:dyDescent="0.35">
      <c r="H126" s="172"/>
      <c r="M126" s="172"/>
    </row>
    <row r="127" spans="8:13" x14ac:dyDescent="0.35">
      <c r="H127" s="172"/>
    </row>
    <row r="128" spans="8:13" x14ac:dyDescent="0.35">
      <c r="H128" s="172"/>
    </row>
    <row r="129" spans="8:8" x14ac:dyDescent="0.35">
      <c r="H129" s="172"/>
    </row>
    <row r="130" spans="8:8" x14ac:dyDescent="0.35">
      <c r="H130" s="172"/>
    </row>
    <row r="131" spans="8:8" x14ac:dyDescent="0.35">
      <c r="H131" s="172"/>
    </row>
    <row r="132" spans="8:8" x14ac:dyDescent="0.35">
      <c r="H132" s="172"/>
    </row>
    <row r="133" spans="8:8" x14ac:dyDescent="0.35">
      <c r="H133" s="172"/>
    </row>
    <row r="134" spans="8:8" x14ac:dyDescent="0.35">
      <c r="H134" s="172"/>
    </row>
    <row r="135" spans="8:8" x14ac:dyDescent="0.35">
      <c r="H135" s="172"/>
    </row>
    <row r="136" spans="8:8" x14ac:dyDescent="0.35">
      <c r="H136" s="172"/>
    </row>
    <row r="137" spans="8:8" x14ac:dyDescent="0.35">
      <c r="H137" s="172"/>
    </row>
    <row r="138" spans="8:8" x14ac:dyDescent="0.35">
      <c r="H138" s="172"/>
    </row>
    <row r="139" spans="8:8" x14ac:dyDescent="0.35">
      <c r="H139" s="172"/>
    </row>
    <row r="140" spans="8:8" x14ac:dyDescent="0.35">
      <c r="H140" s="172"/>
    </row>
    <row r="141" spans="8:8" x14ac:dyDescent="0.35">
      <c r="H141" s="172"/>
    </row>
    <row r="142" spans="8:8" x14ac:dyDescent="0.35">
      <c r="H142" s="172"/>
    </row>
    <row r="143" spans="8:8" x14ac:dyDescent="0.35">
      <c r="H143" s="172"/>
    </row>
    <row r="144" spans="8:8" x14ac:dyDescent="0.35">
      <c r="H144" s="172"/>
    </row>
    <row r="145" spans="8:8" x14ac:dyDescent="0.35">
      <c r="H145" s="172"/>
    </row>
    <row r="146" spans="8:8" x14ac:dyDescent="0.35">
      <c r="H146" s="172"/>
    </row>
  </sheetData>
  <printOptions horizontalCentered="1" verticalCentered="1"/>
  <pageMargins left="0.7" right="0.7" top="0.75" bottom="0.75" header="0.3" footer="0.3"/>
  <pageSetup scale="17" orientation="landscape" r:id="rId1"/>
  <headerFooter>
    <oddHeader>&amp;A</oddHeader>
  </headerFooter>
  <rowBreaks count="1" manualBreakCount="1">
    <brk id="56" max="16383" man="1"/>
  </rowBreaks>
  <customProperties>
    <customPr name="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22A5F-F494-4B41-82DB-AFED39B65ED8}">
  <dimension ref="B2:AL245"/>
  <sheetViews>
    <sheetView topLeftCell="A7" zoomScale="70" zoomScaleNormal="70" workbookViewId="0">
      <selection activeCell="O100" sqref="O100"/>
    </sheetView>
  </sheetViews>
  <sheetFormatPr defaultRowHeight="14.5" x14ac:dyDescent="0.35"/>
  <cols>
    <col min="1" max="1" width="8.54296875" customWidth="1"/>
    <col min="2" max="2" width="10.54296875" bestFit="1" customWidth="1"/>
    <col min="3" max="3" width="31.453125" bestFit="1" customWidth="1"/>
    <col min="4" max="4" width="21.54296875" bestFit="1" customWidth="1"/>
    <col min="5" max="5" width="22.54296875" bestFit="1" customWidth="1"/>
    <col min="6" max="6" width="22.453125" bestFit="1" customWidth="1"/>
    <col min="7" max="7" width="22.54296875" bestFit="1" customWidth="1"/>
    <col min="8" max="8" width="21.54296875" bestFit="1" customWidth="1"/>
    <col min="9" max="9" width="22.54296875" bestFit="1" customWidth="1"/>
    <col min="10" max="10" width="15.54296875" bestFit="1" customWidth="1"/>
    <col min="11" max="15" width="13.90625" bestFit="1" customWidth="1"/>
    <col min="16" max="22" width="15.08984375" bestFit="1" customWidth="1"/>
    <col min="23" max="23" width="14.90625" bestFit="1" customWidth="1"/>
    <col min="24" max="24" width="14.453125" bestFit="1" customWidth="1"/>
    <col min="25" max="25" width="14.90625" bestFit="1" customWidth="1"/>
    <col min="26" max="26" width="14.453125" bestFit="1" customWidth="1"/>
    <col min="27" max="31" width="13.90625" bestFit="1" customWidth="1"/>
    <col min="32" max="32" width="9.453125" customWidth="1"/>
  </cols>
  <sheetData>
    <row r="2" spans="3:38" x14ac:dyDescent="0.35">
      <c r="C2" t="s">
        <v>279</v>
      </c>
    </row>
    <row r="4" spans="3:38" x14ac:dyDescent="0.35">
      <c r="C4" s="179" t="s">
        <v>1</v>
      </c>
      <c r="D4" s="179" t="s">
        <v>280</v>
      </c>
      <c r="E4" s="179" t="s">
        <v>281</v>
      </c>
      <c r="F4" s="179" t="s">
        <v>282</v>
      </c>
      <c r="G4" s="172"/>
      <c r="AJ4" t="s">
        <v>283</v>
      </c>
      <c r="AK4" t="s">
        <v>284</v>
      </c>
      <c r="AL4" t="s">
        <v>285</v>
      </c>
    </row>
    <row r="5" spans="3:38" x14ac:dyDescent="0.35">
      <c r="C5" s="180" t="s">
        <v>286</v>
      </c>
      <c r="D5" s="13">
        <f>'Total REC Deliveries'!T4</f>
        <v>2560409</v>
      </c>
      <c r="E5" s="13">
        <f>'Total REC Deliveries'!S4</f>
        <v>279553.89230000001</v>
      </c>
      <c r="F5" s="13">
        <f>D5+E5</f>
        <v>2839962.8922999999</v>
      </c>
      <c r="G5" s="172"/>
    </row>
    <row r="6" spans="3:38" x14ac:dyDescent="0.35">
      <c r="C6" s="180" t="s">
        <v>287</v>
      </c>
      <c r="D6" s="13">
        <f>'Total REC Deliveries'!T5</f>
        <v>3895928</v>
      </c>
      <c r="E6" s="13">
        <f>'Total REC Deliveries'!S5</f>
        <v>1594222.1079333334</v>
      </c>
      <c r="F6" s="13">
        <f t="shared" ref="F6:F27" si="0">D6+E6</f>
        <v>5490150.1079333331</v>
      </c>
      <c r="G6" s="172"/>
    </row>
    <row r="7" spans="3:38" x14ac:dyDescent="0.35">
      <c r="C7" s="180" t="s">
        <v>288</v>
      </c>
      <c r="D7" s="13">
        <f>'Total REC Deliveries'!T6</f>
        <v>3895928</v>
      </c>
      <c r="E7" s="13">
        <f>'Total REC Deliveries'!S6</f>
        <v>2859362.2002666667</v>
      </c>
      <c r="F7" s="13">
        <f t="shared" si="0"/>
        <v>6755290.2002666667</v>
      </c>
      <c r="G7" s="172"/>
      <c r="H7" s="172"/>
    </row>
    <row r="8" spans="3:38" x14ac:dyDescent="0.35">
      <c r="C8" s="180" t="s">
        <v>289</v>
      </c>
      <c r="D8" s="13">
        <f>'Total REC Deliveries'!T7</f>
        <v>3895928</v>
      </c>
      <c r="E8" s="13">
        <f>'Total REC Deliveries'!S7</f>
        <v>3248389.9221383333</v>
      </c>
      <c r="F8" s="13">
        <f t="shared" si="0"/>
        <v>7144317.9221383333</v>
      </c>
      <c r="G8" s="172"/>
      <c r="H8" s="172"/>
      <c r="I8" s="31"/>
      <c r="J8" s="31"/>
    </row>
    <row r="9" spans="3:38" x14ac:dyDescent="0.35">
      <c r="C9" s="180" t="s">
        <v>290</v>
      </c>
      <c r="D9" s="13">
        <f>'Total REC Deliveries'!T8</f>
        <v>3895928</v>
      </c>
      <c r="E9" s="13">
        <f>'Total REC Deliveries'!S8</f>
        <v>3976256.2654006416</v>
      </c>
      <c r="F9" s="13">
        <f t="shared" si="0"/>
        <v>7872184.2654006416</v>
      </c>
      <c r="G9" s="172"/>
      <c r="H9" s="172"/>
      <c r="I9" s="31"/>
      <c r="J9" s="31"/>
    </row>
    <row r="10" spans="3:38" x14ac:dyDescent="0.35">
      <c r="C10" s="180" t="s">
        <v>291</v>
      </c>
      <c r="D10" s="13">
        <f>'Total REC Deliveries'!T9</f>
        <v>4355928</v>
      </c>
      <c r="E10" s="13">
        <f>'Total REC Deliveries'!S9</f>
        <v>7116450.2219466381</v>
      </c>
      <c r="F10" s="13">
        <f t="shared" si="0"/>
        <v>11472378.221946638</v>
      </c>
      <c r="G10" s="172"/>
      <c r="H10" s="172"/>
      <c r="I10" s="31"/>
      <c r="J10" s="31"/>
    </row>
    <row r="11" spans="3:38" x14ac:dyDescent="0.35">
      <c r="C11" s="180" t="s">
        <v>292</v>
      </c>
      <c r="D11" s="13">
        <f>'Total REC Deliveries'!T10</f>
        <v>4355928</v>
      </c>
      <c r="E11" s="13">
        <f>'Total REC Deliveries'!S10</f>
        <v>8238254.828709905</v>
      </c>
      <c r="F11" s="13">
        <f t="shared" si="0"/>
        <v>12594182.828709904</v>
      </c>
      <c r="G11" s="172"/>
    </row>
    <row r="12" spans="3:38" x14ac:dyDescent="0.35">
      <c r="C12" s="180" t="s">
        <v>293</v>
      </c>
      <c r="D12" s="13">
        <f>'Total REC Deliveries'!T11</f>
        <v>4355928</v>
      </c>
      <c r="E12" s="13">
        <f>'Total REC Deliveries'!S11</f>
        <v>8213110.9174393555</v>
      </c>
      <c r="F12" s="13">
        <f t="shared" si="0"/>
        <v>12569038.917439356</v>
      </c>
      <c r="G12" s="172"/>
    </row>
    <row r="13" spans="3:38" x14ac:dyDescent="0.35">
      <c r="C13" s="180" t="s">
        <v>294</v>
      </c>
      <c r="D13" s="13">
        <f>'Total REC Deliveries'!T12</f>
        <v>4355928</v>
      </c>
      <c r="E13" s="13">
        <f>'Total REC Deliveries'!S12</f>
        <v>8188130.6257251594</v>
      </c>
      <c r="F13" s="13">
        <f t="shared" si="0"/>
        <v>12544058.625725159</v>
      </c>
      <c r="G13" s="172"/>
    </row>
    <row r="14" spans="3:38" x14ac:dyDescent="0.35">
      <c r="C14" s="180" t="s">
        <v>295</v>
      </c>
      <c r="D14" s="13">
        <f>'Total REC Deliveries'!T13</f>
        <v>4355928</v>
      </c>
      <c r="E14" s="13">
        <f>'Total REC Deliveries'!S13</f>
        <v>8163204.5604695324</v>
      </c>
      <c r="F14" s="13">
        <f t="shared" si="0"/>
        <v>12519132.560469532</v>
      </c>
      <c r="G14" s="172"/>
    </row>
    <row r="15" spans="3:38" x14ac:dyDescent="0.35">
      <c r="C15" s="180" t="s">
        <v>296</v>
      </c>
      <c r="D15" s="13">
        <f>'Total REC Deliveries'!T14</f>
        <v>4355928</v>
      </c>
      <c r="E15" s="13">
        <f>'Total REC Deliveries'!S14</f>
        <v>8138342.3305401858</v>
      </c>
      <c r="F15" s="13">
        <f t="shared" si="0"/>
        <v>12494270.330540186</v>
      </c>
      <c r="G15" s="172"/>
    </row>
    <row r="16" spans="3:38" x14ac:dyDescent="0.35">
      <c r="C16" s="32" t="s">
        <v>297</v>
      </c>
      <c r="D16" s="13">
        <f>'Total REC Deliveries'!T15</f>
        <v>4355928</v>
      </c>
      <c r="E16" s="13">
        <f>'Total REC Deliveries'!S15</f>
        <v>8113777.5467604836</v>
      </c>
      <c r="F16" s="13">
        <f t="shared" si="0"/>
        <v>12469705.546760485</v>
      </c>
      <c r="G16" s="172"/>
    </row>
    <row r="17" spans="2:10" x14ac:dyDescent="0.35">
      <c r="C17" s="180" t="s">
        <v>298</v>
      </c>
      <c r="D17" s="13">
        <f>'Total REC Deliveries'!T16</f>
        <v>2525519</v>
      </c>
      <c r="E17" s="13">
        <f>'Total REC Deliveries'!S16</f>
        <v>8057660.8218996814</v>
      </c>
      <c r="F17" s="13">
        <f t="shared" si="0"/>
        <v>10583179.821899682</v>
      </c>
      <c r="G17" s="172"/>
    </row>
    <row r="18" spans="2:10" x14ac:dyDescent="0.35">
      <c r="C18" s="180" t="s">
        <v>299</v>
      </c>
      <c r="D18" s="13">
        <f>'Total REC Deliveries'!T17</f>
        <v>2095519</v>
      </c>
      <c r="E18" s="13">
        <f>'Total REC Deliveries'!S17</f>
        <v>8033231.7706631832</v>
      </c>
      <c r="F18" s="13">
        <f t="shared" si="0"/>
        <v>10128750.770663183</v>
      </c>
      <c r="G18" s="172"/>
    </row>
    <row r="19" spans="2:10" x14ac:dyDescent="0.35">
      <c r="C19" s="180" t="s">
        <v>300</v>
      </c>
      <c r="D19" s="13">
        <f>'Total REC Deliveries'!T18</f>
        <v>2095519</v>
      </c>
      <c r="E19" s="13">
        <f>'Total REC Deliveries'!S18</f>
        <v>7868799.0096828677</v>
      </c>
      <c r="F19" s="13">
        <f t="shared" si="0"/>
        <v>9964318.0096828677</v>
      </c>
      <c r="G19" s="172"/>
    </row>
    <row r="20" spans="2:10" x14ac:dyDescent="0.35">
      <c r="C20" s="180" t="s">
        <v>301</v>
      </c>
      <c r="D20" s="13">
        <f>'Total REC Deliveries'!T19</f>
        <v>1795519</v>
      </c>
      <c r="E20" s="13">
        <f>'Total REC Deliveries'!S19</f>
        <v>7827388.8652074533</v>
      </c>
      <c r="F20" s="13">
        <f t="shared" si="0"/>
        <v>9622907.8652074523</v>
      </c>
      <c r="G20" s="172"/>
    </row>
    <row r="21" spans="2:10" x14ac:dyDescent="0.35">
      <c r="C21" s="180" t="s">
        <v>302</v>
      </c>
      <c r="D21" s="13">
        <f>'Total REC Deliveries'!T20</f>
        <v>460000</v>
      </c>
      <c r="E21" s="13">
        <f>'Total REC Deliveries'!S20</f>
        <v>5488889.2599929152</v>
      </c>
      <c r="F21" s="13">
        <f t="shared" si="0"/>
        <v>5948889.2599929152</v>
      </c>
      <c r="G21" s="172"/>
    </row>
    <row r="22" spans="2:10" x14ac:dyDescent="0.35">
      <c r="C22" s="180" t="s">
        <v>303</v>
      </c>
      <c r="D22" s="13">
        <f>'Total REC Deliveries'!T21</f>
        <v>460000</v>
      </c>
      <c r="E22" s="13">
        <f>'Total REC Deliveries'!S21</f>
        <v>5383164.088692951</v>
      </c>
      <c r="F22" s="13">
        <f t="shared" si="0"/>
        <v>5843164.088692951</v>
      </c>
      <c r="G22" s="172"/>
    </row>
    <row r="23" spans="2:10" x14ac:dyDescent="0.35">
      <c r="C23" s="180" t="s">
        <v>304</v>
      </c>
      <c r="D23" s="13">
        <f>'Total REC Deliveries'!T22</f>
        <v>460000</v>
      </c>
      <c r="E23" s="13">
        <f>'Total REC Deliveries'!S22</f>
        <v>5308521.6932494864</v>
      </c>
      <c r="F23" s="13">
        <f t="shared" si="0"/>
        <v>5768521.6932494864</v>
      </c>
      <c r="G23" s="172"/>
    </row>
    <row r="24" spans="2:10" x14ac:dyDescent="0.35">
      <c r="C24" s="180" t="s">
        <v>305</v>
      </c>
      <c r="D24" s="13">
        <f>'Total REC Deliveries'!T23</f>
        <v>460000</v>
      </c>
      <c r="E24" s="13">
        <f>'Total REC Deliveries'!S23</f>
        <v>5041814.6997832395</v>
      </c>
      <c r="F24" s="13">
        <f t="shared" si="0"/>
        <v>5501814.6997832395</v>
      </c>
      <c r="G24" s="172"/>
    </row>
    <row r="25" spans="2:10" x14ac:dyDescent="0.35">
      <c r="C25" s="180" t="s">
        <v>306</v>
      </c>
      <c r="D25" s="13">
        <f>'Total REC Deliveries'!T24</f>
        <v>460000</v>
      </c>
      <c r="E25" s="13">
        <f>'Total REC Deliveries'!S24</f>
        <v>4904262.7362843221</v>
      </c>
      <c r="F25" s="13">
        <f t="shared" si="0"/>
        <v>5364262.7362843221</v>
      </c>
      <c r="G25" s="172"/>
    </row>
    <row r="26" spans="2:10" x14ac:dyDescent="0.35">
      <c r="C26" s="180" t="s">
        <v>307</v>
      </c>
      <c r="D26" s="13">
        <f>'Total REC Deliveries'!T25</f>
        <v>460000</v>
      </c>
      <c r="E26" s="13">
        <f>'Total REC Deliveries'!S25</f>
        <v>4853524.4326029019</v>
      </c>
      <c r="F26" s="13">
        <f t="shared" si="0"/>
        <v>5313524.4326029019</v>
      </c>
      <c r="G26" s="172"/>
    </row>
    <row r="27" spans="2:10" x14ac:dyDescent="0.35">
      <c r="C27" s="180" t="s">
        <v>308</v>
      </c>
      <c r="D27" s="13">
        <f>'Total REC Deliveries'!T26</f>
        <v>460000</v>
      </c>
      <c r="E27" s="13">
        <f>'Total REC Deliveries'!S26</f>
        <v>4407145.4204398869</v>
      </c>
      <c r="F27" s="13">
        <f t="shared" si="0"/>
        <v>4867145.4204398869</v>
      </c>
      <c r="G27" s="172"/>
    </row>
    <row r="28" spans="2:10" x14ac:dyDescent="0.35">
      <c r="G28" s="172"/>
    </row>
    <row r="29" spans="2:10" x14ac:dyDescent="0.35">
      <c r="B29" s="33" t="s">
        <v>309</v>
      </c>
      <c r="C29" t="s">
        <v>310</v>
      </c>
    </row>
    <row r="30" spans="2:10" x14ac:dyDescent="0.35">
      <c r="C30" s="179" t="s">
        <v>1</v>
      </c>
      <c r="D30" s="179" t="s">
        <v>311</v>
      </c>
      <c r="E30" s="179" t="s">
        <v>312</v>
      </c>
      <c r="F30" s="179" t="s">
        <v>313</v>
      </c>
      <c r="G30" s="179" t="s">
        <v>314</v>
      </c>
      <c r="H30" s="179" t="s">
        <v>280</v>
      </c>
      <c r="I30" s="179" t="s">
        <v>281</v>
      </c>
      <c r="J30" s="179" t="s">
        <v>282</v>
      </c>
    </row>
    <row r="31" spans="2:10" x14ac:dyDescent="0.35">
      <c r="C31" s="180" t="s">
        <v>286</v>
      </c>
      <c r="D31" s="13">
        <f t="shared" ref="D31:E46" si="1">D5</f>
        <v>2560409</v>
      </c>
      <c r="E31" s="13">
        <f>E5</f>
        <v>279553.89230000001</v>
      </c>
      <c r="F31" s="13">
        <f>'Total REC Deliveries'!AB3</f>
        <v>0</v>
      </c>
      <c r="G31" s="28">
        <f>'Total REC Deliveries'!V3+'Total REC Deliveries'!W3+'Total REC Deliveries'!X3+'Total REC Deliveries'!Y3+'Total REC Deliveries'!Z3+'Total REC Deliveries'!AA3+'Total REC Deliveries'!AC3+'Total REC Deliveries'!AD3+'Total REC Deliveries'!AE3+'Total REC Deliveries'!AF3</f>
        <v>0</v>
      </c>
      <c r="H31" s="28">
        <f>D31+G31</f>
        <v>2560409</v>
      </c>
      <c r="I31" s="28">
        <f>E31+G31</f>
        <v>279553.89230000001</v>
      </c>
      <c r="J31" s="28">
        <f t="shared" ref="J31:J53" si="2">H31+I31</f>
        <v>2839962.8922999999</v>
      </c>
    </row>
    <row r="32" spans="2:10" x14ac:dyDescent="0.35">
      <c r="C32" s="180" t="s">
        <v>287</v>
      </c>
      <c r="D32" s="13">
        <f t="shared" si="1"/>
        <v>3895928</v>
      </c>
      <c r="E32" s="13">
        <f t="shared" si="1"/>
        <v>1594222.1079333334</v>
      </c>
      <c r="F32" s="13">
        <f>'Total REC Deliveries'!AB4</f>
        <v>0</v>
      </c>
      <c r="G32" s="28">
        <f>'Total REC Deliveries'!V4+'Total REC Deliveries'!W4+'Total REC Deliveries'!X4+'Total REC Deliveries'!Y4+'Total REC Deliveries'!Z4+'Total REC Deliveries'!AA4+'Total REC Deliveries'!AC4+'Total REC Deliveries'!AD4+'Total REC Deliveries'!AE4+'Total REC Deliveries'!AF4</f>
        <v>0</v>
      </c>
      <c r="H32" s="28">
        <f t="shared" ref="H32:H53" si="3">D32+F32</f>
        <v>3895928</v>
      </c>
      <c r="I32" s="28">
        <f t="shared" ref="I32:I53" si="4">E32+G32</f>
        <v>1594222.1079333334</v>
      </c>
      <c r="J32" s="28">
        <f t="shared" si="2"/>
        <v>5490150.1079333331</v>
      </c>
    </row>
    <row r="33" spans="3:10" x14ac:dyDescent="0.35">
      <c r="C33" s="180" t="s">
        <v>288</v>
      </c>
      <c r="D33" s="13">
        <f t="shared" si="1"/>
        <v>3895928</v>
      </c>
      <c r="E33" s="13">
        <f t="shared" si="1"/>
        <v>2859362.2002666667</v>
      </c>
      <c r="F33" s="13">
        <f>'Total REC Deliveries'!AB5</f>
        <v>0</v>
      </c>
      <c r="G33" s="28">
        <f>'Total REC Deliveries'!V5+'Total REC Deliveries'!W5+'Total REC Deliveries'!X5+'Total REC Deliveries'!Y5+'Total REC Deliveries'!Z5+'Total REC Deliveries'!AA5+'Total REC Deliveries'!AC5+'Total REC Deliveries'!AD5+'Total REC Deliveries'!AE5+'Total REC Deliveries'!AF5</f>
        <v>0</v>
      </c>
      <c r="H33" s="28">
        <f t="shared" si="3"/>
        <v>3895928</v>
      </c>
      <c r="I33" s="28">
        <f t="shared" si="4"/>
        <v>2859362.2002666667</v>
      </c>
      <c r="J33" s="28">
        <f t="shared" si="2"/>
        <v>6755290.2002666667</v>
      </c>
    </row>
    <row r="34" spans="3:10" x14ac:dyDescent="0.35">
      <c r="C34" s="180" t="s">
        <v>289</v>
      </c>
      <c r="D34" s="13">
        <f t="shared" si="1"/>
        <v>3895928</v>
      </c>
      <c r="E34" s="13">
        <f t="shared" si="1"/>
        <v>3248389.9221383333</v>
      </c>
      <c r="F34" s="13">
        <f>'Total REC Deliveries'!AB6</f>
        <v>0</v>
      </c>
      <c r="G34" s="28">
        <f>'Total REC Deliveries'!V6+'Total REC Deliveries'!W6+'Total REC Deliveries'!X6+'Total REC Deliveries'!Y6+'Total REC Deliveries'!Z6+'Total REC Deliveries'!AA6+'Total REC Deliveries'!AC6+'Total REC Deliveries'!AD6+'Total REC Deliveries'!AE6+'Total REC Deliveries'!AF6</f>
        <v>0</v>
      </c>
      <c r="H34" s="28">
        <f t="shared" si="3"/>
        <v>3895928</v>
      </c>
      <c r="I34" s="28">
        <f t="shared" si="4"/>
        <v>3248389.9221383333</v>
      </c>
      <c r="J34" s="28">
        <f t="shared" si="2"/>
        <v>7144317.9221383333</v>
      </c>
    </row>
    <row r="35" spans="3:10" x14ac:dyDescent="0.35">
      <c r="C35" s="180" t="s">
        <v>290</v>
      </c>
      <c r="D35" s="13">
        <f t="shared" si="1"/>
        <v>3895928</v>
      </c>
      <c r="E35" s="13">
        <f t="shared" si="1"/>
        <v>3976256.2654006416</v>
      </c>
      <c r="F35" s="13">
        <f>'Total REC Deliveries'!AB7</f>
        <v>0</v>
      </c>
      <c r="G35" s="28">
        <f>'Total REC Deliveries'!V7+'Total REC Deliveries'!W7+'Total REC Deliveries'!X7+'Total REC Deliveries'!Y7+'Total REC Deliveries'!Z7+'Total REC Deliveries'!AA7+'Total REC Deliveries'!AC7+'Total REC Deliveries'!AD7+'Total REC Deliveries'!AE7+'Total REC Deliveries'!AF7</f>
        <v>47000</v>
      </c>
      <c r="H35" s="28">
        <f t="shared" si="3"/>
        <v>3895928</v>
      </c>
      <c r="I35" s="28">
        <f t="shared" si="4"/>
        <v>4023256.2654006416</v>
      </c>
      <c r="J35" s="28">
        <f t="shared" si="2"/>
        <v>7919184.2654006416</v>
      </c>
    </row>
    <row r="36" spans="3:10" x14ac:dyDescent="0.35">
      <c r="C36" s="180" t="s">
        <v>291</v>
      </c>
      <c r="D36" s="13">
        <f t="shared" si="1"/>
        <v>4355928</v>
      </c>
      <c r="E36" s="13">
        <f t="shared" si="1"/>
        <v>7116450.2219466381</v>
      </c>
      <c r="F36" s="13">
        <f>'Total REC Deliveries'!AB8</f>
        <v>0</v>
      </c>
      <c r="G36" s="28">
        <f>'Total REC Deliveries'!V8+'Total REC Deliveries'!W8+'Total REC Deliveries'!X8+'Total REC Deliveries'!Y8+'Total REC Deliveries'!Z8+'Total REC Deliveries'!AA8+'Total REC Deliveries'!AC8+'Total REC Deliveries'!AD8+'Total REC Deliveries'!AE8+'Total REC Deliveries'!AF8</f>
        <v>1447722.2928995625</v>
      </c>
      <c r="H36" s="28">
        <f t="shared" si="3"/>
        <v>4355928</v>
      </c>
      <c r="I36" s="28">
        <f t="shared" si="4"/>
        <v>8564172.5148462001</v>
      </c>
      <c r="J36" s="28">
        <f t="shared" si="2"/>
        <v>12920100.5148462</v>
      </c>
    </row>
    <row r="37" spans="3:10" x14ac:dyDescent="0.35">
      <c r="C37" s="180" t="s">
        <v>292</v>
      </c>
      <c r="D37" s="13">
        <f t="shared" si="1"/>
        <v>4355928</v>
      </c>
      <c r="E37" s="13">
        <f t="shared" si="1"/>
        <v>8238254.828709905</v>
      </c>
      <c r="F37" s="13">
        <f>'Total REC Deliveries'!AB9</f>
        <v>0</v>
      </c>
      <c r="G37" s="28">
        <f>'Total REC Deliveries'!V9+'Total REC Deliveries'!W9+'Total REC Deliveries'!X9+'Total REC Deliveries'!Y9+'Total REC Deliveries'!Z9+'Total REC Deliveries'!AA9+'Total REC Deliveries'!AC9+'Total REC Deliveries'!AD9+'Total REC Deliveries'!AE9+'Total REC Deliveries'!AF9</f>
        <v>2284583.4003391783</v>
      </c>
      <c r="H37" s="28">
        <f t="shared" si="3"/>
        <v>4355928</v>
      </c>
      <c r="I37" s="28">
        <f t="shared" si="4"/>
        <v>10522838.229049083</v>
      </c>
      <c r="J37" s="28">
        <f t="shared" si="2"/>
        <v>14878766.229049083</v>
      </c>
    </row>
    <row r="38" spans="3:10" x14ac:dyDescent="0.35">
      <c r="C38" s="180" t="s">
        <v>293</v>
      </c>
      <c r="D38" s="13">
        <f t="shared" si="1"/>
        <v>4355928</v>
      </c>
      <c r="E38" s="13">
        <f t="shared" si="1"/>
        <v>8213110.9174393555</v>
      </c>
      <c r="F38" s="13">
        <f>'Total REC Deliveries'!AB10</f>
        <v>0</v>
      </c>
      <c r="G38" s="28">
        <f>'Total REC Deliveries'!V10+'Total REC Deliveries'!W10+'Total REC Deliveries'!X10+'Total REC Deliveries'!Y10+'Total REC Deliveries'!Z10+'Total REC Deliveries'!AA10+'Total REC Deliveries'!AC10+'Total REC Deliveries'!AD10+'Total REC Deliveries'!AE10+'Total REC Deliveries'!AF10</f>
        <v>4373031.0709815957</v>
      </c>
      <c r="H38" s="28">
        <f t="shared" si="3"/>
        <v>4355928</v>
      </c>
      <c r="I38" s="28">
        <f t="shared" si="4"/>
        <v>12586141.988420952</v>
      </c>
      <c r="J38" s="28">
        <f t="shared" si="2"/>
        <v>16942069.988420952</v>
      </c>
    </row>
    <row r="39" spans="3:10" x14ac:dyDescent="0.35">
      <c r="C39" s="180" t="s">
        <v>294</v>
      </c>
      <c r="D39" s="13">
        <f t="shared" si="1"/>
        <v>4355928</v>
      </c>
      <c r="E39" s="13">
        <f t="shared" si="1"/>
        <v>8188130.6257251594</v>
      </c>
      <c r="F39" s="13">
        <f>'Total REC Deliveries'!AB11</f>
        <v>7500000</v>
      </c>
      <c r="G39" s="28">
        <f>'Total REC Deliveries'!V11+'Total REC Deliveries'!W11+'Total REC Deliveries'!X11+'Total REC Deliveries'!Y11+'Total REC Deliveries'!Z11+'Total REC Deliveries'!AA11+'Total REC Deliveries'!AC11+'Total REC Deliveries'!AD11+'Total REC Deliveries'!AE11+'Total REC Deliveries'!AF11</f>
        <v>6894700.3282708004</v>
      </c>
      <c r="H39" s="28">
        <f t="shared" si="3"/>
        <v>11855928</v>
      </c>
      <c r="I39" s="28">
        <f t="shared" si="4"/>
        <v>15082830.95399596</v>
      </c>
      <c r="J39" s="28">
        <f t="shared" si="2"/>
        <v>26938758.953995958</v>
      </c>
    </row>
    <row r="40" spans="3:10" x14ac:dyDescent="0.35">
      <c r="C40" s="180" t="s">
        <v>295</v>
      </c>
      <c r="D40" s="13">
        <f t="shared" si="1"/>
        <v>4355928</v>
      </c>
      <c r="E40" s="13">
        <f t="shared" si="1"/>
        <v>8163204.5604695324</v>
      </c>
      <c r="F40" s="13">
        <f>'Total REC Deliveries'!AB12</f>
        <v>10000000</v>
      </c>
      <c r="G40" s="28">
        <f>'Total REC Deliveries'!V12+'Total REC Deliveries'!W12+'Total REC Deliveries'!X12+'Total REC Deliveries'!Y12+'Total REC Deliveries'!Z12+'Total REC Deliveries'!AA12+'Total REC Deliveries'!AC12+'Total REC Deliveries'!AD12+'Total REC Deliveries'!AE12+'Total REC Deliveries'!AF12</f>
        <v>9403995.0642735604</v>
      </c>
      <c r="H40" s="28">
        <f t="shared" si="3"/>
        <v>14355928</v>
      </c>
      <c r="I40" s="28">
        <f t="shared" si="4"/>
        <v>17567199.624743093</v>
      </c>
      <c r="J40" s="28">
        <f t="shared" si="2"/>
        <v>31923127.624743093</v>
      </c>
    </row>
    <row r="41" spans="3:10" x14ac:dyDescent="0.35">
      <c r="C41" s="180" t="s">
        <v>296</v>
      </c>
      <c r="D41" s="13">
        <f t="shared" si="1"/>
        <v>4355928</v>
      </c>
      <c r="E41" s="13">
        <f t="shared" si="1"/>
        <v>8138342.3305401858</v>
      </c>
      <c r="F41" s="13">
        <f>'Total REC Deliveries'!AB13</f>
        <v>12500000</v>
      </c>
      <c r="G41" s="28">
        <f>'Total REC Deliveries'!V13+'Total REC Deliveries'!W13+'Total REC Deliveries'!X13+'Total REC Deliveries'!Y13+'Total REC Deliveries'!Z13+'Total REC Deliveries'!AA13+'Total REC Deliveries'!AC13+'Total REC Deliveries'!AD13+'Total REC Deliveries'!AE13+'Total REC Deliveries'!AF13</f>
        <v>11889373.805731647</v>
      </c>
      <c r="H41" s="28">
        <f t="shared" si="3"/>
        <v>16855928</v>
      </c>
      <c r="I41" s="28">
        <f t="shared" si="4"/>
        <v>20027716.136271834</v>
      </c>
      <c r="J41" s="28">
        <f t="shared" si="2"/>
        <v>36883644.136271834</v>
      </c>
    </row>
    <row r="42" spans="3:10" x14ac:dyDescent="0.35">
      <c r="C42" s="32" t="s">
        <v>297</v>
      </c>
      <c r="D42" s="13">
        <f t="shared" si="1"/>
        <v>4355928</v>
      </c>
      <c r="E42" s="13">
        <f t="shared" si="1"/>
        <v>8113777.5467604836</v>
      </c>
      <c r="F42" s="13">
        <f>'Total REC Deliveries'!AB14</f>
        <v>15000000</v>
      </c>
      <c r="G42" s="28">
        <f>'Total REC Deliveries'!V14+'Total REC Deliveries'!W14+'Total REC Deliveries'!X14+'Total REC Deliveries'!Y14+'Total REC Deliveries'!Z14+'Total REC Deliveries'!AA14+'Total REC Deliveries'!AC14+'Total REC Deliveries'!AD14+'Total REC Deliveries'!AE14+'Total REC Deliveries'!AF14</f>
        <v>14362501.461753113</v>
      </c>
      <c r="H42" s="28">
        <f t="shared" si="3"/>
        <v>19355928</v>
      </c>
      <c r="I42" s="28">
        <f t="shared" si="4"/>
        <v>22476279.008513596</v>
      </c>
      <c r="J42" s="28">
        <f t="shared" si="2"/>
        <v>41832207.0085136</v>
      </c>
    </row>
    <row r="43" spans="3:10" x14ac:dyDescent="0.35">
      <c r="C43" s="180" t="s">
        <v>298</v>
      </c>
      <c r="D43" s="13">
        <f t="shared" si="1"/>
        <v>2525519</v>
      </c>
      <c r="E43" s="13">
        <f t="shared" si="1"/>
        <v>8057660.8218996814</v>
      </c>
      <c r="F43" s="13">
        <f>'Total REC Deliveries'!AB15</f>
        <v>17500000</v>
      </c>
      <c r="G43" s="28">
        <f>'Total REC Deliveries'!V15+'Total REC Deliveries'!W15+'Total REC Deliveries'!X15+'Total REC Deliveries'!Y15+'Total REC Deliveries'!Z15+'Total REC Deliveries'!AA15+'Total REC Deliveries'!AC15+'Total REC Deliveries'!AD15+'Total REC Deliveries'!AE15+'Total REC Deliveries'!AF15</f>
        <v>16290367.370914344</v>
      </c>
      <c r="H43" s="28">
        <f t="shared" si="3"/>
        <v>20025519</v>
      </c>
      <c r="I43" s="28">
        <f t="shared" si="4"/>
        <v>24348028.192814026</v>
      </c>
      <c r="J43" s="28">
        <f t="shared" si="2"/>
        <v>44373547.192814022</v>
      </c>
    </row>
    <row r="44" spans="3:10" x14ac:dyDescent="0.35">
      <c r="C44" s="180" t="s">
        <v>299</v>
      </c>
      <c r="D44" s="13">
        <f t="shared" si="1"/>
        <v>2095519</v>
      </c>
      <c r="E44" s="13">
        <f t="shared" si="1"/>
        <v>8033231.7706631832</v>
      </c>
      <c r="F44" s="13">
        <f>'Total REC Deliveries'!AB16</f>
        <v>20000000</v>
      </c>
      <c r="G44" s="28">
        <f>'Total REC Deliveries'!V16+'Total REC Deliveries'!W16+'Total REC Deliveries'!X16+'Total REC Deliveries'!Y16+'Total REC Deliveries'!Z16+'Total REC Deliveries'!AA16+'Total REC Deliveries'!AC16+'Total REC Deliveries'!AD16+'Total REC Deliveries'!AE16+'Total REC Deliveries'!AF16</f>
        <v>18248284.258176439</v>
      </c>
      <c r="H44" s="28">
        <f t="shared" si="3"/>
        <v>22095519</v>
      </c>
      <c r="I44" s="28">
        <f t="shared" si="4"/>
        <v>26281516.028839622</v>
      </c>
      <c r="J44" s="28">
        <f t="shared" si="2"/>
        <v>48377035.028839618</v>
      </c>
    </row>
    <row r="45" spans="3:10" x14ac:dyDescent="0.35">
      <c r="C45" s="180" t="s">
        <v>300</v>
      </c>
      <c r="D45" s="13">
        <f t="shared" si="1"/>
        <v>2095519</v>
      </c>
      <c r="E45" s="13">
        <f t="shared" si="1"/>
        <v>7868799.0096828677</v>
      </c>
      <c r="F45" s="13">
        <f>'Total REC Deliveries'!AB17</f>
        <v>19500000</v>
      </c>
      <c r="G45" s="28">
        <f>'Total REC Deliveries'!V17+'Total REC Deliveries'!W17+'Total REC Deliveries'!X17+'Total REC Deliveries'!Y17+'Total REC Deliveries'!Z17+'Total REC Deliveries'!AA17+'Total REC Deliveries'!AC17+'Total REC Deliveries'!AD17+'Total REC Deliveries'!AE17+'Total REC Deliveries'!AF17</f>
        <v>19911587.369272903</v>
      </c>
      <c r="H45" s="28">
        <f t="shared" si="3"/>
        <v>21595519</v>
      </c>
      <c r="I45" s="28">
        <f t="shared" si="4"/>
        <v>27780386.37895577</v>
      </c>
      <c r="J45" s="28">
        <f t="shared" si="2"/>
        <v>49375905.378955767</v>
      </c>
    </row>
    <row r="46" spans="3:10" x14ac:dyDescent="0.35">
      <c r="C46" s="180" t="s">
        <v>301</v>
      </c>
      <c r="D46" s="13">
        <f t="shared" si="1"/>
        <v>1795519</v>
      </c>
      <c r="E46" s="13">
        <f t="shared" si="1"/>
        <v>7827388.8652074533</v>
      </c>
      <c r="F46" s="13">
        <f>'Total REC Deliveries'!AB18</f>
        <v>20500000</v>
      </c>
      <c r="G46" s="28">
        <f>'Total REC Deliveries'!V18+'Total REC Deliveries'!W18+'Total REC Deliveries'!X18+'Total REC Deliveries'!Y18+'Total REC Deliveries'!Z18+'Total REC Deliveries'!AA18+'Total REC Deliveries'!AC18+'Total REC Deliveries'!AD18+'Total REC Deliveries'!AE18+'Total REC Deliveries'!AF18</f>
        <v>21282148.770269912</v>
      </c>
      <c r="H46" s="28">
        <f t="shared" si="3"/>
        <v>22295519</v>
      </c>
      <c r="I46" s="28">
        <f t="shared" si="4"/>
        <v>29109537.635477364</v>
      </c>
      <c r="J46" s="28">
        <f t="shared" si="2"/>
        <v>51405056.635477364</v>
      </c>
    </row>
    <row r="47" spans="3:10" x14ac:dyDescent="0.35">
      <c r="C47" s="180" t="s">
        <v>302</v>
      </c>
      <c r="D47" s="13">
        <f t="shared" ref="D47:E53" si="5">D21</f>
        <v>460000</v>
      </c>
      <c r="E47" s="13">
        <f t="shared" si="5"/>
        <v>5488889.2599929152</v>
      </c>
      <c r="F47" s="13">
        <f>'Total REC Deliveries'!AB19</f>
        <v>23000000</v>
      </c>
      <c r="G47" s="28">
        <f>'Total REC Deliveries'!V19+'Total REC Deliveries'!W19+'Total REC Deliveries'!X19+'Total REC Deliveries'!Y19+'Total REC Deliveries'!Z19+'Total REC Deliveries'!AA19+'Total REC Deliveries'!AC19+'Total REC Deliveries'!AD19+'Total REC Deliveries'!AE19+'Total REC Deliveries'!AF19</f>
        <v>22473157.237762619</v>
      </c>
      <c r="H47" s="28">
        <f t="shared" si="3"/>
        <v>23460000</v>
      </c>
      <c r="I47" s="28">
        <f t="shared" si="4"/>
        <v>27962046.497755535</v>
      </c>
      <c r="J47" s="28">
        <f t="shared" si="2"/>
        <v>51422046.497755535</v>
      </c>
    </row>
    <row r="48" spans="3:10" x14ac:dyDescent="0.35">
      <c r="C48" s="180" t="s">
        <v>303</v>
      </c>
      <c r="D48" s="13">
        <f t="shared" si="5"/>
        <v>460000</v>
      </c>
      <c r="E48" s="13">
        <f t="shared" si="5"/>
        <v>5383164.088692951</v>
      </c>
      <c r="F48" s="13">
        <f>'Total REC Deliveries'!AB20</f>
        <v>22500000</v>
      </c>
      <c r="G48" s="28">
        <f>'Total REC Deliveries'!V20+'Total REC Deliveries'!W20+'Total REC Deliveries'!X20+'Total REC Deliveries'!Y20+'Total REC Deliveries'!Z20+'Total REC Deliveries'!AA20+'Total REC Deliveries'!AC20+'Total REC Deliveries'!AD20+'Total REC Deliveries'!AE20+'Total REC Deliveries'!AF20</f>
        <v>23658386.471188534</v>
      </c>
      <c r="H48" s="28">
        <f t="shared" si="3"/>
        <v>22960000</v>
      </c>
      <c r="I48" s="28">
        <f t="shared" si="4"/>
        <v>29041550.559881486</v>
      </c>
      <c r="J48" s="28">
        <f t="shared" si="2"/>
        <v>52001550.559881486</v>
      </c>
    </row>
    <row r="49" spans="2:15" x14ac:dyDescent="0.35">
      <c r="C49" s="180" t="s">
        <v>304</v>
      </c>
      <c r="D49" s="13">
        <f t="shared" si="5"/>
        <v>460000</v>
      </c>
      <c r="E49" s="13">
        <f t="shared" si="5"/>
        <v>5308521.6932494864</v>
      </c>
      <c r="F49" s="13">
        <f>'Total REC Deliveries'!AB21</f>
        <v>23500000</v>
      </c>
      <c r="G49" s="28">
        <f>'Total REC Deliveries'!V21+'Total REC Deliveries'!W21+'Total REC Deliveries'!X21+'Total REC Deliveries'!Y21+'Total REC Deliveries'!Z21+'Total REC Deliveries'!AA21+'Total REC Deliveries'!AC21+'Total REC Deliveries'!AD21+'Total REC Deliveries'!AE21+'Total REC Deliveries'!AF21</f>
        <v>24837865.366717987</v>
      </c>
      <c r="H49" s="28">
        <f t="shared" si="3"/>
        <v>23960000</v>
      </c>
      <c r="I49" s="28">
        <f t="shared" si="4"/>
        <v>30146387.059967473</v>
      </c>
      <c r="J49" s="28">
        <f t="shared" si="2"/>
        <v>54106387.059967473</v>
      </c>
    </row>
    <row r="50" spans="2:15" x14ac:dyDescent="0.35">
      <c r="C50" s="180" t="s">
        <v>305</v>
      </c>
      <c r="D50" s="13">
        <f t="shared" si="5"/>
        <v>460000</v>
      </c>
      <c r="E50" s="13">
        <f t="shared" si="5"/>
        <v>5041814.6997832395</v>
      </c>
      <c r="F50" s="13">
        <f>'Total REC Deliveries'!AB22</f>
        <v>24500000</v>
      </c>
      <c r="G50" s="28">
        <f>'Total REC Deliveries'!V22+'Total REC Deliveries'!W22+'Total REC Deliveries'!X22+'Total REC Deliveries'!Y22+'Total REC Deliveries'!Z22+'Total REC Deliveries'!AA22+'Total REC Deliveries'!AC22+'Total REC Deliveries'!AD22+'Total REC Deliveries'!AE22+'Total REC Deliveries'!AF22</f>
        <v>26011622.676040478</v>
      </c>
      <c r="H50" s="28">
        <f t="shared" si="3"/>
        <v>24960000</v>
      </c>
      <c r="I50" s="28">
        <f t="shared" si="4"/>
        <v>31053437.375823718</v>
      </c>
      <c r="J50" s="28">
        <f t="shared" si="2"/>
        <v>56013437.375823721</v>
      </c>
    </row>
    <row r="51" spans="2:15" x14ac:dyDescent="0.35">
      <c r="C51" s="180" t="s">
        <v>306</v>
      </c>
      <c r="D51" s="13">
        <f t="shared" si="5"/>
        <v>460000</v>
      </c>
      <c r="E51" s="13">
        <f t="shared" si="5"/>
        <v>4904262.7362843221</v>
      </c>
      <c r="F51" s="13">
        <f>'Total REC Deliveries'!AB23</f>
        <v>25500000</v>
      </c>
      <c r="G51" s="28">
        <f>'Total REC Deliveries'!V23+'Total REC Deliveries'!W23+'Total REC Deliveries'!X23+'Total REC Deliveries'!Y23+'Total REC Deliveries'!Z23+'Total REC Deliveries'!AA23+'Total REC Deliveries'!AC23+'Total REC Deliveries'!AD23+'Total REC Deliveries'!AE23+'Total REC Deliveries'!AF23</f>
        <v>26354495.408810575</v>
      </c>
      <c r="H51" s="28">
        <f t="shared" si="3"/>
        <v>25960000</v>
      </c>
      <c r="I51" s="28">
        <f t="shared" si="4"/>
        <v>31258758.145094898</v>
      </c>
      <c r="J51" s="28">
        <f t="shared" si="2"/>
        <v>57218758.145094901</v>
      </c>
    </row>
    <row r="52" spans="2:15" x14ac:dyDescent="0.35">
      <c r="C52" s="180" t="s">
        <v>307</v>
      </c>
      <c r="D52" s="13">
        <f t="shared" si="5"/>
        <v>460000</v>
      </c>
      <c r="E52" s="13">
        <f t="shared" si="5"/>
        <v>4853524.4326029019</v>
      </c>
      <c r="F52" s="13">
        <f>'Total REC Deliveries'!AB24</f>
        <v>26500000</v>
      </c>
      <c r="G52" s="28">
        <f>'Total REC Deliveries'!V24+'Total REC Deliveries'!W24+'Total REC Deliveries'!X24+'Total REC Deliveries'!Y24+'Total REC Deliveries'!Z24+'Total REC Deliveries'!AA24+'Total REC Deliveries'!AC24+'Total REC Deliveries'!AD24+'Total REC Deliveries'!AE24+'Total REC Deliveries'!AF24</f>
        <v>27081490.959421504</v>
      </c>
      <c r="H52" s="28">
        <f t="shared" si="3"/>
        <v>26960000</v>
      </c>
      <c r="I52" s="28">
        <f t="shared" si="4"/>
        <v>31935015.392024405</v>
      </c>
      <c r="J52" s="28">
        <f t="shared" si="2"/>
        <v>58895015.392024405</v>
      </c>
    </row>
    <row r="53" spans="2:15" x14ac:dyDescent="0.35">
      <c r="C53" s="180" t="s">
        <v>308</v>
      </c>
      <c r="D53" s="13">
        <f t="shared" si="5"/>
        <v>460000</v>
      </c>
      <c r="E53" s="13">
        <f t="shared" si="5"/>
        <v>4407145.4204398869</v>
      </c>
      <c r="F53" s="13">
        <f>'Total REC Deliveries'!AB25</f>
        <v>29000000</v>
      </c>
      <c r="G53" s="28">
        <f>'Total REC Deliveries'!V25+'Total REC Deliveries'!W25+'Total REC Deliveries'!X25+'Total REC Deliveries'!Y25+'Total REC Deliveries'!Z25+'Total REC Deliveries'!AA25+'Total REC Deliveries'!AC25+'Total REC Deliveries'!AD25+'Total REC Deliveries'!AE25+'Total REC Deliveries'!AF25</f>
        <v>27768374.917110488</v>
      </c>
      <c r="H53" s="28">
        <f t="shared" si="3"/>
        <v>29460000</v>
      </c>
      <c r="I53" s="28">
        <f t="shared" si="4"/>
        <v>32175520.337550376</v>
      </c>
      <c r="J53" s="28">
        <f t="shared" si="2"/>
        <v>61635520.337550372</v>
      </c>
    </row>
    <row r="54" spans="2:15" x14ac:dyDescent="0.35">
      <c r="C54" s="34"/>
    </row>
    <row r="55" spans="2:15" x14ac:dyDescent="0.35">
      <c r="C55" s="34"/>
    </row>
    <row r="56" spans="2:15" x14ac:dyDescent="0.35">
      <c r="B56" s="33" t="s">
        <v>315</v>
      </c>
    </row>
    <row r="57" spans="2:15" x14ac:dyDescent="0.35">
      <c r="C57" s="35" t="s">
        <v>207</v>
      </c>
    </row>
    <row r="58" spans="2:15" x14ac:dyDescent="0.35">
      <c r="C58" s="305" t="s">
        <v>316</v>
      </c>
      <c r="D58" s="307" t="s">
        <v>41</v>
      </c>
      <c r="E58" s="308"/>
      <c r="F58" s="307" t="s">
        <v>317</v>
      </c>
      <c r="G58" s="308"/>
      <c r="H58" s="307" t="s">
        <v>236</v>
      </c>
      <c r="I58" s="308"/>
    </row>
    <row r="59" spans="2:15" x14ac:dyDescent="0.35">
      <c r="C59" s="306"/>
      <c r="D59" s="184" t="s">
        <v>318</v>
      </c>
      <c r="E59" s="184" t="s">
        <v>319</v>
      </c>
      <c r="F59" s="184" t="s">
        <v>318</v>
      </c>
      <c r="G59" s="184" t="s">
        <v>319</v>
      </c>
      <c r="H59" s="184" t="s">
        <v>318</v>
      </c>
      <c r="I59" s="184" t="s">
        <v>319</v>
      </c>
      <c r="J59" s="184" t="s">
        <v>89</v>
      </c>
      <c r="K59" s="184"/>
    </row>
    <row r="60" spans="2:15" x14ac:dyDescent="0.35">
      <c r="C60" s="180" t="s">
        <v>286</v>
      </c>
      <c r="D60" s="13">
        <f>'Total REC Deliveries'!T33</f>
        <v>814109</v>
      </c>
      <c r="E60" s="13">
        <f>'Total REC Deliveries'!S33</f>
        <v>79971.288757022674</v>
      </c>
      <c r="F60" s="13">
        <f>'Total REC Deliveries'!T61</f>
        <v>1775207</v>
      </c>
      <c r="G60" s="13">
        <f>'Total REC Deliveries'!S61</f>
        <v>164944.71406969341</v>
      </c>
      <c r="H60" s="13">
        <f>'Total REC Deliveries'!T89</f>
        <v>2409</v>
      </c>
      <c r="I60" s="13">
        <f>'Total REC Deliveries'!S89</f>
        <v>3321.8894732839058</v>
      </c>
      <c r="J60" s="172">
        <f t="shared" ref="J60:J82" si="6">SUM(D60:I60)</f>
        <v>2839962.8922999999</v>
      </c>
      <c r="K60" s="185">
        <f>F5</f>
        <v>2839962.8922999999</v>
      </c>
      <c r="L60" s="172">
        <f>J60-K60</f>
        <v>0</v>
      </c>
      <c r="N60" s="172"/>
    </row>
    <row r="61" spans="2:15" x14ac:dyDescent="0.35">
      <c r="C61" s="180" t="s">
        <v>287</v>
      </c>
      <c r="D61" s="13">
        <f>'Total REC Deliveries'!T34</f>
        <v>1205816</v>
      </c>
      <c r="E61" s="13">
        <f>'Total REC Deliveries'!S34</f>
        <v>454495.78657581931</v>
      </c>
      <c r="F61" s="13">
        <f>'Total REC Deliveries'!T62</f>
        <v>2714612</v>
      </c>
      <c r="G61" s="13">
        <f>'Total REC Deliveries'!S62</f>
        <v>1098217.8538560383</v>
      </c>
      <c r="H61" s="13">
        <f>'Total REC Deliveries'!T90</f>
        <v>6816</v>
      </c>
      <c r="I61" s="13">
        <f>'Total REC Deliveries'!S90</f>
        <v>10192.467501475689</v>
      </c>
      <c r="J61" s="172">
        <f t="shared" si="6"/>
        <v>5490150.1079333331</v>
      </c>
      <c r="K61" s="185">
        <f t="shared" ref="K61:K82" si="7">F6</f>
        <v>5490150.1079333331</v>
      </c>
      <c r="L61" s="172">
        <f t="shared" ref="L61:L82" si="8">J61-K61</f>
        <v>0</v>
      </c>
      <c r="N61" s="172"/>
    </row>
    <row r="62" spans="2:15" x14ac:dyDescent="0.35">
      <c r="C62" s="180" t="s">
        <v>288</v>
      </c>
      <c r="D62" s="13">
        <f>'Total REC Deliveries'!T35</f>
        <v>1205816</v>
      </c>
      <c r="E62" s="13">
        <f>'Total REC Deliveries'!S35</f>
        <v>816747.3990544402</v>
      </c>
      <c r="F62" s="13">
        <f>'Total REC Deliveries'!T63</f>
        <v>2714612</v>
      </c>
      <c r="G62" s="13">
        <f>'Total REC Deliveries'!S63</f>
        <v>2000757.9645867581</v>
      </c>
      <c r="H62" s="13">
        <f>'Total REC Deliveries'!T91</f>
        <v>6816</v>
      </c>
      <c r="I62" s="13">
        <f>'Total REC Deliveries'!S91</f>
        <v>10540.83662546831</v>
      </c>
      <c r="J62" s="172">
        <f>SUM(D62:I62)</f>
        <v>6755290.2002666658</v>
      </c>
      <c r="K62" s="185">
        <f t="shared" si="7"/>
        <v>6755290.2002666667</v>
      </c>
      <c r="L62" s="172">
        <f t="shared" si="8"/>
        <v>0</v>
      </c>
      <c r="N62" s="172"/>
    </row>
    <row r="63" spans="2:15" x14ac:dyDescent="0.35">
      <c r="C63" s="180" t="s">
        <v>289</v>
      </c>
      <c r="D63" s="13">
        <f>'Total REC Deliveries'!T36</f>
        <v>1205816</v>
      </c>
      <c r="E63" s="13">
        <f>'Total REC Deliveries'!S36</f>
        <v>927586.48347066797</v>
      </c>
      <c r="F63" s="13">
        <f>'Total REC Deliveries'!T64</f>
        <v>2714612</v>
      </c>
      <c r="G63" s="13">
        <f>'Total REC Deliveries'!S64</f>
        <v>2272728.2247638246</v>
      </c>
      <c r="H63" s="13">
        <f>'Total REC Deliveries'!T92</f>
        <v>6816</v>
      </c>
      <c r="I63" s="13">
        <f>'Total REC Deliveries'!S92</f>
        <v>16759.21390384097</v>
      </c>
      <c r="J63" s="172">
        <f t="shared" si="6"/>
        <v>7144317.9221383333</v>
      </c>
      <c r="K63" s="185">
        <f t="shared" si="7"/>
        <v>7144317.9221383333</v>
      </c>
      <c r="L63" s="172">
        <f t="shared" si="8"/>
        <v>0</v>
      </c>
      <c r="N63" s="172"/>
      <c r="O63" s="172"/>
    </row>
    <row r="64" spans="2:15" x14ac:dyDescent="0.35">
      <c r="C64" s="180" t="s">
        <v>290</v>
      </c>
      <c r="D64" s="13">
        <f>'Total REC Deliveries'!T37</f>
        <v>1205816</v>
      </c>
      <c r="E64" s="13">
        <f>'Total REC Deliveries'!S37</f>
        <v>1056870.0374648147</v>
      </c>
      <c r="F64" s="13">
        <f>'Total REC Deliveries'!T65</f>
        <v>2714612</v>
      </c>
      <c r="G64" s="13">
        <f>'Total REC Deliveries'!S65</f>
        <v>2863130.6286400054</v>
      </c>
      <c r="H64" s="13">
        <f>'Total REC Deliveries'!T93</f>
        <v>6816</v>
      </c>
      <c r="I64" s="13">
        <f>'Total REC Deliveries'!S93</f>
        <v>24939.599295821765</v>
      </c>
      <c r="J64" s="172">
        <f t="shared" si="6"/>
        <v>7872184.2654006416</v>
      </c>
      <c r="K64" s="185">
        <f t="shared" si="7"/>
        <v>7872184.2654006416</v>
      </c>
      <c r="L64" s="172">
        <f t="shared" si="8"/>
        <v>0</v>
      </c>
      <c r="N64" s="172"/>
      <c r="O64" s="172"/>
    </row>
    <row r="65" spans="3:15" x14ac:dyDescent="0.35">
      <c r="C65" s="180" t="s">
        <v>291</v>
      </c>
      <c r="D65" s="13">
        <f>'Total REC Deliveries'!T38</f>
        <v>1339038.578893156</v>
      </c>
      <c r="E65" s="13">
        <f>'Total REC Deliveries'!S38</f>
        <v>2134707.5723653133</v>
      </c>
      <c r="F65" s="13">
        <f>'Total REC Deliveries'!T66</f>
        <v>3039087.5330565656</v>
      </c>
      <c r="G65" s="13">
        <f>'Total REC Deliveries'!S66</f>
        <v>4915787.7006287007</v>
      </c>
      <c r="H65" s="13">
        <f>'Total REC Deliveries'!T94</f>
        <v>9117.8880502782922</v>
      </c>
      <c r="I65" s="13">
        <f>'Total REC Deliveries'!S94</f>
        <v>34638.948952625367</v>
      </c>
      <c r="J65" s="172">
        <f t="shared" si="6"/>
        <v>11472378.221946638</v>
      </c>
      <c r="K65" s="185">
        <f t="shared" si="7"/>
        <v>11472378.221946638</v>
      </c>
      <c r="L65" s="172">
        <f t="shared" si="8"/>
        <v>0</v>
      </c>
      <c r="N65" s="172"/>
      <c r="O65" s="172"/>
    </row>
    <row r="66" spans="3:15" x14ac:dyDescent="0.35">
      <c r="C66" s="180" t="s">
        <v>292</v>
      </c>
      <c r="D66" s="13">
        <f>'Total REC Deliveries'!T39</f>
        <v>1339038.578893156</v>
      </c>
      <c r="E66" s="13">
        <f>'Total REC Deliveries'!S39</f>
        <v>2459355.1995825088</v>
      </c>
      <c r="F66" s="13">
        <f>'Total REC Deliveries'!T67</f>
        <v>3039087.5330565656</v>
      </c>
      <c r="G66" s="13">
        <f>'Total REC Deliveries'!S67</f>
        <v>5707331.5179329123</v>
      </c>
      <c r="H66" s="13">
        <f>'Total REC Deliveries'!T95</f>
        <v>9117.8880502782922</v>
      </c>
      <c r="I66" s="13">
        <f>'Total REC Deliveries'!S95</f>
        <v>40252.111194484409</v>
      </c>
      <c r="J66" s="172">
        <f t="shared" si="6"/>
        <v>12594182.828709906</v>
      </c>
      <c r="K66" s="185">
        <f t="shared" si="7"/>
        <v>12594182.828709904</v>
      </c>
      <c r="L66" s="172">
        <f t="shared" si="8"/>
        <v>0</v>
      </c>
      <c r="N66" s="172"/>
      <c r="O66" s="172"/>
    </row>
    <row r="67" spans="3:15" x14ac:dyDescent="0.35">
      <c r="C67" s="180" t="s">
        <v>293</v>
      </c>
      <c r="D67" s="13">
        <f>'Total REC Deliveries'!T40</f>
        <v>1339038.578893156</v>
      </c>
      <c r="E67" s="13">
        <f>'Total REC Deliveries'!S40</f>
        <v>2451831.329996096</v>
      </c>
      <c r="F67" s="13">
        <f>'Total REC Deliveries'!T68</f>
        <v>3039087.5330565656</v>
      </c>
      <c r="G67" s="13">
        <f>'Total REC Deliveries'!S68</f>
        <v>5689833.1603432475</v>
      </c>
      <c r="H67" s="13">
        <f>'Total REC Deliveries'!T96</f>
        <v>9117.8880502782922</v>
      </c>
      <c r="I67" s="13">
        <f>'Total REC Deliveries'!S96</f>
        <v>40130.427100011977</v>
      </c>
      <c r="J67" s="172">
        <f t="shared" si="6"/>
        <v>12569038.917439356</v>
      </c>
      <c r="K67" s="185">
        <f t="shared" si="7"/>
        <v>12569038.917439356</v>
      </c>
      <c r="L67" s="172">
        <f t="shared" si="8"/>
        <v>0</v>
      </c>
      <c r="N67" s="172"/>
      <c r="O67" s="172"/>
    </row>
    <row r="68" spans="3:15" x14ac:dyDescent="0.35">
      <c r="C68" s="180" t="s">
        <v>294</v>
      </c>
      <c r="D68" s="13">
        <f>'Total REC Deliveries'!T41</f>
        <v>1339038.578893156</v>
      </c>
      <c r="E68" s="13">
        <f>'Total REC Deliveries'!S41</f>
        <v>2444343.2297576154</v>
      </c>
      <c r="F68" s="13">
        <f>'Total REC Deliveries'!T69</f>
        <v>3039087.5330565656</v>
      </c>
      <c r="G68" s="13">
        <f>'Total REC Deliveries'!S69</f>
        <v>5672459.259541532</v>
      </c>
      <c r="H68" s="13">
        <f>'Total REC Deliveries'!T97</f>
        <v>9117.8880502782922</v>
      </c>
      <c r="I68" s="13">
        <f>'Total REC Deliveries'!S97</f>
        <v>40012.13642601193</v>
      </c>
      <c r="J68" s="172">
        <f t="shared" si="6"/>
        <v>12544058.625725158</v>
      </c>
      <c r="K68" s="185">
        <f t="shared" si="7"/>
        <v>12544058.625725159</v>
      </c>
      <c r="L68" s="172">
        <f t="shared" si="8"/>
        <v>0</v>
      </c>
      <c r="N68" s="172"/>
      <c r="O68" s="172"/>
    </row>
    <row r="69" spans="3:15" x14ac:dyDescent="0.35">
      <c r="C69" s="180" t="s">
        <v>295</v>
      </c>
      <c r="D69" s="13">
        <f>'Total REC Deliveries'!T42</f>
        <v>1339038.578893156</v>
      </c>
      <c r="E69" s="13">
        <f>'Total REC Deliveries'!S42</f>
        <v>2436856.7850203272</v>
      </c>
      <c r="F69" s="13">
        <f>'Total REC Deliveries'!T70</f>
        <v>3039087.5330565656</v>
      </c>
      <c r="G69" s="13">
        <f>'Total REC Deliveries'!S70</f>
        <v>5655142.5382438237</v>
      </c>
      <c r="H69" s="13">
        <f>'Total REC Deliveries'!T98</f>
        <v>9117.8880502782922</v>
      </c>
      <c r="I69" s="13">
        <f>'Total REC Deliveries'!S98</f>
        <v>39889.237205381862</v>
      </c>
      <c r="J69" s="172">
        <f t="shared" si="6"/>
        <v>12519132.560469532</v>
      </c>
      <c r="K69" s="185">
        <f t="shared" si="7"/>
        <v>12519132.560469532</v>
      </c>
      <c r="L69" s="172">
        <f t="shared" si="8"/>
        <v>0</v>
      </c>
      <c r="N69" s="172"/>
      <c r="O69" s="172"/>
    </row>
    <row r="70" spans="3:15" x14ac:dyDescent="0.35">
      <c r="C70" s="180" t="s">
        <v>296</v>
      </c>
      <c r="D70" s="13">
        <f>'Total REC Deliveries'!T43</f>
        <v>1339038.578893156</v>
      </c>
      <c r="E70" s="13">
        <f>'Total REC Deliveries'!S43</f>
        <v>2429413.8825067258</v>
      </c>
      <c r="F70" s="13">
        <f>'Total REC Deliveries'!T71</f>
        <v>3039087.5330565656</v>
      </c>
      <c r="G70" s="13">
        <f>'Total REC Deliveries'!S71</f>
        <v>5637850.7205526046</v>
      </c>
      <c r="H70" s="13">
        <f>'Total REC Deliveries'!T99</f>
        <v>9117.8880502782922</v>
      </c>
      <c r="I70" s="13">
        <f>'Total REC Deliveries'!S99</f>
        <v>39761.727480854948</v>
      </c>
      <c r="J70" s="172">
        <f t="shared" si="6"/>
        <v>12494270.330540186</v>
      </c>
      <c r="K70" s="185">
        <f t="shared" si="7"/>
        <v>12494270.330540186</v>
      </c>
      <c r="L70" s="172">
        <f t="shared" si="8"/>
        <v>0</v>
      </c>
      <c r="N70" s="172"/>
      <c r="O70" s="172"/>
    </row>
    <row r="71" spans="3:15" x14ac:dyDescent="0.35">
      <c r="C71" s="32" t="s">
        <v>297</v>
      </c>
      <c r="D71" s="13">
        <f>'Total REC Deliveries'!T44</f>
        <v>1339038.578893156</v>
      </c>
      <c r="E71" s="13">
        <f>'Total REC Deliveries'!S44</f>
        <v>2422055.4095056918</v>
      </c>
      <c r="F71" s="13">
        <f>'Total REC Deliveries'!T72</f>
        <v>3039087.5330565656</v>
      </c>
      <c r="G71" s="13">
        <f>'Total REC Deliveries'!S72</f>
        <v>5620763.5319498423</v>
      </c>
      <c r="H71" s="13">
        <f>'Total REC Deliveries'!T100</f>
        <v>9117.8880502782922</v>
      </c>
      <c r="I71" s="13">
        <f>'Total REC Deliveries'!S100</f>
        <v>39642.605304950666</v>
      </c>
      <c r="J71" s="172">
        <f t="shared" si="6"/>
        <v>12469705.546760485</v>
      </c>
      <c r="K71" s="185">
        <f t="shared" si="7"/>
        <v>12469705.546760485</v>
      </c>
      <c r="L71" s="172">
        <f t="shared" si="8"/>
        <v>0</v>
      </c>
      <c r="N71" s="172"/>
      <c r="O71" s="172"/>
    </row>
    <row r="72" spans="3:15" x14ac:dyDescent="0.35">
      <c r="C72" s="180" t="s">
        <v>298</v>
      </c>
      <c r="D72" s="13">
        <f>'Total REC Deliveries'!T45</f>
        <v>739038.57889315602</v>
      </c>
      <c r="E72" s="13">
        <f>'Total REC Deliveries'!S45</f>
        <v>2414532.2538696639</v>
      </c>
      <c r="F72" s="13">
        <f>'Total REC Deliveries'!T73</f>
        <v>1777362.5330565656</v>
      </c>
      <c r="G72" s="13">
        <f>'Total REC Deliveries'!S73</f>
        <v>5603601.6992900921</v>
      </c>
      <c r="H72" s="13">
        <f>'Total REC Deliveries'!T101</f>
        <v>9117.8880502782922</v>
      </c>
      <c r="I72" s="13">
        <f>'Total REC Deliveries'!S101</f>
        <v>39526.868739925914</v>
      </c>
      <c r="J72" s="172">
        <f t="shared" si="6"/>
        <v>10583179.82189968</v>
      </c>
      <c r="K72" s="185">
        <f t="shared" si="7"/>
        <v>10583179.821899682</v>
      </c>
      <c r="L72" s="172">
        <f t="shared" si="8"/>
        <v>0</v>
      </c>
      <c r="N72" s="172"/>
      <c r="O72" s="172"/>
    </row>
    <row r="73" spans="3:15" x14ac:dyDescent="0.35">
      <c r="C73" s="180" t="s">
        <v>299</v>
      </c>
      <c r="D73" s="13">
        <f>'Total REC Deliveries'!T46</f>
        <v>612919.57889315602</v>
      </c>
      <c r="E73" s="13">
        <f>'Total REC Deliveries'!S46</f>
        <v>2407234.3040118152</v>
      </c>
      <c r="F73" s="13">
        <f>'Total REC Deliveries'!T74</f>
        <v>1474900.5330565656</v>
      </c>
      <c r="G73" s="13">
        <f>'Total REC Deliveries'!S74</f>
        <v>5586602.9507936416</v>
      </c>
      <c r="H73" s="13">
        <f>'Total REC Deliveries'!T102</f>
        <v>7698.8880502782922</v>
      </c>
      <c r="I73" s="13">
        <f>'Total REC Deliveries'!S102</f>
        <v>39394.515857726292</v>
      </c>
      <c r="J73" s="172">
        <f t="shared" si="6"/>
        <v>10128750.770663183</v>
      </c>
      <c r="K73" s="185">
        <f t="shared" si="7"/>
        <v>10128750.770663183</v>
      </c>
      <c r="L73" s="172">
        <f t="shared" si="8"/>
        <v>0</v>
      </c>
      <c r="N73" s="172"/>
      <c r="O73" s="172"/>
    </row>
    <row r="74" spans="3:15" x14ac:dyDescent="0.35">
      <c r="C74" s="180" t="s">
        <v>300</v>
      </c>
      <c r="D74" s="13">
        <f>'Total REC Deliveries'!T47</f>
        <v>612919.57889315602</v>
      </c>
      <c r="E74" s="13">
        <f>'Total REC Deliveries'!S47</f>
        <v>2352651.4489032561</v>
      </c>
      <c r="F74" s="13">
        <f>'Total REC Deliveries'!T75</f>
        <v>1474900.5330565656</v>
      </c>
      <c r="G74" s="13">
        <f>'Total REC Deliveries'!S75</f>
        <v>5476873.0160396732</v>
      </c>
      <c r="H74" s="13">
        <f>'Total REC Deliveries'!T103</f>
        <v>7698.8880502782922</v>
      </c>
      <c r="I74" s="13">
        <f>'Total REC Deliveries'!S103</f>
        <v>39274.544739937657</v>
      </c>
      <c r="J74" s="172">
        <f t="shared" si="6"/>
        <v>9964318.0096828677</v>
      </c>
      <c r="K74" s="185">
        <f t="shared" si="7"/>
        <v>9964318.0096828677</v>
      </c>
      <c r="L74" s="172">
        <f t="shared" si="8"/>
        <v>0</v>
      </c>
      <c r="N74" s="172"/>
      <c r="O74" s="172"/>
    </row>
    <row r="75" spans="3:15" x14ac:dyDescent="0.35">
      <c r="C75" s="180" t="s">
        <v>301</v>
      </c>
      <c r="D75" s="13">
        <f>'Total REC Deliveries'!T48</f>
        <v>524929.57889315602</v>
      </c>
      <c r="E75" s="13">
        <f>'Total REC Deliveries'!S48</f>
        <v>2339731.5780702396</v>
      </c>
      <c r="F75" s="13">
        <f>'Total REC Deliveries'!T76</f>
        <v>1263880.5330565656</v>
      </c>
      <c r="G75" s="13">
        <f>'Total REC Deliveries'!S76</f>
        <v>5455092.6259594746</v>
      </c>
      <c r="H75" s="13">
        <f>'Total REC Deliveries'!T104</f>
        <v>6708.8880502782922</v>
      </c>
      <c r="I75" s="13">
        <f>'Total REC Deliveries'!S104</f>
        <v>32564.661177737969</v>
      </c>
      <c r="J75" s="172">
        <f t="shared" si="6"/>
        <v>9622907.8652074523</v>
      </c>
      <c r="K75" s="185">
        <f t="shared" si="7"/>
        <v>9622907.8652074523</v>
      </c>
      <c r="L75" s="172">
        <f t="shared" si="8"/>
        <v>0</v>
      </c>
      <c r="N75" s="172"/>
      <c r="O75" s="172"/>
    </row>
    <row r="76" spans="3:15" x14ac:dyDescent="0.35">
      <c r="C76" s="180" t="s">
        <v>302</v>
      </c>
      <c r="D76" s="13">
        <f>'Total REC Deliveries'!T49</f>
        <v>133222.57889315602</v>
      </c>
      <c r="E76" s="13">
        <f>'Total REC Deliveries'!S49</f>
        <v>1658263.2992913886</v>
      </c>
      <c r="F76" s="13">
        <f>'Total REC Deliveries'!T77</f>
        <v>324475.53305656568</v>
      </c>
      <c r="G76" s="13">
        <f>'Total REC Deliveries'!S77</f>
        <v>3800805.5128296777</v>
      </c>
      <c r="H76" s="13">
        <f>'Total REC Deliveries'!T105</f>
        <v>2301.8880502782927</v>
      </c>
      <c r="I76" s="13">
        <f>'Total REC Deliveries'!S105</f>
        <v>29820.447871849283</v>
      </c>
      <c r="J76" s="172">
        <f t="shared" si="6"/>
        <v>5948889.2599929161</v>
      </c>
      <c r="K76" s="185">
        <f t="shared" si="7"/>
        <v>5948889.2599929152</v>
      </c>
      <c r="L76" s="172">
        <f t="shared" si="8"/>
        <v>0</v>
      </c>
      <c r="N76" s="172"/>
      <c r="O76" s="172"/>
    </row>
    <row r="77" spans="3:15" x14ac:dyDescent="0.35">
      <c r="C77" s="180" t="s">
        <v>303</v>
      </c>
      <c r="D77" s="13">
        <f>'Total REC Deliveries'!T50</f>
        <v>133222.57889315602</v>
      </c>
      <c r="E77" s="13">
        <f>'Total REC Deliveries'!S50</f>
        <v>1635698.0677949316</v>
      </c>
      <c r="F77" s="13">
        <f>'Total REC Deliveries'!T78</f>
        <v>324475.53305656568</v>
      </c>
      <c r="G77" s="13">
        <f>'Total REC Deliveries'!S78</f>
        <v>3717754.4102655295</v>
      </c>
      <c r="H77" s="13">
        <f>'Total REC Deliveries'!T106</f>
        <v>2301.8880502782927</v>
      </c>
      <c r="I77" s="13">
        <f>'Total REC Deliveries'!S106</f>
        <v>29711.610632490036</v>
      </c>
      <c r="J77" s="172">
        <f t="shared" si="6"/>
        <v>5843164.0886929519</v>
      </c>
      <c r="K77" s="185">
        <f t="shared" si="7"/>
        <v>5843164.088692951</v>
      </c>
      <c r="L77" s="172">
        <f t="shared" si="8"/>
        <v>0</v>
      </c>
      <c r="N77" s="172"/>
      <c r="O77" s="172"/>
    </row>
    <row r="78" spans="3:15" x14ac:dyDescent="0.35">
      <c r="C78" s="180" t="s">
        <v>304</v>
      </c>
      <c r="D78" s="13">
        <f>'Total REC Deliveries'!T51</f>
        <v>133222.57889315602</v>
      </c>
      <c r="E78" s="13">
        <f>'Total REC Deliveries'!S51</f>
        <v>1619118.492455957</v>
      </c>
      <c r="F78" s="13">
        <f>'Total REC Deliveries'!T79</f>
        <v>324475.53305656568</v>
      </c>
      <c r="G78" s="13">
        <f>'Total REC Deliveries'!S79</f>
        <v>3661089.0532142022</v>
      </c>
      <c r="H78" s="13">
        <f>'Total REC Deliveries'!T107</f>
        <v>2301.8880502782927</v>
      </c>
      <c r="I78" s="13">
        <f>'Total REC Deliveries'!S107</f>
        <v>28314.147579327586</v>
      </c>
      <c r="J78" s="172">
        <f t="shared" si="6"/>
        <v>5768521.6932494864</v>
      </c>
      <c r="K78" s="185">
        <f t="shared" si="7"/>
        <v>5768521.6932494864</v>
      </c>
      <c r="L78" s="172">
        <f t="shared" si="8"/>
        <v>0</v>
      </c>
      <c r="N78" s="172"/>
      <c r="O78" s="172"/>
    </row>
    <row r="79" spans="3:15" x14ac:dyDescent="0.35">
      <c r="C79" s="180" t="s">
        <v>305</v>
      </c>
      <c r="D79" s="13">
        <f>'Total REC Deliveries'!T52</f>
        <v>133222.57889315602</v>
      </c>
      <c r="E79" s="13">
        <f>'Total REC Deliveries'!S52</f>
        <v>1599496.4649936771</v>
      </c>
      <c r="F79" s="13">
        <f>'Total REC Deliveries'!T80</f>
        <v>324475.53305656568</v>
      </c>
      <c r="G79" s="13">
        <f>'Total REC Deliveries'!S80</f>
        <v>3418825.1779481303</v>
      </c>
      <c r="H79" s="13">
        <f>'Total REC Deliveries'!T108</f>
        <v>2301.8880502782927</v>
      </c>
      <c r="I79" s="13">
        <f>'Total REC Deliveries'!S108</f>
        <v>23493.056841430945</v>
      </c>
      <c r="J79" s="172">
        <f t="shared" si="6"/>
        <v>5501814.6997832395</v>
      </c>
      <c r="K79" s="185">
        <f t="shared" si="7"/>
        <v>5501814.6997832395</v>
      </c>
      <c r="L79" s="172">
        <f t="shared" si="8"/>
        <v>0</v>
      </c>
      <c r="N79" s="172"/>
      <c r="O79" s="172"/>
    </row>
    <row r="80" spans="3:15" x14ac:dyDescent="0.35">
      <c r="C80" s="180" t="s">
        <v>306</v>
      </c>
      <c r="D80" s="13">
        <f>'Total REC Deliveries'!T53</f>
        <v>133222.57889315602</v>
      </c>
      <c r="E80" s="13">
        <f>'Total REC Deliveries'!S53</f>
        <v>1574305.8776687088</v>
      </c>
      <c r="F80" s="13">
        <f>'Total REC Deliveries'!T81</f>
        <v>324475.53305656568</v>
      </c>
      <c r="G80" s="13">
        <f>'Total REC Deliveries'!S81</f>
        <v>3306544.5220583901</v>
      </c>
      <c r="H80" s="13">
        <f>'Total REC Deliveries'!T109</f>
        <v>2301.8880502782927</v>
      </c>
      <c r="I80" s="13">
        <f>'Total REC Deliveries'!S109</f>
        <v>23412.336557223793</v>
      </c>
      <c r="J80" s="172">
        <f t="shared" si="6"/>
        <v>5364262.7362843221</v>
      </c>
      <c r="K80" s="185">
        <f t="shared" si="7"/>
        <v>5364262.7362843221</v>
      </c>
      <c r="L80" s="172">
        <f t="shared" si="8"/>
        <v>0</v>
      </c>
      <c r="N80" s="172"/>
      <c r="O80" s="172"/>
    </row>
    <row r="81" spans="2:16" x14ac:dyDescent="0.35">
      <c r="C81" s="180" t="s">
        <v>307</v>
      </c>
      <c r="D81" s="13">
        <f>'Total REC Deliveries'!T54</f>
        <v>133222.57889315602</v>
      </c>
      <c r="E81" s="13">
        <f>'Total REC Deliveries'!S54</f>
        <v>1559079.6232803653</v>
      </c>
      <c r="F81" s="13">
        <f>'Total REC Deliveries'!T82</f>
        <v>324475.53305656568</v>
      </c>
      <c r="G81" s="13">
        <f>'Total REC Deliveries'!S82</f>
        <v>3271109.824448098</v>
      </c>
      <c r="H81" s="13">
        <f>'Total REC Deliveries'!T110</f>
        <v>2301.8880502782927</v>
      </c>
      <c r="I81" s="13">
        <f>'Total REC Deliveries'!S110</f>
        <v>23334.984874437676</v>
      </c>
      <c r="J81" s="172">
        <f t="shared" si="6"/>
        <v>5313524.432602901</v>
      </c>
      <c r="K81" s="185">
        <f t="shared" si="7"/>
        <v>5313524.4326029019</v>
      </c>
      <c r="L81" s="172">
        <f t="shared" si="8"/>
        <v>0</v>
      </c>
      <c r="N81" s="172"/>
      <c r="O81" s="172"/>
    </row>
    <row r="82" spans="2:16" x14ac:dyDescent="0.35">
      <c r="C82" s="180" t="s">
        <v>308</v>
      </c>
      <c r="D82" s="13">
        <f>'Total REC Deliveries'!T55</f>
        <v>133222.57889315602</v>
      </c>
      <c r="E82" s="13">
        <f>'Total REC Deliveries'!S55</f>
        <v>1433721.5951639633</v>
      </c>
      <c r="F82" s="13">
        <f>'Total REC Deliveries'!T83</f>
        <v>324475.53305656568</v>
      </c>
      <c r="G82" s="13">
        <f>'Total REC Deliveries'!S83</f>
        <v>2955555.8253258574</v>
      </c>
      <c r="H82" s="13">
        <f>'Total REC Deliveries'!T111</f>
        <v>2301.8880502782927</v>
      </c>
      <c r="I82" s="13">
        <f>'Total REC Deliveries'!S111</f>
        <v>17867.999950065485</v>
      </c>
      <c r="J82" s="172">
        <f t="shared" si="6"/>
        <v>4867145.4204398869</v>
      </c>
      <c r="K82" s="185">
        <f t="shared" si="7"/>
        <v>4867145.4204398869</v>
      </c>
      <c r="L82" s="172">
        <f t="shared" si="8"/>
        <v>0</v>
      </c>
    </row>
    <row r="83" spans="2:16" x14ac:dyDescent="0.35">
      <c r="D83" s="34"/>
      <c r="E83" s="34"/>
      <c r="F83" s="34"/>
      <c r="G83" s="34"/>
      <c r="H83" s="34"/>
      <c r="I83" s="34"/>
      <c r="K83" s="172"/>
    </row>
    <row r="84" spans="2:16" x14ac:dyDescent="0.35">
      <c r="B84" s="33" t="s">
        <v>320</v>
      </c>
      <c r="K84" s="172"/>
      <c r="L84" s="172"/>
      <c r="M84" s="172"/>
      <c r="N84" s="172"/>
      <c r="O84" s="172"/>
      <c r="P84" s="36"/>
    </row>
    <row r="85" spans="2:16" x14ac:dyDescent="0.35">
      <c r="K85" s="172"/>
      <c r="L85" s="172"/>
      <c r="M85" s="172"/>
      <c r="N85" s="172"/>
      <c r="O85" s="172"/>
      <c r="P85" s="36"/>
    </row>
    <row r="86" spans="2:16" ht="29" x14ac:dyDescent="0.35">
      <c r="C86" s="15" t="s">
        <v>1</v>
      </c>
      <c r="D86" s="15" t="s">
        <v>240</v>
      </c>
      <c r="E86" s="15" t="s">
        <v>255</v>
      </c>
      <c r="F86" s="15" t="s">
        <v>321</v>
      </c>
      <c r="G86" s="15" t="s">
        <v>225</v>
      </c>
      <c r="H86" s="15" t="s">
        <v>322</v>
      </c>
      <c r="I86" s="15" t="s">
        <v>226</v>
      </c>
      <c r="J86" s="15" t="s">
        <v>89</v>
      </c>
      <c r="K86" s="15" t="s">
        <v>323</v>
      </c>
      <c r="L86" s="15" t="s">
        <v>324</v>
      </c>
      <c r="M86" s="172"/>
      <c r="N86" s="172"/>
      <c r="O86" s="36"/>
    </row>
    <row r="87" spans="2:16" x14ac:dyDescent="0.35">
      <c r="C87" s="180" t="s">
        <v>286</v>
      </c>
      <c r="D87" s="13">
        <f>'Total REC Deliveries'!I4+'Total REC Deliveries'!J4</f>
        <v>1861725</v>
      </c>
      <c r="E87" s="13">
        <f>'Total REC Deliveries'!H4</f>
        <v>162380</v>
      </c>
      <c r="F87" s="37">
        <f>'Total REC Deliveries'!L4+'Total REC Deliveries'!M4</f>
        <v>754313.29229999997</v>
      </c>
      <c r="G87" s="13">
        <f>'Total REC Deliveries'!AE3</f>
        <v>0</v>
      </c>
      <c r="H87" s="13">
        <f>'Total REC Deliveries'!N4+'Total REC Deliveries'!O4+'Total REC Deliveries'!P4</f>
        <v>0</v>
      </c>
      <c r="I87" s="13">
        <f>'Total REC Deliveries'!Q4</f>
        <v>58271.600000000006</v>
      </c>
      <c r="J87" s="28">
        <f>SUM(D87:I87)</f>
        <v>2836689.8922999999</v>
      </c>
      <c r="K87" s="13">
        <f>'Collections and ACP'!F7</f>
        <v>21149182.158790033</v>
      </c>
      <c r="L87" s="38">
        <f t="shared" ref="L87:L109" si="9">K87-J87</f>
        <v>18312492.266490035</v>
      </c>
      <c r="M87" s="172"/>
      <c r="N87" s="172"/>
      <c r="O87" s="36"/>
    </row>
    <row r="88" spans="2:16" x14ac:dyDescent="0.35">
      <c r="C88" s="180" t="s">
        <v>287</v>
      </c>
      <c r="D88" s="13">
        <f>'Total REC Deliveries'!I5+'Total REC Deliveries'!J5</f>
        <v>1861725</v>
      </c>
      <c r="E88" s="13">
        <f>'Total REC Deliveries'!H5</f>
        <v>548672</v>
      </c>
      <c r="F88" s="37">
        <f>'Total REC Deliveries'!L5+'Total REC Deliveries'!M5</f>
        <v>2992839.5745999999</v>
      </c>
      <c r="G88" s="13">
        <f>'Total REC Deliveries'!AE4</f>
        <v>0</v>
      </c>
      <c r="H88" s="13">
        <f>'Total REC Deliveries'!N5+'Total REC Deliveries'!O5+'Total REC Deliveries'!P5</f>
        <v>0</v>
      </c>
      <c r="I88" s="13">
        <f>'Total REC Deliveries'!Q5</f>
        <v>65181.53333333334</v>
      </c>
      <c r="J88" s="28">
        <f t="shared" ref="J88:J109" si="10">SUM(D88:I88)</f>
        <v>5468418.1079333331</v>
      </c>
      <c r="K88" s="13">
        <f>'Collections and ACP'!F8</f>
        <v>22785452.684823208</v>
      </c>
      <c r="L88" s="38">
        <f t="shared" si="9"/>
        <v>17317034.576889873</v>
      </c>
      <c r="M88" s="172"/>
      <c r="N88" s="172"/>
      <c r="O88" s="36"/>
    </row>
    <row r="89" spans="2:16" x14ac:dyDescent="0.35">
      <c r="C89" s="180" t="s">
        <v>288</v>
      </c>
      <c r="D89" s="13">
        <f>'Total REC Deliveries'!I6+'Total REC Deliveries'!J6</f>
        <v>1861725</v>
      </c>
      <c r="E89" s="13">
        <f>'Total REC Deliveries'!H6</f>
        <v>761948</v>
      </c>
      <c r="F89" s="37">
        <f>'Total REC Deliveries'!L6+'Total REC Deliveries'!M6</f>
        <v>4061148.5745999999</v>
      </c>
      <c r="G89" s="13">
        <f>'Total REC Deliveries'!AE5</f>
        <v>0</v>
      </c>
      <c r="H89" s="13">
        <f>'Total REC Deliveries'!N6+'Total REC Deliveries'!O6+'Total REC Deliveries'!P6</f>
        <v>0</v>
      </c>
      <c r="I89" s="13">
        <f>'Total REC Deliveries'!Q6</f>
        <v>64855.625666666674</v>
      </c>
      <c r="J89" s="28">
        <f t="shared" si="10"/>
        <v>6749677.2002666667</v>
      </c>
      <c r="K89" s="13">
        <f>'Collections and ACP'!F9</f>
        <v>24661977.142367411</v>
      </c>
      <c r="L89" s="38">
        <f t="shared" si="9"/>
        <v>17912299.942100745</v>
      </c>
      <c r="M89" s="172"/>
      <c r="N89" s="172"/>
      <c r="O89" s="36"/>
    </row>
    <row r="90" spans="2:16" x14ac:dyDescent="0.35">
      <c r="C90" s="180" t="s">
        <v>289</v>
      </c>
      <c r="D90" s="13">
        <f>'Total REC Deliveries'!I7+'Total REC Deliveries'!J7</f>
        <v>1861725</v>
      </c>
      <c r="E90" s="13">
        <f>'Total REC Deliveries'!H7</f>
        <v>1156913</v>
      </c>
      <c r="F90" s="37">
        <f>'Total REC Deliveries'!L7+'Total REC Deliveries'!M7</f>
        <v>4061148.5745999999</v>
      </c>
      <c r="G90" s="13">
        <f>'Total REC Deliveries'!AE6</f>
        <v>0</v>
      </c>
      <c r="H90" s="13">
        <f>'Total REC Deliveries'!N7+'Total REC Deliveries'!O7+'Total REC Deliveries'!P7</f>
        <v>0</v>
      </c>
      <c r="I90" s="13">
        <f>'Total REC Deliveries'!Q7</f>
        <v>64531.347538333343</v>
      </c>
      <c r="J90" s="28">
        <f t="shared" si="10"/>
        <v>7144317.9221383333</v>
      </c>
      <c r="K90" s="13">
        <f>'Collections and ACP'!F10</f>
        <v>26022605.388141267</v>
      </c>
      <c r="L90" s="38">
        <f t="shared" si="9"/>
        <v>18878287.466002934</v>
      </c>
      <c r="M90" s="172"/>
      <c r="N90" s="172"/>
      <c r="O90" s="36"/>
    </row>
    <row r="91" spans="2:16" x14ac:dyDescent="0.35">
      <c r="C91" s="180" t="s">
        <v>290</v>
      </c>
      <c r="D91" s="13">
        <f>'Total REC Deliveries'!I8+'Total REC Deliveries'!J8</f>
        <v>1861725</v>
      </c>
      <c r="E91" s="13">
        <f>'Total REC Deliveries'!H8</f>
        <v>1885102</v>
      </c>
      <c r="F91" s="37">
        <f>'Total REC Deliveries'!L8+'Total REC Deliveries'!M8</f>
        <v>4061148.5745999999</v>
      </c>
      <c r="G91" s="13">
        <f>'Total REC Deliveries'!AE7</f>
        <v>0</v>
      </c>
      <c r="H91" s="13">
        <f>'Total REC Deliveries'!N8+'Total REC Deliveries'!O8+'Total REC Deliveries'!P8</f>
        <v>0</v>
      </c>
      <c r="I91" s="13">
        <f>'Total REC Deliveries'!Q8</f>
        <v>64208.690800641678</v>
      </c>
      <c r="J91" s="28">
        <f t="shared" si="10"/>
        <v>7872184.2654006416</v>
      </c>
      <c r="K91" s="13">
        <f>'Collections and ACP'!F11</f>
        <v>27600405.588387385</v>
      </c>
      <c r="L91" s="38">
        <f t="shared" si="9"/>
        <v>19728221.322986744</v>
      </c>
      <c r="M91" s="172"/>
      <c r="N91" s="172"/>
      <c r="O91" s="36"/>
    </row>
    <row r="92" spans="2:16" x14ac:dyDescent="0.35">
      <c r="C92" s="180" t="s">
        <v>291</v>
      </c>
      <c r="D92" s="13">
        <f>'Total REC Deliveries'!I9+'Total REC Deliveries'!J9</f>
        <v>1861725</v>
      </c>
      <c r="E92" s="13">
        <f>'Total REC Deliveries'!H9</f>
        <v>3076226</v>
      </c>
      <c r="F92" s="37">
        <f>'Total REC Deliveries'!L9+'Total REC Deliveries'!M9</f>
        <v>4061148.5745999999</v>
      </c>
      <c r="G92" s="13">
        <f>'Total REC Deliveries'!AE8</f>
        <v>464564</v>
      </c>
      <c r="H92" s="13">
        <f>'Total REC Deliveries'!N9+'Total REC Deliveries'!O9+'Total REC Deliveries'!P9</f>
        <v>2409391</v>
      </c>
      <c r="I92" s="13">
        <f>'Total REC Deliveries'!Q9</f>
        <v>63887.64734663847</v>
      </c>
      <c r="J92" s="28">
        <f t="shared" si="10"/>
        <v>11936942.221946638</v>
      </c>
      <c r="K92" s="13">
        <f>'Collections and ACP'!F12</f>
        <v>29002290.034856889</v>
      </c>
      <c r="L92" s="38">
        <f t="shared" si="9"/>
        <v>17065347.812910251</v>
      </c>
      <c r="M92" s="172"/>
      <c r="N92" s="172"/>
      <c r="O92" s="36"/>
    </row>
    <row r="93" spans="2:16" x14ac:dyDescent="0.35">
      <c r="C93" s="180" t="s">
        <v>292</v>
      </c>
      <c r="D93" s="13">
        <f>'Total REC Deliveries'!I10+'Total REC Deliveries'!J10</f>
        <v>1861725</v>
      </c>
      <c r="E93" s="13">
        <f>'Total REC Deliveries'!H10</f>
        <v>3066527</v>
      </c>
      <c r="F93" s="37">
        <f>'Total REC Deliveries'!L10+'Total REC Deliveries'!M10</f>
        <v>4061148.5745999999</v>
      </c>
      <c r="G93" s="13">
        <f>'Total REC Deliveries'!AE9</f>
        <v>464564</v>
      </c>
      <c r="H93" s="13">
        <f>'Total REC Deliveries'!N10+'Total REC Deliveries'!O10+'Total REC Deliveries'!P10</f>
        <v>3541214.0449999999</v>
      </c>
      <c r="I93" s="13">
        <f>'Total REC Deliveries'!Q10</f>
        <v>63568.209109905278</v>
      </c>
      <c r="J93" s="28">
        <f t="shared" si="10"/>
        <v>13058746.828709906</v>
      </c>
      <c r="K93" s="13">
        <f>'Collections and ACP'!F13</f>
        <v>32271366.637528446</v>
      </c>
      <c r="L93" s="38">
        <f t="shared" si="9"/>
        <v>19212619.808818541</v>
      </c>
      <c r="O93" s="36"/>
    </row>
    <row r="94" spans="2:16" x14ac:dyDescent="0.35">
      <c r="C94" s="180" t="s">
        <v>293</v>
      </c>
      <c r="D94" s="13">
        <f>'Total REC Deliveries'!I11+'Total REC Deliveries'!J11</f>
        <v>1861725</v>
      </c>
      <c r="E94" s="13">
        <f>'Total REC Deliveries'!H11</f>
        <v>3057107</v>
      </c>
      <c r="F94" s="37">
        <f>'Total REC Deliveries'!L11+'Total REC Deliveries'!M11</f>
        <v>4061148.5745999999</v>
      </c>
      <c r="G94" s="13">
        <f>'Total REC Deliveries'!AE10</f>
        <v>464564</v>
      </c>
      <c r="H94" s="13">
        <f>'Total REC Deliveries'!N11+'Total REC Deliveries'!O11+'Total REC Deliveries'!P11</f>
        <v>3525807.9747749995</v>
      </c>
      <c r="I94" s="13">
        <f>'Total REC Deliveries'!Q11</f>
        <v>63250.368064355753</v>
      </c>
      <c r="J94" s="28">
        <f t="shared" si="10"/>
        <v>13033602.917439355</v>
      </c>
      <c r="K94" s="13">
        <f>'Collections and ACP'!F14</f>
        <v>35668466.102237098</v>
      </c>
      <c r="L94" s="38">
        <f t="shared" si="9"/>
        <v>22634863.184797741</v>
      </c>
      <c r="O94" s="36"/>
    </row>
    <row r="95" spans="2:16" x14ac:dyDescent="0.35">
      <c r="C95" s="180" t="s">
        <v>294</v>
      </c>
      <c r="D95" s="13">
        <f>'Total REC Deliveries'!I12+'Total REC Deliveries'!J12</f>
        <v>1861725</v>
      </c>
      <c r="E95" s="13">
        <f>'Total REC Deliveries'!H12</f>
        <v>3047772</v>
      </c>
      <c r="F95" s="37">
        <f>'Total REC Deliveries'!L12+'Total REC Deliveries'!M12</f>
        <v>4061148.5745999999</v>
      </c>
      <c r="G95" s="13">
        <f>'Total REC Deliveries'!AE11</f>
        <v>464564</v>
      </c>
      <c r="H95" s="13">
        <f>'Total REC Deliveries'!N12+'Total REC Deliveries'!O12+'Total REC Deliveries'!P12</f>
        <v>3510478.9349011253</v>
      </c>
      <c r="I95" s="13">
        <f>'Total REC Deliveries'!Q12</f>
        <v>62934.116224033976</v>
      </c>
      <c r="J95" s="28">
        <f t="shared" si="10"/>
        <v>13008622.625725159</v>
      </c>
      <c r="K95" s="13">
        <f>'Collections and ACP'!F15</f>
        <v>39219696.579589069</v>
      </c>
      <c r="L95" s="38">
        <f t="shared" si="9"/>
        <v>26211073.953863911</v>
      </c>
      <c r="O95" s="36"/>
    </row>
    <row r="96" spans="2:16" x14ac:dyDescent="0.35">
      <c r="C96" s="180" t="s">
        <v>295</v>
      </c>
      <c r="D96" s="13">
        <f>'Total REC Deliveries'!I13+'Total REC Deliveries'!J13</f>
        <v>1861725</v>
      </c>
      <c r="E96" s="13">
        <f>'Total REC Deliveries'!H13</f>
        <v>3038413</v>
      </c>
      <c r="F96" s="37">
        <f>'Total REC Deliveries'!L13+'Total REC Deliveries'!M13</f>
        <v>4061148.5745999999</v>
      </c>
      <c r="G96" s="13">
        <f>'Total REC Deliveries'!AE12</f>
        <v>464564</v>
      </c>
      <c r="H96" s="13">
        <f>'Total REC Deliveries'!N13+'Total REC Deliveries'!O13+'Total REC Deliveries'!P13</f>
        <v>3495226.5402266192</v>
      </c>
      <c r="I96" s="13">
        <f>'Total REC Deliveries'!Q13</f>
        <v>62619.445642913808</v>
      </c>
      <c r="J96" s="28">
        <f t="shared" si="10"/>
        <v>12983696.560469534</v>
      </c>
      <c r="K96" s="13">
        <f>'Collections and ACP'!F16</f>
        <v>42714576.506556571</v>
      </c>
      <c r="L96" s="38">
        <f t="shared" si="9"/>
        <v>29730879.946087036</v>
      </c>
      <c r="O96" s="36"/>
    </row>
    <row r="97" spans="2:15" x14ac:dyDescent="0.35">
      <c r="C97" s="180" t="s">
        <v>296</v>
      </c>
      <c r="D97" s="13">
        <f>'Total REC Deliveries'!I14+'Total REC Deliveries'!J14</f>
        <v>1861725</v>
      </c>
      <c r="E97" s="13">
        <f>'Total REC Deliveries'!H14</f>
        <v>3029040</v>
      </c>
      <c r="F97" s="37">
        <f>'Total REC Deliveries'!L14+'Total REC Deliveries'!M14</f>
        <v>4061148.5745999999</v>
      </c>
      <c r="G97" s="13">
        <f>'Total REC Deliveries'!AE13</f>
        <v>464564</v>
      </c>
      <c r="H97" s="13">
        <f>'Total REC Deliveries'!N14+'Total REC Deliveries'!O14+'Total REC Deliveries'!P14</f>
        <v>3480050.4075254863</v>
      </c>
      <c r="I97" s="13">
        <f>'Total REC Deliveries'!Q14</f>
        <v>62306.348414699241</v>
      </c>
      <c r="J97" s="28">
        <f t="shared" si="10"/>
        <v>12958834.330540186</v>
      </c>
      <c r="K97" s="13">
        <f>'Collections and ACP'!F17</f>
        <v>46451375.958900839</v>
      </c>
      <c r="L97" s="38">
        <f t="shared" si="9"/>
        <v>33492541.628360651</v>
      </c>
      <c r="O97" s="36"/>
    </row>
    <row r="98" spans="2:15" x14ac:dyDescent="0.35">
      <c r="C98" s="32" t="s">
        <v>297</v>
      </c>
      <c r="D98" s="13">
        <f>'Total REC Deliveries'!I15+'Total REC Deliveries'!J15</f>
        <v>1861725</v>
      </c>
      <c r="E98" s="13">
        <f>'Total REC Deliveries'!H15</f>
        <v>3019887</v>
      </c>
      <c r="F98" s="37">
        <f>'Total REC Deliveries'!L15+'Total REC Deliveries'!M15</f>
        <v>4061148.5745999999</v>
      </c>
      <c r="G98" s="13">
        <f>'Total REC Deliveries'!AE14</f>
        <v>464564</v>
      </c>
      <c r="H98" s="13">
        <f>'Total REC Deliveries'!N15+'Total REC Deliveries'!O15+'Total REC Deliveries'!P15</f>
        <v>3464950.1554878587</v>
      </c>
      <c r="I98" s="13">
        <f>'Total REC Deliveries'!Q15</f>
        <v>61994.816672625748</v>
      </c>
      <c r="J98" s="28">
        <f t="shared" si="10"/>
        <v>12934269.546760483</v>
      </c>
      <c r="K98" s="13">
        <f>'Collections and ACP'!F18</f>
        <v>47763046.369001523</v>
      </c>
      <c r="L98" s="38">
        <f t="shared" si="9"/>
        <v>34828776.822241038</v>
      </c>
      <c r="O98" s="36"/>
    </row>
    <row r="99" spans="2:15" x14ac:dyDescent="0.35">
      <c r="C99" s="180" t="s">
        <v>298</v>
      </c>
      <c r="D99" s="13">
        <f>'Total REC Deliveries'!I16+'Total REC Deliveries'!J16</f>
        <v>0</v>
      </c>
      <c r="E99" s="13">
        <f>'Total REC Deliveries'!H16</f>
        <v>3010421</v>
      </c>
      <c r="F99" s="37">
        <f>'Total REC Deliveries'!L16+'Total REC Deliveries'!M16</f>
        <v>4061148.5745999999</v>
      </c>
      <c r="G99" s="13">
        <f>'Total REC Deliveries'!AE15</f>
        <v>464564</v>
      </c>
      <c r="H99" s="13">
        <f>'Total REC Deliveries'!N16+'Total REC Deliveries'!O16+'Total REC Deliveries'!P16</f>
        <v>3449925.4047104195</v>
      </c>
      <c r="I99" s="13">
        <f>'Total REC Deliveries'!Q16</f>
        <v>61684.842589262618</v>
      </c>
      <c r="J99" s="28">
        <f t="shared" si="10"/>
        <v>11047743.821899682</v>
      </c>
      <c r="K99" s="13">
        <f>'Collections and ACP'!F19</f>
        <v>49157149.335623778</v>
      </c>
      <c r="L99" s="38">
        <f t="shared" si="9"/>
        <v>38109405.513724096</v>
      </c>
      <c r="O99" s="36"/>
    </row>
    <row r="100" spans="2:15" x14ac:dyDescent="0.35">
      <c r="C100" s="180" t="s">
        <v>299</v>
      </c>
      <c r="D100" s="13">
        <f>'Total REC Deliveries'!I17+'Total REC Deliveries'!J17</f>
        <v>0</v>
      </c>
      <c r="E100" s="13">
        <f>'Total REC Deliveries'!H17</f>
        <v>3001250</v>
      </c>
      <c r="F100" s="37">
        <f>'Total REC Deliveries'!L17+'Total REC Deliveries'!M17</f>
        <v>3631148.5745999999</v>
      </c>
      <c r="G100" s="13">
        <f>'Total REC Deliveries'!AE16</f>
        <v>464564</v>
      </c>
      <c r="H100" s="13">
        <f>'Total REC Deliveries'!N17+'Total REC Deliveries'!O17+'Total REC Deliveries'!P17</f>
        <v>3434975.7776868669</v>
      </c>
      <c r="I100" s="13">
        <f>'Total REC Deliveries'!Q17</f>
        <v>61376.418376316302</v>
      </c>
      <c r="J100" s="28">
        <f t="shared" si="10"/>
        <v>10593314.770663183</v>
      </c>
      <c r="K100" s="13">
        <f>'Collections and ACP'!F20</f>
        <v>50422454.053407259</v>
      </c>
      <c r="L100" s="38">
        <f t="shared" si="9"/>
        <v>39829139.28274408</v>
      </c>
      <c r="O100" s="36"/>
    </row>
    <row r="101" spans="2:15" x14ac:dyDescent="0.35">
      <c r="C101" s="180" t="s">
        <v>300</v>
      </c>
      <c r="D101" s="13">
        <f>'Total REC Deliveries'!I18+'Total REC Deliveries'!J18</f>
        <v>0</v>
      </c>
      <c r="E101" s="13">
        <f>'Total REC Deliveries'!H18</f>
        <v>2851999</v>
      </c>
      <c r="F101" s="37">
        <f>'Total REC Deliveries'!L18+'Total REC Deliveries'!M18</f>
        <v>3631148.5745999999</v>
      </c>
      <c r="G101" s="13">
        <f>'Total REC Deliveries'!AE17</f>
        <v>464564</v>
      </c>
      <c r="H101" s="13">
        <f>'Total REC Deliveries'!N18+'Total REC Deliveries'!O18+'Total REC Deliveries'!P18</f>
        <v>3420100.8987984322</v>
      </c>
      <c r="I101" s="13">
        <f>'Total REC Deliveries'!Q18</f>
        <v>61069.536284434718</v>
      </c>
      <c r="J101" s="28">
        <f t="shared" si="10"/>
        <v>10428882.009682868</v>
      </c>
      <c r="K101" s="13">
        <f>'Collections and ACP'!F21</f>
        <v>51819398.992800236</v>
      </c>
      <c r="L101" s="38">
        <f t="shared" si="9"/>
        <v>41390516.983117372</v>
      </c>
      <c r="O101" s="36"/>
    </row>
    <row r="102" spans="2:15" x14ac:dyDescent="0.35">
      <c r="C102" s="180" t="s">
        <v>301</v>
      </c>
      <c r="D102" s="13">
        <f>'Total REC Deliveries'!I19+'Total REC Deliveries'!J19</f>
        <v>0</v>
      </c>
      <c r="E102" s="13">
        <f>'Total REC Deliveries'!H19</f>
        <v>2832281</v>
      </c>
      <c r="F102" s="37">
        <f>'Total REC Deliveries'!L19+'Total REC Deliveries'!M19</f>
        <v>3324562.2823000001</v>
      </c>
      <c r="G102" s="13">
        <f>'Total REC Deliveries'!AE18</f>
        <v>464564</v>
      </c>
      <c r="H102" s="13">
        <f>'Total REC Deliveries'!N19+'Total REC Deliveries'!O19+'Total REC Deliveries'!P19</f>
        <v>3405300.3943044404</v>
      </c>
      <c r="I102" s="13">
        <f>'Total REC Deliveries'!Q19</f>
        <v>60764.188603012546</v>
      </c>
      <c r="J102" s="28">
        <f t="shared" si="10"/>
        <v>10087471.865207452</v>
      </c>
      <c r="K102" s="13">
        <f>'Collections and ACP'!F22</f>
        <v>53183157.834484629</v>
      </c>
      <c r="L102" s="38">
        <f t="shared" si="9"/>
        <v>43095685.969277173</v>
      </c>
      <c r="O102" s="36"/>
    </row>
    <row r="103" spans="2:15" x14ac:dyDescent="0.35">
      <c r="C103" s="180" t="s">
        <v>302</v>
      </c>
      <c r="D103" s="13">
        <f>'Total REC Deliveries'!I20+'Total REC Deliveries'!J20</f>
        <v>0</v>
      </c>
      <c r="E103" s="13">
        <f>'Total REC Deliveries'!H20</f>
        <v>2497855</v>
      </c>
      <c r="F103" s="37">
        <f>'Total REC Deliveries'!L20+'Total REC Deliveries'!M20</f>
        <v>0</v>
      </c>
      <c r="G103" s="13">
        <f>'Total REC Deliveries'!AE19</f>
        <v>464564</v>
      </c>
      <c r="H103" s="13">
        <f>'Total REC Deliveries'!N20+'Total REC Deliveries'!O20+'Total REC Deliveries'!P20</f>
        <v>3390573.8923329185</v>
      </c>
      <c r="I103" s="13">
        <f>'Total REC Deliveries'!Q20</f>
        <v>60460.367659997486</v>
      </c>
      <c r="J103" s="28">
        <f t="shared" si="10"/>
        <v>6413453.2599929161</v>
      </c>
      <c r="K103" s="13">
        <f>'Collections and ACP'!F23</f>
        <v>54619816.175018631</v>
      </c>
      <c r="L103" s="38">
        <f t="shared" si="9"/>
        <v>48206362.915025711</v>
      </c>
      <c r="O103" s="36"/>
    </row>
    <row r="104" spans="2:15" x14ac:dyDescent="0.35">
      <c r="C104" s="180" t="s">
        <v>303</v>
      </c>
      <c r="D104" s="13">
        <f>'Total REC Deliveries'!I21+'Total REC Deliveries'!J21</f>
        <v>0</v>
      </c>
      <c r="E104" s="13">
        <f>'Total REC Deliveries'!H21</f>
        <v>2407085</v>
      </c>
      <c r="F104" s="37">
        <f>'Total REC Deliveries'!L21+'Total REC Deliveries'!M21</f>
        <v>0</v>
      </c>
      <c r="G104" s="13">
        <f>'Total REC Deliveries'!AE20</f>
        <v>464564</v>
      </c>
      <c r="H104" s="13">
        <f>'Total REC Deliveries'!N21+'Total REC Deliveries'!O21+'Total REC Deliveries'!P21</f>
        <v>3375921.022871254</v>
      </c>
      <c r="I104" s="13">
        <f>'Total REC Deliveries'!Q21</f>
        <v>60158.065821697499</v>
      </c>
      <c r="J104" s="28">
        <f t="shared" si="10"/>
        <v>6307728.0886929519</v>
      </c>
      <c r="K104" s="13">
        <f>'Collections and ACP'!F24</f>
        <v>55968808.33996474</v>
      </c>
      <c r="L104" s="38">
        <f t="shared" si="9"/>
        <v>49661080.251271784</v>
      </c>
      <c r="O104" s="36"/>
    </row>
    <row r="105" spans="2:15" x14ac:dyDescent="0.35">
      <c r="C105" s="180" t="s">
        <v>304</v>
      </c>
      <c r="D105" s="13">
        <f>'Total REC Deliveries'!I22+'Total REC Deliveries'!J22</f>
        <v>0</v>
      </c>
      <c r="E105" s="13">
        <f>'Total REC Deliveries'!H22</f>
        <v>2347323</v>
      </c>
      <c r="F105" s="37">
        <f>'Total REC Deliveries'!L22+'Total REC Deliveries'!M22</f>
        <v>0</v>
      </c>
      <c r="G105" s="13">
        <f>'Total REC Deliveries'!AE21</f>
        <v>464564</v>
      </c>
      <c r="H105" s="13">
        <f>'Total REC Deliveries'!N22+'Total REC Deliveries'!O22+'Total REC Deliveries'!P22</f>
        <v>3361341.4177568979</v>
      </c>
      <c r="I105" s="13">
        <f>'Total REC Deliveries'!Q22</f>
        <v>59857.275492589011</v>
      </c>
      <c r="J105" s="28">
        <f t="shared" si="10"/>
        <v>6233085.6932494873</v>
      </c>
      <c r="K105" s="13">
        <f>'Collections and ACP'!F25</f>
        <v>57495269.951376133</v>
      </c>
      <c r="L105" s="38">
        <f t="shared" si="9"/>
        <v>51262184.258126646</v>
      </c>
      <c r="O105" s="36"/>
    </row>
    <row r="106" spans="2:15" x14ac:dyDescent="0.35">
      <c r="C106" s="180" t="s">
        <v>305</v>
      </c>
      <c r="D106" s="13">
        <f>'Total REC Deliveries'!I23+'Total REC Deliveries'!J23</f>
        <v>0</v>
      </c>
      <c r="E106" s="13">
        <f>'Total REC Deliveries'!H23</f>
        <v>2095422</v>
      </c>
      <c r="F106" s="37">
        <f>'Total REC Deliveries'!L23+'Total REC Deliveries'!M23</f>
        <v>0</v>
      </c>
      <c r="G106" s="13">
        <f>'Total REC Deliveries'!AE22</f>
        <v>464564</v>
      </c>
      <c r="H106" s="13">
        <f>'Total REC Deliveries'!N23+'Total REC Deliveries'!O23+'Total REC Deliveries'!P23</f>
        <v>3346834.7106681131</v>
      </c>
      <c r="I106" s="13">
        <f>'Total REC Deliveries'!Q23</f>
        <v>59557.989115126067</v>
      </c>
      <c r="J106" s="28">
        <f t="shared" si="10"/>
        <v>5966378.6997832395</v>
      </c>
      <c r="K106" s="13">
        <f>'Collections and ACP'!F26</f>
        <v>59011627.267375305</v>
      </c>
      <c r="L106" s="38">
        <f t="shared" si="9"/>
        <v>53045248.56759207</v>
      </c>
      <c r="O106" s="36"/>
    </row>
    <row r="107" spans="2:15" x14ac:dyDescent="0.35">
      <c r="C107" s="180" t="s">
        <v>306</v>
      </c>
      <c r="D107" s="13">
        <f>'Total REC Deliveries'!I24+'Total REC Deliveries'!J24</f>
        <v>0</v>
      </c>
      <c r="E107" s="13">
        <f>'Total REC Deliveries'!H24</f>
        <v>1972602</v>
      </c>
      <c r="F107" s="37">
        <f>'Total REC Deliveries'!L24+'Total REC Deliveries'!M24</f>
        <v>0</v>
      </c>
      <c r="G107" s="13">
        <f>'Total REC Deliveries'!AE23</f>
        <v>464564</v>
      </c>
      <c r="H107" s="13">
        <f>'Total REC Deliveries'!N24+'Total REC Deliveries'!O24+'Total REC Deliveries'!P24</f>
        <v>3332400.5371147725</v>
      </c>
      <c r="I107" s="13">
        <f>'Total REC Deliveries'!Q24</f>
        <v>59260.199169550433</v>
      </c>
      <c r="J107" s="28">
        <f t="shared" si="10"/>
        <v>5828826.736284323</v>
      </c>
      <c r="K107" s="13">
        <f>'Collections and ACP'!F27</f>
        <v>60610591.166864343</v>
      </c>
      <c r="L107" s="38">
        <f t="shared" si="9"/>
        <v>54781764.43058002</v>
      </c>
      <c r="O107" s="36"/>
    </row>
    <row r="108" spans="2:15" x14ac:dyDescent="0.35">
      <c r="C108" s="180" t="s">
        <v>307</v>
      </c>
      <c r="D108" s="13">
        <f>'Total REC Deliveries'!I25+'Total REC Deliveries'!J25</f>
        <v>0</v>
      </c>
      <c r="E108" s="13">
        <f>'Total REC Deliveries'!H25</f>
        <v>1936522</v>
      </c>
      <c r="F108" s="37">
        <f>'Total REC Deliveries'!L25+'Total REC Deliveries'!M25</f>
        <v>0</v>
      </c>
      <c r="G108" s="13">
        <f>'Total REC Deliveries'!AE24</f>
        <v>464564</v>
      </c>
      <c r="H108" s="13">
        <f>'Total REC Deliveries'!N25+'Total REC Deliveries'!O25+'Total REC Deliveries'!P25</f>
        <v>3318038.5344291986</v>
      </c>
      <c r="I108" s="13">
        <f>'Total REC Deliveries'!Q25</f>
        <v>58963.898173702677</v>
      </c>
      <c r="J108" s="28">
        <f t="shared" si="10"/>
        <v>5778088.432602901</v>
      </c>
      <c r="K108" s="13">
        <f>'Collections and ACP'!F28</f>
        <v>60794608.347521521</v>
      </c>
      <c r="L108" s="38">
        <f t="shared" si="9"/>
        <v>55016519.914918616</v>
      </c>
      <c r="O108" s="36"/>
    </row>
    <row r="109" spans="2:15" x14ac:dyDescent="0.35">
      <c r="C109" s="180" t="s">
        <v>308</v>
      </c>
      <c r="D109" s="13">
        <f>'Total REC Deliveries'!I26+'Total REC Deliveries'!J26</f>
        <v>0</v>
      </c>
      <c r="E109" s="13">
        <f>'Total REC Deliveries'!H26</f>
        <v>1504728</v>
      </c>
      <c r="F109" s="37">
        <f>'Total REC Deliveries'!L26+'Total REC Deliveries'!M26</f>
        <v>0</v>
      </c>
      <c r="G109" s="13">
        <f>'Total REC Deliveries'!AE25</f>
        <v>464564</v>
      </c>
      <c r="H109" s="13">
        <f>'Total REC Deliveries'!N26+'Total REC Deliveries'!O26+'Total REC Deliveries'!P26</f>
        <v>3303748.3417570521</v>
      </c>
      <c r="I109" s="13">
        <f>'Total REC Deliveries'!Q26</f>
        <v>58669.078682834166</v>
      </c>
      <c r="J109" s="28">
        <f t="shared" si="10"/>
        <v>5331709.4204398859</v>
      </c>
      <c r="K109" s="13">
        <f>'Collections and ACP'!F29</f>
        <v>60982050.779746927</v>
      </c>
      <c r="L109" s="38">
        <f t="shared" si="9"/>
        <v>55650341.359307043</v>
      </c>
      <c r="O109" s="36"/>
    </row>
    <row r="110" spans="2:15" x14ac:dyDescent="0.35">
      <c r="D110" s="34"/>
      <c r="E110" s="34"/>
      <c r="F110" s="39"/>
      <c r="G110" s="172"/>
      <c r="H110" s="34"/>
      <c r="I110" s="40"/>
      <c r="J110" s="172"/>
    </row>
    <row r="111" spans="2:15" x14ac:dyDescent="0.35">
      <c r="B111" s="33" t="s">
        <v>325</v>
      </c>
    </row>
    <row r="113" spans="3:11" ht="29" x14ac:dyDescent="0.35">
      <c r="C113" s="15" t="s">
        <v>1</v>
      </c>
      <c r="D113" s="15" t="s">
        <v>326</v>
      </c>
      <c r="E113" s="15" t="s">
        <v>327</v>
      </c>
      <c r="F113" s="15" t="s">
        <v>328</v>
      </c>
      <c r="G113" s="15" t="s">
        <v>225</v>
      </c>
      <c r="H113" s="15" t="s">
        <v>322</v>
      </c>
      <c r="I113" s="15" t="s">
        <v>89</v>
      </c>
      <c r="J113" s="15" t="s">
        <v>324</v>
      </c>
      <c r="K113" s="15" t="s">
        <v>329</v>
      </c>
    </row>
    <row r="114" spans="3:11" x14ac:dyDescent="0.35">
      <c r="C114" s="180" t="s">
        <v>286</v>
      </c>
      <c r="D114" s="13">
        <f t="shared" ref="D114:D136" si="11">D87</f>
        <v>1861725</v>
      </c>
      <c r="E114" s="13">
        <f t="shared" ref="E114:E129" si="12">F87</f>
        <v>754313.29229999997</v>
      </c>
      <c r="F114" s="13">
        <f>E87</f>
        <v>162380</v>
      </c>
      <c r="G114" s="13">
        <f t="shared" ref="G114:H136" si="13">G87</f>
        <v>0</v>
      </c>
      <c r="H114" s="13">
        <f t="shared" si="13"/>
        <v>0</v>
      </c>
      <c r="I114" s="28">
        <f t="shared" ref="I114:I136" si="14">SUM(D114:H114)</f>
        <v>2778418.2922999999</v>
      </c>
      <c r="J114" s="13">
        <f t="shared" ref="J114:J136" si="15">K87-I114</f>
        <v>18370763.866490033</v>
      </c>
      <c r="K114" s="41">
        <v>0.17500000000000004</v>
      </c>
    </row>
    <row r="115" spans="3:11" x14ac:dyDescent="0.35">
      <c r="C115" s="180" t="s">
        <v>287</v>
      </c>
      <c r="D115" s="13">
        <f t="shared" si="11"/>
        <v>1861725</v>
      </c>
      <c r="E115" s="13">
        <f t="shared" si="12"/>
        <v>2992839.5745999999</v>
      </c>
      <c r="F115" s="13">
        <f t="shared" ref="F115:F135" si="16">E88</f>
        <v>548672</v>
      </c>
      <c r="G115" s="13">
        <f t="shared" si="13"/>
        <v>0</v>
      </c>
      <c r="H115" s="13">
        <f t="shared" si="13"/>
        <v>0</v>
      </c>
      <c r="I115" s="28">
        <f t="shared" si="14"/>
        <v>5403236.5745999999</v>
      </c>
      <c r="J115" s="13">
        <f t="shared" si="15"/>
        <v>17382216.110223208</v>
      </c>
      <c r="K115" s="41">
        <v>0.19000000000000006</v>
      </c>
    </row>
    <row r="116" spans="3:11" x14ac:dyDescent="0.35">
      <c r="C116" s="180" t="s">
        <v>288</v>
      </c>
      <c r="D116" s="13">
        <f t="shared" si="11"/>
        <v>1861725</v>
      </c>
      <c r="E116" s="13">
        <f t="shared" si="12"/>
        <v>4061148.5745999999</v>
      </c>
      <c r="F116" s="13">
        <f t="shared" si="16"/>
        <v>761948</v>
      </c>
      <c r="G116" s="13">
        <f t="shared" si="13"/>
        <v>0</v>
      </c>
      <c r="H116" s="13">
        <f t="shared" si="13"/>
        <v>0</v>
      </c>
      <c r="I116" s="28">
        <f t="shared" si="14"/>
        <v>6684821.5745999999</v>
      </c>
      <c r="J116" s="13">
        <f t="shared" si="15"/>
        <v>17977155.567767411</v>
      </c>
      <c r="K116" s="41">
        <v>0.20500000000000007</v>
      </c>
    </row>
    <row r="117" spans="3:11" x14ac:dyDescent="0.35">
      <c r="C117" s="180" t="s">
        <v>289</v>
      </c>
      <c r="D117" s="13">
        <f t="shared" si="11"/>
        <v>1861725</v>
      </c>
      <c r="E117" s="13">
        <f t="shared" si="12"/>
        <v>4061148.5745999999</v>
      </c>
      <c r="F117" s="13">
        <f t="shared" si="16"/>
        <v>1156913</v>
      </c>
      <c r="G117" s="13">
        <f t="shared" si="13"/>
        <v>0</v>
      </c>
      <c r="H117" s="13">
        <f t="shared" si="13"/>
        <v>0</v>
      </c>
      <c r="I117" s="28">
        <f t="shared" si="14"/>
        <v>7079786.5745999999</v>
      </c>
      <c r="J117" s="13">
        <f t="shared" si="15"/>
        <v>18942818.813541267</v>
      </c>
      <c r="K117" s="41">
        <v>0.22000000000000008</v>
      </c>
    </row>
    <row r="118" spans="3:11" x14ac:dyDescent="0.35">
      <c r="C118" s="180" t="s">
        <v>290</v>
      </c>
      <c r="D118" s="13">
        <f t="shared" si="11"/>
        <v>1861725</v>
      </c>
      <c r="E118" s="13">
        <f t="shared" si="12"/>
        <v>4061148.5745999999</v>
      </c>
      <c r="F118" s="13">
        <f t="shared" si="16"/>
        <v>1885102</v>
      </c>
      <c r="G118" s="13">
        <f t="shared" si="13"/>
        <v>0</v>
      </c>
      <c r="H118" s="13">
        <f t="shared" si="13"/>
        <v>0</v>
      </c>
      <c r="I118" s="28">
        <f t="shared" si="14"/>
        <v>7807975.5745999999</v>
      </c>
      <c r="J118" s="13">
        <f t="shared" si="15"/>
        <v>19792430.013787385</v>
      </c>
      <c r="K118" s="41">
        <v>0.2350000000000001</v>
      </c>
    </row>
    <row r="119" spans="3:11" x14ac:dyDescent="0.35">
      <c r="C119" s="180" t="s">
        <v>291</v>
      </c>
      <c r="D119" s="13">
        <f t="shared" si="11"/>
        <v>1861725</v>
      </c>
      <c r="E119" s="13">
        <f t="shared" si="12"/>
        <v>4061148.5745999999</v>
      </c>
      <c r="F119" s="13">
        <f t="shared" si="16"/>
        <v>3076226</v>
      </c>
      <c r="G119" s="13">
        <f t="shared" si="13"/>
        <v>464564</v>
      </c>
      <c r="H119" s="13">
        <f t="shared" si="13"/>
        <v>2409391</v>
      </c>
      <c r="I119" s="28">
        <f t="shared" si="14"/>
        <v>11873054.5746</v>
      </c>
      <c r="J119" s="13">
        <f t="shared" si="15"/>
        <v>17129235.460256889</v>
      </c>
      <c r="K119" s="41">
        <v>0.25000000000000011</v>
      </c>
    </row>
    <row r="120" spans="3:11" x14ac:dyDescent="0.35">
      <c r="C120" s="180" t="s">
        <v>292</v>
      </c>
      <c r="D120" s="13">
        <f t="shared" si="11"/>
        <v>1861725</v>
      </c>
      <c r="E120" s="13">
        <f t="shared" si="12"/>
        <v>4061148.5745999999</v>
      </c>
      <c r="F120" s="13">
        <f t="shared" si="16"/>
        <v>3066527</v>
      </c>
      <c r="G120" s="13">
        <f t="shared" si="13"/>
        <v>464564</v>
      </c>
      <c r="H120" s="13">
        <f t="shared" si="13"/>
        <v>3541214.0449999999</v>
      </c>
      <c r="I120" s="28">
        <f t="shared" si="14"/>
        <v>12995178.6196</v>
      </c>
      <c r="J120" s="13">
        <f t="shared" si="15"/>
        <v>19276188.017928444</v>
      </c>
      <c r="K120" s="41">
        <v>0.28000000000000003</v>
      </c>
    </row>
    <row r="121" spans="3:11" x14ac:dyDescent="0.35">
      <c r="C121" s="180" t="s">
        <v>293</v>
      </c>
      <c r="D121" s="13">
        <f t="shared" si="11"/>
        <v>1861725</v>
      </c>
      <c r="E121" s="13">
        <f t="shared" si="12"/>
        <v>4061148.5745999999</v>
      </c>
      <c r="F121" s="13">
        <f t="shared" si="16"/>
        <v>3057107</v>
      </c>
      <c r="G121" s="13">
        <f t="shared" si="13"/>
        <v>464564</v>
      </c>
      <c r="H121" s="13">
        <f t="shared" si="13"/>
        <v>3525807.9747749995</v>
      </c>
      <c r="I121" s="28">
        <f t="shared" si="14"/>
        <v>12970352.549374999</v>
      </c>
      <c r="J121" s="13">
        <f t="shared" si="15"/>
        <v>22698113.5528621</v>
      </c>
      <c r="K121" s="41">
        <v>0.31</v>
      </c>
    </row>
    <row r="122" spans="3:11" x14ac:dyDescent="0.35">
      <c r="C122" s="180" t="s">
        <v>294</v>
      </c>
      <c r="D122" s="13">
        <f t="shared" si="11"/>
        <v>1861725</v>
      </c>
      <c r="E122" s="13">
        <f t="shared" si="12"/>
        <v>4061148.5745999999</v>
      </c>
      <c r="F122" s="13">
        <f t="shared" si="16"/>
        <v>3047772</v>
      </c>
      <c r="G122" s="13">
        <f t="shared" si="13"/>
        <v>464564</v>
      </c>
      <c r="H122" s="13">
        <f t="shared" si="13"/>
        <v>3510478.9349011253</v>
      </c>
      <c r="I122" s="28">
        <f t="shared" si="14"/>
        <v>12945688.509501126</v>
      </c>
      <c r="J122" s="13">
        <f t="shared" si="15"/>
        <v>26274008.070087943</v>
      </c>
      <c r="K122" s="41">
        <v>0.34</v>
      </c>
    </row>
    <row r="123" spans="3:11" x14ac:dyDescent="0.35">
      <c r="C123" s="180" t="s">
        <v>295</v>
      </c>
      <c r="D123" s="13">
        <f t="shared" si="11"/>
        <v>1861725</v>
      </c>
      <c r="E123" s="13">
        <f t="shared" si="12"/>
        <v>4061148.5745999999</v>
      </c>
      <c r="F123" s="13">
        <f t="shared" si="16"/>
        <v>3038413</v>
      </c>
      <c r="G123" s="13">
        <f t="shared" si="13"/>
        <v>464564</v>
      </c>
      <c r="H123" s="13">
        <f t="shared" si="13"/>
        <v>3495226.5402266192</v>
      </c>
      <c r="I123" s="28">
        <f t="shared" si="14"/>
        <v>12921077.11482662</v>
      </c>
      <c r="J123" s="13">
        <f t="shared" si="15"/>
        <v>29793499.391729951</v>
      </c>
      <c r="K123" s="41">
        <v>0.37</v>
      </c>
    </row>
    <row r="124" spans="3:11" x14ac:dyDescent="0.35">
      <c r="C124" s="180" t="s">
        <v>296</v>
      </c>
      <c r="D124" s="13">
        <f t="shared" si="11"/>
        <v>1861725</v>
      </c>
      <c r="E124" s="13">
        <f t="shared" si="12"/>
        <v>4061148.5745999999</v>
      </c>
      <c r="F124" s="13">
        <f t="shared" si="16"/>
        <v>3029040</v>
      </c>
      <c r="G124" s="13">
        <f t="shared" si="13"/>
        <v>464564</v>
      </c>
      <c r="H124" s="13">
        <f t="shared" si="13"/>
        <v>3480050.4075254863</v>
      </c>
      <c r="I124" s="28">
        <f t="shared" si="14"/>
        <v>12896527.982125487</v>
      </c>
      <c r="J124" s="13">
        <f t="shared" si="15"/>
        <v>33554847.976775348</v>
      </c>
      <c r="K124" s="41">
        <v>0.4</v>
      </c>
    </row>
    <row r="125" spans="3:11" x14ac:dyDescent="0.35">
      <c r="C125" s="32" t="s">
        <v>297</v>
      </c>
      <c r="D125" s="13">
        <f t="shared" si="11"/>
        <v>1861725</v>
      </c>
      <c r="E125" s="13">
        <f t="shared" si="12"/>
        <v>4061148.5745999999</v>
      </c>
      <c r="F125" s="13">
        <f t="shared" si="16"/>
        <v>3019887</v>
      </c>
      <c r="G125" s="13">
        <f t="shared" si="13"/>
        <v>464564</v>
      </c>
      <c r="H125" s="13">
        <f t="shared" si="13"/>
        <v>3464950.1554878587</v>
      </c>
      <c r="I125" s="28">
        <f t="shared" si="14"/>
        <v>12872274.730087858</v>
      </c>
      <c r="J125" s="13">
        <f t="shared" si="15"/>
        <v>34890771.638913661</v>
      </c>
      <c r="K125" s="41">
        <v>0.40902608000000001</v>
      </c>
    </row>
    <row r="126" spans="3:11" x14ac:dyDescent="0.35">
      <c r="C126" s="180" t="s">
        <v>298</v>
      </c>
      <c r="D126" s="13">
        <f t="shared" si="11"/>
        <v>0</v>
      </c>
      <c r="E126" s="13">
        <f t="shared" si="12"/>
        <v>4061148.5745999999</v>
      </c>
      <c r="F126" s="13">
        <f t="shared" si="16"/>
        <v>3010421</v>
      </c>
      <c r="G126" s="13">
        <f t="shared" si="13"/>
        <v>464564</v>
      </c>
      <c r="H126" s="13">
        <f t="shared" si="13"/>
        <v>3449925.4047104195</v>
      </c>
      <c r="I126" s="28">
        <f t="shared" si="14"/>
        <v>10986058.979310419</v>
      </c>
      <c r="J126" s="13">
        <f t="shared" si="15"/>
        <v>38171090.356313363</v>
      </c>
      <c r="K126" s="41">
        <v>0.41825583530041599</v>
      </c>
    </row>
    <row r="127" spans="3:11" x14ac:dyDescent="0.35">
      <c r="C127" s="180" t="s">
        <v>299</v>
      </c>
      <c r="D127" s="13">
        <f t="shared" si="11"/>
        <v>0</v>
      </c>
      <c r="E127" s="13">
        <f t="shared" si="12"/>
        <v>3631148.5745999999</v>
      </c>
      <c r="F127" s="13">
        <f t="shared" si="16"/>
        <v>3001250</v>
      </c>
      <c r="G127" s="13">
        <f t="shared" si="13"/>
        <v>464564</v>
      </c>
      <c r="H127" s="13">
        <f t="shared" si="13"/>
        <v>3434975.7776868669</v>
      </c>
      <c r="I127" s="28">
        <f t="shared" si="14"/>
        <v>10531938.352286868</v>
      </c>
      <c r="J127" s="13">
        <f t="shared" si="15"/>
        <v>39890515.701120391</v>
      </c>
      <c r="K127" s="41">
        <v>0.42769386187513697</v>
      </c>
    </row>
    <row r="128" spans="3:11" x14ac:dyDescent="0.35">
      <c r="C128" s="180" t="s">
        <v>300</v>
      </c>
      <c r="D128" s="13">
        <f t="shared" si="11"/>
        <v>0</v>
      </c>
      <c r="E128" s="13">
        <f t="shared" si="12"/>
        <v>3631148.5745999999</v>
      </c>
      <c r="F128" s="13">
        <f t="shared" si="16"/>
        <v>2851999</v>
      </c>
      <c r="G128" s="13">
        <f t="shared" si="13"/>
        <v>464564</v>
      </c>
      <c r="H128" s="13">
        <f t="shared" si="13"/>
        <v>3420100.8987984322</v>
      </c>
      <c r="I128" s="28">
        <f t="shared" si="14"/>
        <v>10367812.473398432</v>
      </c>
      <c r="J128" s="13">
        <f t="shared" si="15"/>
        <v>41451586.519401804</v>
      </c>
      <c r="K128" s="41">
        <v>0.43734485940712181</v>
      </c>
    </row>
    <row r="129" spans="2:32" x14ac:dyDescent="0.35">
      <c r="C129" s="180" t="s">
        <v>301</v>
      </c>
      <c r="D129" s="13">
        <f t="shared" si="11"/>
        <v>0</v>
      </c>
      <c r="E129" s="13">
        <f t="shared" si="12"/>
        <v>3324562.2823000001</v>
      </c>
      <c r="F129" s="13">
        <f t="shared" si="16"/>
        <v>2832281</v>
      </c>
      <c r="G129" s="13">
        <f t="shared" si="13"/>
        <v>464564</v>
      </c>
      <c r="H129" s="13">
        <f t="shared" si="13"/>
        <v>3405300.3943044404</v>
      </c>
      <c r="I129" s="28">
        <f t="shared" si="14"/>
        <v>10026707.67660444</v>
      </c>
      <c r="J129" s="13">
        <f t="shared" si="15"/>
        <v>43156450.157880187</v>
      </c>
      <c r="K129" s="41">
        <v>0.44721363362861538</v>
      </c>
    </row>
    <row r="130" spans="2:32" x14ac:dyDescent="0.35">
      <c r="C130" s="180" t="s">
        <v>302</v>
      </c>
      <c r="D130" s="13">
        <f t="shared" si="11"/>
        <v>0</v>
      </c>
      <c r="E130" s="13">
        <f t="shared" ref="E130:E136" si="17">F103</f>
        <v>0</v>
      </c>
      <c r="F130" s="13">
        <f t="shared" si="16"/>
        <v>2497855</v>
      </c>
      <c r="G130" s="13">
        <f t="shared" si="13"/>
        <v>464564</v>
      </c>
      <c r="H130" s="13">
        <f t="shared" si="13"/>
        <v>3390573.8923329185</v>
      </c>
      <c r="I130" s="28">
        <f t="shared" si="14"/>
        <v>6352992.8923329189</v>
      </c>
      <c r="J130" s="13">
        <f t="shared" si="15"/>
        <v>48266823.282685712</v>
      </c>
      <c r="K130" s="41">
        <v>0.45730509871417185</v>
      </c>
    </row>
    <row r="131" spans="2:32" x14ac:dyDescent="0.35">
      <c r="C131" s="180" t="s">
        <v>303</v>
      </c>
      <c r="D131" s="13">
        <f t="shared" si="11"/>
        <v>0</v>
      </c>
      <c r="E131" s="13">
        <f t="shared" si="17"/>
        <v>0</v>
      </c>
      <c r="F131" s="13">
        <f t="shared" si="16"/>
        <v>2407085</v>
      </c>
      <c r="G131" s="13">
        <f t="shared" si="13"/>
        <v>464564</v>
      </c>
      <c r="H131" s="13">
        <f t="shared" si="13"/>
        <v>3375921.022871254</v>
      </c>
      <c r="I131" s="28">
        <f t="shared" si="14"/>
        <v>6247570.022871254</v>
      </c>
      <c r="J131" s="13">
        <f t="shared" si="15"/>
        <v>49721238.317093484</v>
      </c>
      <c r="K131" s="41">
        <v>0.46762427972767689</v>
      </c>
    </row>
    <row r="132" spans="2:32" x14ac:dyDescent="0.35">
      <c r="C132" s="180" t="s">
        <v>304</v>
      </c>
      <c r="D132" s="13">
        <f t="shared" si="11"/>
        <v>0</v>
      </c>
      <c r="E132" s="13">
        <f t="shared" si="17"/>
        <v>0</v>
      </c>
      <c r="F132" s="13">
        <f t="shared" si="16"/>
        <v>2347323</v>
      </c>
      <c r="G132" s="13">
        <f t="shared" si="13"/>
        <v>464564</v>
      </c>
      <c r="H132" s="13">
        <f t="shared" si="13"/>
        <v>3361341.4177568979</v>
      </c>
      <c r="I132" s="28">
        <f t="shared" si="14"/>
        <v>6173228.4177568983</v>
      </c>
      <c r="J132" s="13">
        <f t="shared" si="15"/>
        <v>51322041.533619232</v>
      </c>
      <c r="K132" s="41">
        <v>0.47817631512458791</v>
      </c>
    </row>
    <row r="133" spans="2:32" x14ac:dyDescent="0.35">
      <c r="C133" s="180" t="s">
        <v>305</v>
      </c>
      <c r="D133" s="13">
        <f t="shared" si="11"/>
        <v>0</v>
      </c>
      <c r="E133" s="13">
        <f t="shared" si="17"/>
        <v>0</v>
      </c>
      <c r="F133" s="13">
        <f t="shared" si="16"/>
        <v>2095422</v>
      </c>
      <c r="G133" s="13">
        <f t="shared" si="13"/>
        <v>464564</v>
      </c>
      <c r="H133" s="13">
        <f t="shared" si="13"/>
        <v>3346834.7106681131</v>
      </c>
      <c r="I133" s="28">
        <f t="shared" si="14"/>
        <v>5906820.7106681131</v>
      </c>
      <c r="J133" s="13">
        <f t="shared" si="15"/>
        <v>53104806.556707188</v>
      </c>
      <c r="K133" s="41">
        <v>0.48896645931063754</v>
      </c>
    </row>
    <row r="134" spans="2:32" x14ac:dyDescent="0.35">
      <c r="C134" s="180" t="s">
        <v>306</v>
      </c>
      <c r="D134" s="13">
        <f t="shared" si="11"/>
        <v>0</v>
      </c>
      <c r="E134" s="13">
        <f t="shared" si="17"/>
        <v>0</v>
      </c>
      <c r="F134" s="13">
        <f t="shared" si="16"/>
        <v>1972602</v>
      </c>
      <c r="G134" s="13">
        <f t="shared" si="13"/>
        <v>464564</v>
      </c>
      <c r="H134" s="13">
        <f t="shared" si="13"/>
        <v>3332400.5371147725</v>
      </c>
      <c r="I134" s="28">
        <f t="shared" si="14"/>
        <v>5769566.5371147729</v>
      </c>
      <c r="J134" s="13">
        <f t="shared" si="15"/>
        <v>54841024.629749566</v>
      </c>
      <c r="K134" s="41">
        <v>0.50000008525827411</v>
      </c>
    </row>
    <row r="135" spans="2:32" x14ac:dyDescent="0.35">
      <c r="C135" s="180" t="s">
        <v>307</v>
      </c>
      <c r="D135" s="13">
        <f t="shared" si="11"/>
        <v>0</v>
      </c>
      <c r="E135" s="13">
        <f t="shared" si="17"/>
        <v>0</v>
      </c>
      <c r="F135" s="13">
        <f t="shared" si="16"/>
        <v>1936522</v>
      </c>
      <c r="G135" s="13">
        <f t="shared" si="13"/>
        <v>464564</v>
      </c>
      <c r="H135" s="13">
        <f t="shared" si="13"/>
        <v>3318038.5344291986</v>
      </c>
      <c r="I135" s="28">
        <f t="shared" si="14"/>
        <v>5719124.5344291981</v>
      </c>
      <c r="J135" s="13">
        <f t="shared" si="15"/>
        <v>55075483.813092321</v>
      </c>
      <c r="K135" s="41">
        <v>0.5</v>
      </c>
    </row>
    <row r="136" spans="2:32" x14ac:dyDescent="0.35">
      <c r="C136" s="180" t="s">
        <v>308</v>
      </c>
      <c r="D136" s="13">
        <f t="shared" si="11"/>
        <v>0</v>
      </c>
      <c r="E136" s="13">
        <f t="shared" si="17"/>
        <v>0</v>
      </c>
      <c r="F136" s="13"/>
      <c r="G136" s="13">
        <f t="shared" si="13"/>
        <v>464564</v>
      </c>
      <c r="H136" s="13">
        <f t="shared" si="13"/>
        <v>3303748.3417570521</v>
      </c>
      <c r="I136" s="28">
        <f t="shared" si="14"/>
        <v>3768312.3417570521</v>
      </c>
      <c r="J136" s="13">
        <f t="shared" si="15"/>
        <v>57213738.437989876</v>
      </c>
      <c r="K136" s="41">
        <v>0.5</v>
      </c>
    </row>
    <row r="138" spans="2:32" x14ac:dyDescent="0.35">
      <c r="B138" s="33" t="s">
        <v>330</v>
      </c>
    </row>
    <row r="140" spans="2:32" ht="43.5" x14ac:dyDescent="0.35">
      <c r="C140" s="15" t="s">
        <v>1</v>
      </c>
      <c r="D140" s="15" t="s">
        <v>220</v>
      </c>
      <c r="E140" s="15" t="s">
        <v>331</v>
      </c>
      <c r="F140" s="15" t="s">
        <v>332</v>
      </c>
      <c r="G140" s="15" t="s">
        <v>333</v>
      </c>
      <c r="J140" s="1"/>
      <c r="K140" s="180" t="s">
        <v>290</v>
      </c>
      <c r="L140" s="180" t="s">
        <v>291</v>
      </c>
      <c r="M140" s="180" t="s">
        <v>292</v>
      </c>
      <c r="N140" s="180" t="s">
        <v>293</v>
      </c>
      <c r="O140" s="180" t="s">
        <v>294</v>
      </c>
      <c r="P140" s="180" t="s">
        <v>295</v>
      </c>
      <c r="Q140" s="180" t="s">
        <v>296</v>
      </c>
      <c r="R140" s="32" t="s">
        <v>297</v>
      </c>
      <c r="S140" s="180" t="s">
        <v>298</v>
      </c>
      <c r="T140" s="180" t="s">
        <v>299</v>
      </c>
      <c r="U140" s="180" t="s">
        <v>300</v>
      </c>
      <c r="V140" s="180" t="s">
        <v>301</v>
      </c>
      <c r="W140" s="180" t="s">
        <v>302</v>
      </c>
      <c r="X140" s="180" t="s">
        <v>303</v>
      </c>
      <c r="Y140" s="180" t="s">
        <v>304</v>
      </c>
      <c r="Z140" s="180" t="s">
        <v>305</v>
      </c>
      <c r="AA140" s="180" t="s">
        <v>306</v>
      </c>
      <c r="AB140" s="180" t="s">
        <v>307</v>
      </c>
      <c r="AC140" s="180" t="s">
        <v>308</v>
      </c>
      <c r="AD140" s="180" t="s">
        <v>334</v>
      </c>
      <c r="AE140" s="180" t="s">
        <v>335</v>
      </c>
    </row>
    <row r="141" spans="2:32" x14ac:dyDescent="0.35">
      <c r="C141" s="180" t="s">
        <v>286</v>
      </c>
      <c r="D141" s="181">
        <f>'REC Spend projected'!O4</f>
        <v>11261800.036503479</v>
      </c>
      <c r="E141" s="181">
        <f>'REC Spend projected'!N4</f>
        <v>0</v>
      </c>
      <c r="F141" s="181">
        <f>'REC Spend projected'!M4</f>
        <v>6757080.0219020871</v>
      </c>
      <c r="G141" s="181">
        <f>D141+E141+F141</f>
        <v>18018880.058405567</v>
      </c>
      <c r="J141" t="s">
        <v>207</v>
      </c>
      <c r="K141" s="185" cm="1">
        <f t="array" ref="K141:AE141">TRANSPOSE(I114:I134)</f>
        <v>2778418.2922999999</v>
      </c>
      <c r="L141" s="185">
        <v>5403236.5745999999</v>
      </c>
      <c r="M141" s="185">
        <v>6684821.5745999999</v>
      </c>
      <c r="N141" s="185">
        <v>7079786.5745999999</v>
      </c>
      <c r="O141" s="185">
        <v>7807975.5745999999</v>
      </c>
      <c r="P141" s="185">
        <v>11873054.5746</v>
      </c>
      <c r="Q141" s="185">
        <v>12995178.6196</v>
      </c>
      <c r="R141" s="185">
        <v>12970352.549374999</v>
      </c>
      <c r="S141" s="185">
        <v>12945688.509501126</v>
      </c>
      <c r="T141" s="185">
        <v>12921077.11482662</v>
      </c>
      <c r="U141" s="185">
        <v>12896527.982125487</v>
      </c>
      <c r="V141" s="185">
        <v>12872274.730087858</v>
      </c>
      <c r="W141" s="185">
        <v>10986058.979310419</v>
      </c>
      <c r="X141" s="185">
        <v>10531938.352286868</v>
      </c>
      <c r="Y141" s="185">
        <v>10367812.473398432</v>
      </c>
      <c r="Z141" s="185">
        <v>10026707.67660444</v>
      </c>
      <c r="AA141" s="185">
        <v>6352992.8923329189</v>
      </c>
      <c r="AB141" s="185">
        <v>6247570.022871254</v>
      </c>
      <c r="AC141" s="185">
        <v>6173228.4177568983</v>
      </c>
      <c r="AD141" s="185">
        <v>5906820.7106681131</v>
      </c>
      <c r="AE141" s="185">
        <v>5769566.5371147729</v>
      </c>
    </row>
    <row r="142" spans="2:32" x14ac:dyDescent="0.35">
      <c r="C142" s="180" t="s">
        <v>287</v>
      </c>
      <c r="D142" s="181">
        <f>'REC Spend projected'!O5</f>
        <v>50000000</v>
      </c>
      <c r="E142" s="181">
        <f>'REC Spend projected'!N5</f>
        <v>10000000</v>
      </c>
      <c r="F142" s="181">
        <f>'REC Spend projected'!M5</f>
        <v>13942135.092404015</v>
      </c>
      <c r="G142" s="181">
        <f t="shared" ref="G142:G163" si="18">D142+E142+F142</f>
        <v>73942135.092404008</v>
      </c>
      <c r="J142" s="183" t="s">
        <v>93</v>
      </c>
      <c r="K142" s="200"/>
      <c r="L142" s="185">
        <f>'Projected ABP RECs'!C174</f>
        <v>889628.29289956263</v>
      </c>
      <c r="M142" s="185">
        <f>'Projected ABP RECs'!D174</f>
        <v>1077450.4778590649</v>
      </c>
      <c r="N142" s="185">
        <f>'Projected ABP RECs'!E174+'Indexed REC Activities'!I90</f>
        <v>2213633.2254697699</v>
      </c>
      <c r="O142" s="185">
        <f>'Projected ABP RECs'!F174+'Indexed REC Activities'!J90</f>
        <v>7202565.0593424216</v>
      </c>
      <c r="P142" s="185">
        <f>'Projected ABP RECs'!G174+'Indexed REC Activities'!K90</f>
        <v>7191552.2340457086</v>
      </c>
      <c r="Q142" s="185">
        <f>'Projected ABP RECs'!H174+'Indexed REC Activities'!L90</f>
        <v>7180594.4728754796</v>
      </c>
      <c r="R142" s="185">
        <f>'Projected ABP RECs'!I174+'Indexed REC Activities'!M90</f>
        <v>7169691.5005111024</v>
      </c>
      <c r="S142" s="185">
        <f>'Projected ABP RECs'!J174+'Indexed REC Activities'!N90</f>
        <v>7158843.0430085473</v>
      </c>
      <c r="T142" s="185">
        <f>'Projected ABP RECs'!K174+'Indexed REC Activities'!O90</f>
        <v>7148048.827793505</v>
      </c>
      <c r="U142" s="185">
        <f>'Projected ABP RECs'!L174+'Indexed REC Activities'!P90</f>
        <v>7137308.5836545369</v>
      </c>
      <c r="V142" s="185">
        <f>'Projected ABP RECs'!M174+'Indexed REC Activities'!Q90</f>
        <v>7126622.0407362636</v>
      </c>
      <c r="W142" s="185">
        <f>'Projected ABP RECs'!N174+'Indexed REC Activities'!R90</f>
        <v>7115988.930532583</v>
      </c>
      <c r="X142" s="185">
        <f>'Projected ABP RECs'!O174+'Indexed REC Activities'!S90</f>
        <v>7105408.9858799204</v>
      </c>
      <c r="Y142" s="185">
        <f>'Projected ABP RECs'!P174+'Indexed REC Activities'!T90</f>
        <v>7094881.9409505203</v>
      </c>
      <c r="Z142" s="185">
        <f>'Projected ABP RECs'!Q174+'Indexed REC Activities'!U90</f>
        <v>7084407.5312457681</v>
      </c>
      <c r="AA142" s="185">
        <f>'Projected ABP RECs'!R174+'Indexed REC Activities'!V90</f>
        <v>6248793.8953130823</v>
      </c>
      <c r="AB142" s="185">
        <f>'Projected ABP RECs'!S174+'Indexed REC Activities'!W90</f>
        <v>6242549.9258365165</v>
      </c>
      <c r="AC142" s="185">
        <f>'Projected ABP RECs'!T174+'Indexed REC Activities'!X90</f>
        <v>6236337.1762073338</v>
      </c>
      <c r="AD142" s="185">
        <f>'Projected ABP RECs'!U174+'Indexed REC Activities'!Y90</f>
        <v>6230155.4903262984</v>
      </c>
      <c r="AE142" s="185" t="e">
        <f>'Projected ABP RECs'!#REF!+'Indexed REC Activities'!Z90</f>
        <v>#REF!</v>
      </c>
    </row>
    <row r="143" spans="2:32" x14ac:dyDescent="0.35">
      <c r="C143" s="180" t="s">
        <v>288</v>
      </c>
      <c r="D143" s="181">
        <f>'REC Spend projected'!O6</f>
        <v>50000000</v>
      </c>
      <c r="E143" s="181">
        <f>'REC Spend projected'!N6</f>
        <v>0</v>
      </c>
      <c r="F143" s="181">
        <f>'REC Spend projected'!M6</f>
        <v>17623889.800951708</v>
      </c>
      <c r="G143" s="181">
        <f t="shared" si="18"/>
        <v>67623889.800951704</v>
      </c>
      <c r="J143" s="1" t="s">
        <v>94</v>
      </c>
      <c r="L143" s="185">
        <f>'Projected ABP RECs'!C175</f>
        <v>602273.92248011334</v>
      </c>
      <c r="M143" s="185">
        <f>'Projected ABP RECs'!D175</f>
        <v>1507773.8455118262</v>
      </c>
      <c r="N143" s="185">
        <f>'Projected ABP RECs'!E175</f>
        <v>1806472.3464482669</v>
      </c>
      <c r="O143" s="185">
        <f>'Projected ABP RECs'!F175+'Indexed REC Activities'!J91</f>
        <v>5882439.9847160261</v>
      </c>
      <c r="P143" s="185">
        <f>'Projected ABP RECs'!G175+'Indexed REC Activities'!K91</f>
        <v>9950527.7847924456</v>
      </c>
      <c r="Q143" s="185">
        <f>'Projected ABP RECs'!H175+'Indexed REC Activities'!L91</f>
        <v>9925775.1458684839</v>
      </c>
      <c r="R143" s="185">
        <f>'Projected ABP RECs'!I175+'Indexed REC Activities'!M91</f>
        <v>9901146.270139141</v>
      </c>
      <c r="S143" s="185">
        <f>'Projected ABP RECs'!J175+'Indexed REC Activities'!N91</f>
        <v>9876640.5387884453</v>
      </c>
      <c r="T143" s="185">
        <f>'Projected ABP RECs'!K175+'Indexed REC Activities'!O91</f>
        <v>9852257.3360945024</v>
      </c>
      <c r="U143" s="185">
        <f>'Projected ABP RECs'!L175+'Indexed REC Activities'!P91</f>
        <v>9827996.0494140312</v>
      </c>
      <c r="V143" s="185">
        <f>'Projected ABP RECs'!M175+'Indexed REC Activities'!Q91</f>
        <v>9803856.0691669602</v>
      </c>
      <c r="W143" s="185">
        <f>'Projected ABP RECs'!N175+'Indexed REC Activities'!R91</f>
        <v>9779836.7888211254</v>
      </c>
      <c r="X143" s="185">
        <f>'Projected ABP RECs'!O175+'Indexed REC Activities'!S91</f>
        <v>9755937.6048770212</v>
      </c>
      <c r="Y143" s="185">
        <f>'Projected ABP RECs'!P175+'Indexed REC Activities'!T91</f>
        <v>9732157.9168526344</v>
      </c>
      <c r="Z143" s="185">
        <f>'Projected ABP RECs'!Q175+'Indexed REC Activities'!U91</f>
        <v>9708497.1272683721</v>
      </c>
      <c r="AA143" s="185">
        <f>'Projected ABP RECs'!R175+'Indexed REC Activities'!V91</f>
        <v>9245424.4165895805</v>
      </c>
      <c r="AB143" s="185">
        <f>'Projected ABP RECs'!S175+'Indexed REC Activities'!W91</f>
        <v>8748014.6460246146</v>
      </c>
      <c r="AC143" s="185">
        <f>'Projected ABP RECs'!T175+'Indexed REC Activities'!X91</f>
        <v>8692622.1493549217</v>
      </c>
      <c r="AD143" s="185">
        <f>'Projected ABP RECs'!U175+'Indexed REC Activities'!Y91</f>
        <v>8674159.0386081468</v>
      </c>
      <c r="AE143" s="185" t="e">
        <f>'Projected ABP RECs'!#REF!+'Indexed REC Activities'!Z91</f>
        <v>#REF!</v>
      </c>
      <c r="AF143" s="185"/>
    </row>
    <row r="144" spans="2:32" x14ac:dyDescent="0.35">
      <c r="C144" s="180" t="s">
        <v>289</v>
      </c>
      <c r="D144" s="181">
        <f>'REC Spend projected'!O7</f>
        <v>50000000</v>
      </c>
      <c r="E144" s="181">
        <f>'REC Spend projected'!N7</f>
        <v>0</v>
      </c>
      <c r="F144" s="181">
        <f>'REC Spend projected'!M7</f>
        <v>17306655.768471591</v>
      </c>
      <c r="G144" s="181">
        <f t="shared" si="18"/>
        <v>67306655.768471599</v>
      </c>
      <c r="J144" s="1" t="s">
        <v>95</v>
      </c>
      <c r="L144" s="185">
        <f>'Projected ABP RECs'!C176</f>
        <v>0</v>
      </c>
      <c r="M144" s="185">
        <f>'Projected ABP RECs'!D176</f>
        <v>0</v>
      </c>
      <c r="N144" s="185">
        <f>'Projected ABP RECs'!E176</f>
        <v>602273.92248011334</v>
      </c>
      <c r="O144" s="185">
        <f>'Projected ABP RECs'!F176+'Indexed REC Activities'!J92</f>
        <v>1507773.8455118262</v>
      </c>
      <c r="P144" s="185">
        <f>'Projected ABP RECs'!G176+'Indexed REC Activities'!K92</f>
        <v>1806472.3464482669</v>
      </c>
      <c r="Q144" s="185">
        <f>'Projected ABP RECs'!H176+'Indexed REC Activities'!L92</f>
        <v>5882439.9847160261</v>
      </c>
      <c r="R144" s="185">
        <f>'Projected ABP RECs'!I176+'Indexed REC Activities'!M92</f>
        <v>9950527.7847924456</v>
      </c>
      <c r="S144" s="185">
        <f>'Projected ABP RECs'!J176+'Indexed REC Activities'!N92</f>
        <v>9925775.1458684839</v>
      </c>
      <c r="T144" s="185">
        <f>'Projected ABP RECs'!K176+'Indexed REC Activities'!O92</f>
        <v>9901146.270139141</v>
      </c>
      <c r="U144" s="185">
        <f>'Projected ABP RECs'!L176+'Indexed REC Activities'!P92</f>
        <v>9876640.5387884453</v>
      </c>
      <c r="V144" s="185">
        <f>'Projected ABP RECs'!M176+'Indexed REC Activities'!Q92</f>
        <v>9852257.3360945024</v>
      </c>
      <c r="W144" s="185">
        <f>'Projected ABP RECs'!N176+'Indexed REC Activities'!R92</f>
        <v>9827996.0494140312</v>
      </c>
      <c r="X144" s="185">
        <f>'Projected ABP RECs'!O176+'Indexed REC Activities'!S92</f>
        <v>9803856.0691669602</v>
      </c>
      <c r="Y144" s="185">
        <f>'Projected ABP RECs'!P176+'Indexed REC Activities'!T92</f>
        <v>9779836.7888211254</v>
      </c>
      <c r="Z144" s="185">
        <f>'Projected ABP RECs'!Q176+'Indexed REC Activities'!U92</f>
        <v>9755937.6048770212</v>
      </c>
      <c r="AA144" s="185">
        <f>'Projected ABP RECs'!R176+'Indexed REC Activities'!V92</f>
        <v>9732157.9168526344</v>
      </c>
      <c r="AB144" s="185">
        <f>'Projected ABP RECs'!S176+'Indexed REC Activities'!W92</f>
        <v>9708497.1272683721</v>
      </c>
      <c r="AC144" s="185">
        <f>'Projected ABP RECs'!T176+'Indexed REC Activities'!X92</f>
        <v>9245424.4165895805</v>
      </c>
      <c r="AD144" s="185">
        <f>'Projected ABP RECs'!U176+'Indexed REC Activities'!Y92</f>
        <v>8748014.6460246146</v>
      </c>
      <c r="AE144" s="185" t="e">
        <f>'Projected ABP RECs'!#REF!+'Indexed REC Activities'!Z92</f>
        <v>#REF!</v>
      </c>
      <c r="AF144" s="185"/>
    </row>
    <row r="145" spans="3:32" x14ac:dyDescent="0.35">
      <c r="C145" s="180" t="s">
        <v>290</v>
      </c>
      <c r="D145" s="181">
        <f>'REC Spend projected'!O8</f>
        <v>50000000</v>
      </c>
      <c r="E145" s="181">
        <f>'REC Spend projected'!N8</f>
        <v>10000000</v>
      </c>
      <c r="F145" s="181">
        <f>'REC Spend projected'!M8</f>
        <v>17208829.557390258</v>
      </c>
      <c r="G145" s="181">
        <f t="shared" si="18"/>
        <v>77208829.557390258</v>
      </c>
      <c r="J145" s="1" t="s">
        <v>96</v>
      </c>
      <c r="L145" s="185">
        <f>'Projected ABP RECs'!C177</f>
        <v>0</v>
      </c>
      <c r="M145" s="185">
        <f>'Projected ABP RECs'!D177</f>
        <v>0</v>
      </c>
      <c r="N145" s="185">
        <f>'Projected ABP RECs'!E177</f>
        <v>0</v>
      </c>
      <c r="O145" s="185">
        <f>'Projected ABP RECs'!F177+'Indexed REC Activities'!J93</f>
        <v>0</v>
      </c>
      <c r="P145" s="185">
        <f>'Projected ABP RECs'!G177+'Indexed REC Activities'!K93</f>
        <v>602273.92248011334</v>
      </c>
      <c r="Q145" s="185">
        <f>'Projected ABP RECs'!H177+'Indexed REC Activities'!L93</f>
        <v>1507773.8455118262</v>
      </c>
      <c r="R145" s="185">
        <f>'Projected ABP RECs'!I177+'Indexed REC Activities'!M93</f>
        <v>1806472.3464482669</v>
      </c>
      <c r="S145" s="185">
        <f>'Projected ABP RECs'!J177+'Indexed REC Activities'!N93</f>
        <v>5382439.9847160261</v>
      </c>
      <c r="T145" s="185">
        <f>'Projected ABP RECs'!K177+'Indexed REC Activities'!O93</f>
        <v>8953027.7847924456</v>
      </c>
      <c r="U145" s="185">
        <f>'Projected ABP RECs'!L177+'Indexed REC Activities'!P93</f>
        <v>7433262.6458684839</v>
      </c>
      <c r="V145" s="185">
        <f>'Projected ABP RECs'!M177+'Indexed REC Activities'!Q93</f>
        <v>7413596.332639141</v>
      </c>
      <c r="W145" s="185">
        <f>'Projected ABP RECs'!N177+'Indexed REC Activities'!R93</f>
        <v>7394028.3509759447</v>
      </c>
      <c r="X145" s="185">
        <f>'Projected ABP RECs'!O177+'Indexed REC Activities'!S93</f>
        <v>7374558.209221065</v>
      </c>
      <c r="Y145" s="185">
        <f>'Projected ABP RECs'!P177+'Indexed REC Activities'!T93</f>
        <v>7355185.4181749597</v>
      </c>
      <c r="Z145" s="185">
        <f>'Projected ABP RECs'!Q177+'Indexed REC Activities'!U93</f>
        <v>7335909.4910840848</v>
      </c>
      <c r="AA145" s="185">
        <f>'Projected ABP RECs'!R177+'Indexed REC Activities'!V93</f>
        <v>7316729.9436286651</v>
      </c>
      <c r="AB145" s="185">
        <f>'Projected ABP RECs'!S177+'Indexed REC Activities'!W93</f>
        <v>7297646.2939105211</v>
      </c>
      <c r="AC145" s="185">
        <f>'Projected ABP RECs'!T177+'Indexed REC Activities'!X93</f>
        <v>7278658.062440969</v>
      </c>
      <c r="AD145" s="185">
        <f>'Projected ABP RECs'!U177+'Indexed REC Activities'!Y93</f>
        <v>7259764.7721287645</v>
      </c>
      <c r="AE145" s="185" t="e">
        <f>'Projected ABP RECs'!#REF!+'Indexed REC Activities'!Z93</f>
        <v>#REF!</v>
      </c>
      <c r="AF145" s="185"/>
    </row>
    <row r="146" spans="3:32" x14ac:dyDescent="0.35">
      <c r="C146" s="180" t="s">
        <v>291</v>
      </c>
      <c r="D146" s="181">
        <f>'REC Spend projected'!O9</f>
        <v>50000000</v>
      </c>
      <c r="E146" s="181">
        <f>'REC Spend projected'!N9</f>
        <v>0</v>
      </c>
      <c r="F146" s="181">
        <f>'REC Spend projected'!M9</f>
        <v>16997493.39059734</v>
      </c>
      <c r="G146" s="181">
        <f t="shared" si="18"/>
        <v>66997493.390597343</v>
      </c>
      <c r="J146" s="1" t="s">
        <v>97</v>
      </c>
      <c r="L146" s="185">
        <f>'Projected ABP RECs'!C178</f>
        <v>0</v>
      </c>
      <c r="M146" s="185">
        <f>'Projected ABP RECs'!D178</f>
        <v>0</v>
      </c>
      <c r="N146" s="185">
        <f>'Projected ABP RECs'!E178</f>
        <v>0</v>
      </c>
      <c r="O146" s="185">
        <f>'Projected ABP RECs'!F178+'Indexed REC Activities'!J94</f>
        <v>0</v>
      </c>
      <c r="P146" s="185">
        <f>'Projected ABP RECs'!G178+'Indexed REC Activities'!K94</f>
        <v>0</v>
      </c>
      <c r="Q146" s="185">
        <f>'Projected ABP RECs'!H178+'Indexed REC Activities'!L94</f>
        <v>0</v>
      </c>
      <c r="R146" s="185">
        <f>'Projected ABP RECs'!I178+'Indexed REC Activities'!M94</f>
        <v>569202.00562930212</v>
      </c>
      <c r="S146" s="185">
        <f>'Projected ABP RECs'!J178+'Indexed REC Activities'!N94</f>
        <v>1481309.8707704577</v>
      </c>
      <c r="T146" s="185">
        <f>'Projected ABP RECs'!K178+'Indexed REC Activities'!O94</f>
        <v>1819655.1909566054</v>
      </c>
      <c r="U146" s="185">
        <f>'Projected ABP RECs'!L178+'Indexed REC Activities'!P94</f>
        <v>3610556.9150018226</v>
      </c>
      <c r="V146" s="185">
        <f>'Projected ABP RECs'!M178+'Indexed REC Activities'!Q94</f>
        <v>5397504.1304268129</v>
      </c>
      <c r="W146" s="185">
        <f>'Projected ABP RECs'!N178+'Indexed REC Activities'!R94</f>
        <v>6880516.6097746789</v>
      </c>
      <c r="X146" s="185">
        <f>'Projected ABP RECs'!O178+'Indexed REC Activities'!S94</f>
        <v>5363614.0267258063</v>
      </c>
      <c r="Y146" s="185">
        <f>'Projected ABP RECs'!P178+'Indexed REC Activities'!T94</f>
        <v>5346795.956592177</v>
      </c>
      <c r="Z146" s="185">
        <f>'Projected ABP RECs'!Q178+'Indexed REC Activities'!U94</f>
        <v>5330061.9768092167</v>
      </c>
      <c r="AA146" s="185">
        <f>'Projected ABP RECs'!R178+'Indexed REC Activities'!V94</f>
        <v>5313411.6669251705</v>
      </c>
      <c r="AB146" s="185">
        <f>'Projected ABP RECs'!S178+'Indexed REC Activities'!W94</f>
        <v>5296844.6085905442</v>
      </c>
      <c r="AC146" s="185">
        <f>'Projected ABP RECs'!T178+'Indexed REC Activities'!X94</f>
        <v>5280360.3855475914</v>
      </c>
      <c r="AD146" s="185">
        <f>'Projected ABP RECs'!U178+'Indexed REC Activities'!Y94</f>
        <v>5263958.5836198535</v>
      </c>
      <c r="AE146" s="185" t="e">
        <f>'Projected ABP RECs'!#REF!+'Indexed REC Activities'!Z94</f>
        <v>#REF!</v>
      </c>
      <c r="AF146" s="185"/>
    </row>
    <row r="147" spans="3:32" x14ac:dyDescent="0.35">
      <c r="C147" s="180" t="s">
        <v>292</v>
      </c>
      <c r="D147" s="181">
        <f>'REC Spend projected'!O10</f>
        <v>50000000</v>
      </c>
      <c r="E147" s="181">
        <f>'REC Spend projected'!N10</f>
        <v>0</v>
      </c>
      <c r="F147" s="181">
        <f>'REC Spend projected'!M10</f>
        <v>16888811.399599317</v>
      </c>
      <c r="G147" s="181">
        <f t="shared" si="18"/>
        <v>66888811.399599314</v>
      </c>
      <c r="J147" s="1" t="s">
        <v>98</v>
      </c>
      <c r="L147" s="185">
        <f>'Projected ABP RECs'!C179</f>
        <v>0</v>
      </c>
      <c r="M147" s="185">
        <f>'Projected ABP RECs'!D179</f>
        <v>0</v>
      </c>
      <c r="N147" s="185">
        <f>'Projected ABP RECs'!E179</f>
        <v>0</v>
      </c>
      <c r="O147" s="185">
        <f>'Projected ABP RECs'!F179+'Indexed REC Activities'!J95</f>
        <v>0</v>
      </c>
      <c r="P147" s="185">
        <f>'Projected ABP RECs'!G179+'Indexed REC Activities'!K95</f>
        <v>0</v>
      </c>
      <c r="Q147" s="185">
        <f>'Projected ABP RECs'!H179+'Indexed REC Activities'!L95</f>
        <v>0</v>
      </c>
      <c r="R147" s="185">
        <f>'Projected ABP RECs'!I179+'Indexed REC Activities'!M95</f>
        <v>0</v>
      </c>
      <c r="S147" s="185">
        <f>'Projected ABP RECs'!J179+'Indexed REC Activities'!N95</f>
        <v>0</v>
      </c>
      <c r="T147" s="185">
        <f>'Projected ABP RECs'!K179+'Indexed REC Activities'!O95</f>
        <v>569202.00562930212</v>
      </c>
      <c r="U147" s="185">
        <f>'Projected ABP RECs'!L179+'Indexed REC Activities'!P95</f>
        <v>1196708.8679558067</v>
      </c>
      <c r="V147" s="185">
        <f>'Projected ABP RECs'!M179+'Indexed REC Activities'!Q95</f>
        <v>1363601.2583860275</v>
      </c>
      <c r="W147" s="185">
        <f>'Projected ABP RECs'!N179+'Indexed REC Activities'!R95</f>
        <v>3156783.2520940974</v>
      </c>
      <c r="X147" s="185">
        <f>'Projected ABP RECs'!O179+'Indexed REC Activities'!S95</f>
        <v>4945999.3358336277</v>
      </c>
      <c r="Y147" s="185">
        <f>'Projected ABP RECs'!P179+'Indexed REC Activities'!T95</f>
        <v>4931269.3391544595</v>
      </c>
      <c r="Z147" s="185">
        <f>'Projected ABP RECs'!Q179+'Indexed REC Activities'!U95</f>
        <v>4916612.9924586862</v>
      </c>
      <c r="AA147" s="185">
        <f>'Projected ABP RECs'!R179+'Indexed REC Activities'!V95</f>
        <v>4902029.9274963932</v>
      </c>
      <c r="AB147" s="185">
        <f>'Projected ABP RECs'!S179+'Indexed REC Activities'!W95</f>
        <v>4887519.7778589111</v>
      </c>
      <c r="AC147" s="185">
        <f>'Projected ABP RECs'!T179+'Indexed REC Activities'!X95</f>
        <v>6373082.178969617</v>
      </c>
      <c r="AD147" s="185">
        <f>'Projected ABP RECs'!U179+'Indexed REC Activities'!Y95</f>
        <v>4858716.7680747686</v>
      </c>
      <c r="AE147" s="185" t="e">
        <f>'Projected ABP RECs'!#REF!+'Indexed REC Activities'!Z95</f>
        <v>#REF!</v>
      </c>
      <c r="AF147" s="185"/>
    </row>
    <row r="148" spans="3:32" x14ac:dyDescent="0.35">
      <c r="C148" s="180" t="s">
        <v>293</v>
      </c>
      <c r="D148" s="181">
        <f>'REC Spend projected'!O11</f>
        <v>50000000</v>
      </c>
      <c r="E148" s="181">
        <f>'REC Spend projected'!N11</f>
        <v>10000000</v>
      </c>
      <c r="F148" s="181">
        <f>'REC Spend projected'!M11</f>
        <v>16862404.659270328</v>
      </c>
      <c r="G148" s="181">
        <f t="shared" si="18"/>
        <v>76862404.659270331</v>
      </c>
      <c r="J148" s="1" t="s">
        <v>99</v>
      </c>
      <c r="L148" s="185">
        <f>'Projected ABP RECs'!C180</f>
        <v>0</v>
      </c>
      <c r="M148" s="185">
        <f>'Projected ABP RECs'!D180</f>
        <v>0</v>
      </c>
      <c r="N148" s="185">
        <f>'Projected ABP RECs'!E180</f>
        <v>0</v>
      </c>
      <c r="O148" s="185">
        <f>'Projected ABP RECs'!F180+'Indexed REC Activities'!J96</f>
        <v>0</v>
      </c>
      <c r="P148" s="185">
        <f>'Projected ABP RECs'!G180+'Indexed REC Activities'!K96</f>
        <v>0</v>
      </c>
      <c r="Q148" s="185">
        <f>'Projected ABP RECs'!H180+'Indexed REC Activities'!L96</f>
        <v>0</v>
      </c>
      <c r="R148" s="185">
        <f>'Projected ABP RECs'!I180+'Indexed REC Activities'!M96</f>
        <v>0</v>
      </c>
      <c r="S148" s="185">
        <f>'Projected ABP RECs'!J180+'Indexed REC Activities'!N96</f>
        <v>0</v>
      </c>
      <c r="T148" s="185">
        <f>'Projected ABP RECs'!K180+'Indexed REC Activities'!O96</f>
        <v>0</v>
      </c>
      <c r="U148" s="185">
        <f>'Projected ABP RECs'!L180+'Indexed REC Activities'!P96</f>
        <v>0</v>
      </c>
      <c r="V148" s="185">
        <f>'Projected ABP RECs'!M180+'Indexed REC Activities'!Q96</f>
        <v>284601.00281465106</v>
      </c>
      <c r="W148" s="185">
        <f>'Projected ABP RECs'!N180+'Indexed REC Activities'!R96</f>
        <v>740654.93538522883</v>
      </c>
      <c r="X148" s="185">
        <f>'Projected ABP RECs'!O180+'Indexed REC Activities'!S96</f>
        <v>909827.59547830268</v>
      </c>
      <c r="Y148" s="185">
        <f>'Projected ABP RECs'!P180+'Indexed REC Activities'!T96</f>
        <v>2705278.4575009113</v>
      </c>
      <c r="Z148" s="185">
        <f>'Projected ABP RECs'!Q180+'Indexed REC Activities'!U96</f>
        <v>4496752.0652134065</v>
      </c>
      <c r="AA148" s="185">
        <f>'Projected ABP RECs'!R180+'Indexed REC Activities'!V96</f>
        <v>4484268.3048873395</v>
      </c>
      <c r="AB148" s="185">
        <f>'Projected ABP RECs'!S180+'Indexed REC Activities'!W96</f>
        <v>4471846.9633629024</v>
      </c>
      <c r="AC148" s="185">
        <f>'Projected ABP RECs'!T180+'Indexed REC Activities'!X96</f>
        <v>4459487.7285460886</v>
      </c>
      <c r="AD148" s="185">
        <f>'Projected ABP RECs'!U180+'Indexed REC Activities'!Y96</f>
        <v>4447190.2899033586</v>
      </c>
      <c r="AE148" s="185" t="e">
        <f>'Projected ABP RECs'!#REF!+'Indexed REC Activities'!Z96</f>
        <v>#REF!</v>
      </c>
      <c r="AF148" s="185"/>
    </row>
    <row r="149" spans="3:32" x14ac:dyDescent="0.35">
      <c r="C149" s="180" t="s">
        <v>294</v>
      </c>
      <c r="D149" s="181">
        <f>'REC Spend projected'!O12</f>
        <v>50000000</v>
      </c>
      <c r="E149" s="181">
        <f>'REC Spend projected'!N12</f>
        <v>0</v>
      </c>
      <c r="F149" s="181">
        <f>'REC Spend projected'!M12</f>
        <v>16906426.967615873</v>
      </c>
      <c r="G149" s="181">
        <f t="shared" si="18"/>
        <v>66906426.967615873</v>
      </c>
      <c r="J149" s="1" t="s">
        <v>100</v>
      </c>
      <c r="L149" s="185">
        <f>'Projected ABP RECs'!C181</f>
        <v>0</v>
      </c>
      <c r="M149" s="185">
        <f>'Projected ABP RECs'!D181</f>
        <v>0</v>
      </c>
      <c r="N149" s="185">
        <f>'Projected ABP RECs'!E181</f>
        <v>0</v>
      </c>
      <c r="O149" s="185">
        <f>'Projected ABP RECs'!F181+'Indexed REC Activities'!J97</f>
        <v>0</v>
      </c>
      <c r="P149" s="185">
        <f>'Projected ABP RECs'!G181+'Indexed REC Activities'!K97</f>
        <v>0</v>
      </c>
      <c r="Q149" s="185">
        <f>'Projected ABP RECs'!H181+'Indexed REC Activities'!L97</f>
        <v>0</v>
      </c>
      <c r="R149" s="185">
        <f>'Projected ABP RECs'!I181+'Indexed REC Activities'!M97</f>
        <v>0</v>
      </c>
      <c r="S149" s="185">
        <f>'Projected ABP RECs'!J181+'Indexed REC Activities'!N97</f>
        <v>0</v>
      </c>
      <c r="T149" s="185">
        <f>'Projected ABP RECs'!K181+'Indexed REC Activities'!O97</f>
        <v>0</v>
      </c>
      <c r="U149" s="185">
        <f>'Projected ABP RECs'!L181+'Indexed REC Activities'!P97</f>
        <v>0</v>
      </c>
      <c r="V149" s="185">
        <f>'Projected ABP RECs'!M181+'Indexed REC Activities'!Q97</f>
        <v>0</v>
      </c>
      <c r="W149" s="185">
        <f>'Projected ABP RECs'!N181+'Indexed REC Activities'!R97</f>
        <v>0</v>
      </c>
      <c r="X149" s="185">
        <f>'Projected ABP RECs'!O181+'Indexed REC Activities'!S97</f>
        <v>284601.00281465106</v>
      </c>
      <c r="Y149" s="185">
        <f>'Projected ABP RECs'!P181+'Indexed REC Activities'!T97</f>
        <v>740654.93538522883</v>
      </c>
      <c r="Z149" s="185">
        <f>'Projected ABP RECs'!Q181+'Indexed REC Activities'!U97</f>
        <v>909827.59547830268</v>
      </c>
      <c r="AA149" s="185">
        <f>'Projected ABP RECs'!R181+'Indexed REC Activities'!V97</f>
        <v>2705278.4575009113</v>
      </c>
      <c r="AB149" s="185">
        <f>'Projected ABP RECs'!S181+'Indexed REC Activities'!W97</f>
        <v>4496752.0652134065</v>
      </c>
      <c r="AC149" s="185">
        <f>'Projected ABP RECs'!T181+'Indexed REC Activities'!X97</f>
        <v>4484268.3048873395</v>
      </c>
      <c r="AD149" s="185">
        <f>'Projected ABP RECs'!U181+'Indexed REC Activities'!Y97</f>
        <v>4471846.9633629024</v>
      </c>
      <c r="AE149" s="185" t="e">
        <f>'Projected ABP RECs'!#REF!+'Indexed REC Activities'!Z97</f>
        <v>#REF!</v>
      </c>
      <c r="AF149" s="185"/>
    </row>
    <row r="150" spans="3:32" x14ac:dyDescent="0.35">
      <c r="C150" s="180" t="s">
        <v>295</v>
      </c>
      <c r="D150" s="181">
        <f>'REC Spend projected'!O13</f>
        <v>50000000</v>
      </c>
      <c r="E150" s="181">
        <f>'REC Spend projected'!N13</f>
        <v>0</v>
      </c>
      <c r="F150" s="181">
        <f>'REC Spend projected'!M13</f>
        <v>16920397.12592769</v>
      </c>
      <c r="G150" s="181">
        <f t="shared" si="18"/>
        <v>66920397.125927687</v>
      </c>
      <c r="J150" s="1" t="s">
        <v>101</v>
      </c>
      <c r="L150" s="185">
        <f>'Projected ABP RECs'!C182</f>
        <v>0</v>
      </c>
      <c r="M150" s="185">
        <f>'Projected ABP RECs'!D182</f>
        <v>0</v>
      </c>
      <c r="N150" s="185">
        <f>'Projected ABP RECs'!E182</f>
        <v>0</v>
      </c>
      <c r="O150" s="185">
        <f>'Projected ABP RECs'!F182+'Indexed REC Activities'!J98</f>
        <v>0</v>
      </c>
      <c r="P150" s="185">
        <f>'Projected ABP RECs'!G182+'Indexed REC Activities'!K98</f>
        <v>0</v>
      </c>
      <c r="Q150" s="185">
        <f>'Projected ABP RECs'!H182+'Indexed REC Activities'!L98</f>
        <v>0</v>
      </c>
      <c r="R150" s="185">
        <f>'Projected ABP RECs'!I182+'Indexed REC Activities'!M98</f>
        <v>0</v>
      </c>
      <c r="S150" s="185">
        <f>'Projected ABP RECs'!J182+'Indexed REC Activities'!N98</f>
        <v>0</v>
      </c>
      <c r="T150" s="185">
        <f>'Projected ABP RECs'!K182+'Indexed REC Activities'!O98</f>
        <v>0</v>
      </c>
      <c r="U150" s="185">
        <f>'Projected ABP RECs'!L182+'Indexed REC Activities'!P98</f>
        <v>0</v>
      </c>
      <c r="V150" s="185">
        <f>'Projected ABP RECs'!M182+'Indexed REC Activities'!Q98</f>
        <v>0</v>
      </c>
      <c r="W150" s="185">
        <f>'Projected ABP RECs'!N182+'Indexed REC Activities'!R98</f>
        <v>0</v>
      </c>
      <c r="X150" s="185">
        <f>'Projected ABP RECs'!O182+'Indexed REC Activities'!S98</f>
        <v>0</v>
      </c>
      <c r="Y150" s="185">
        <f>'Projected ABP RECs'!P182+'Indexed REC Activities'!T98</f>
        <v>0</v>
      </c>
      <c r="Z150" s="185">
        <f>'Projected ABP RECs'!Q182+'Indexed REC Activities'!U98</f>
        <v>284601.00281465106</v>
      </c>
      <c r="AA150" s="185">
        <f>'Projected ABP RECs'!R182+'Indexed REC Activities'!V98</f>
        <v>740654.93538522883</v>
      </c>
      <c r="AB150" s="185">
        <f>'Projected ABP RECs'!S182+'Indexed REC Activities'!W98</f>
        <v>909827.59547830268</v>
      </c>
      <c r="AC150" s="185">
        <f>'Projected ABP RECs'!T182+'Indexed REC Activities'!X98</f>
        <v>2705278.4575009113</v>
      </c>
      <c r="AD150" s="185">
        <f>'Projected ABP RECs'!U182+'Indexed REC Activities'!Y98</f>
        <v>4496752.0652134065</v>
      </c>
      <c r="AE150" s="185" t="e">
        <f>'Projected ABP RECs'!#REF!+'Indexed REC Activities'!Z98</f>
        <v>#REF!</v>
      </c>
      <c r="AF150" s="185"/>
    </row>
    <row r="151" spans="3:32" x14ac:dyDescent="0.35">
      <c r="C151" s="180" t="s">
        <v>296</v>
      </c>
      <c r="D151" s="181">
        <f>'REC Spend projected'!O14</f>
        <v>50000000</v>
      </c>
      <c r="E151" s="181">
        <f>'REC Spend projected'!N14</f>
        <v>10000000</v>
      </c>
      <c r="F151" s="181">
        <f>'REC Spend projected'!M14</f>
        <v>17023386.929470729</v>
      </c>
      <c r="G151" s="181">
        <f t="shared" si="18"/>
        <v>77023386.929470733</v>
      </c>
      <c r="J151" s="1" t="s">
        <v>102</v>
      </c>
      <c r="L151" s="185">
        <f>'Projected ABP RECs'!C183</f>
        <v>0</v>
      </c>
      <c r="M151" s="185">
        <f>'Projected ABP RECs'!D183</f>
        <v>0</v>
      </c>
      <c r="N151" s="185">
        <f>'Projected ABP RECs'!E183</f>
        <v>0</v>
      </c>
      <c r="O151" s="185">
        <f>'Projected ABP RECs'!F183+'Indexed REC Activities'!J99</f>
        <v>0</v>
      </c>
      <c r="P151" s="185">
        <f>'Projected ABP RECs'!G183+'Indexed REC Activities'!K99</f>
        <v>0</v>
      </c>
      <c r="Q151" s="185">
        <f>'Projected ABP RECs'!H183+'Indexed REC Activities'!L99</f>
        <v>0</v>
      </c>
      <c r="R151" s="185">
        <f>'Projected ABP RECs'!I183+'Indexed REC Activities'!M99</f>
        <v>0</v>
      </c>
      <c r="S151" s="185">
        <f>'Projected ABP RECs'!J183+'Indexed REC Activities'!N99</f>
        <v>0</v>
      </c>
      <c r="T151" s="185">
        <f>'Projected ABP RECs'!K183+'Indexed REC Activities'!O99</f>
        <v>0</v>
      </c>
      <c r="U151" s="185">
        <f>'Projected ABP RECs'!L183+'Indexed REC Activities'!P99</f>
        <v>0</v>
      </c>
      <c r="V151" s="185">
        <f>'Projected ABP RECs'!M183+'Indexed REC Activities'!Q99</f>
        <v>0</v>
      </c>
      <c r="W151" s="185">
        <f>'Projected ABP RECs'!N183+'Indexed REC Activities'!R99</f>
        <v>0</v>
      </c>
      <c r="X151" s="185">
        <f>'Projected ABP RECs'!O183+'Indexed REC Activities'!S99</f>
        <v>0</v>
      </c>
      <c r="Y151" s="185">
        <f>'Projected ABP RECs'!P183+'Indexed REC Activities'!T99</f>
        <v>0</v>
      </c>
      <c r="Z151" s="185">
        <f>'Projected ABP RECs'!Q183+'Indexed REC Activities'!U99</f>
        <v>0</v>
      </c>
      <c r="AA151" s="185">
        <f>'Projected ABP RECs'!R183+'Indexed REC Activities'!V99</f>
        <v>0</v>
      </c>
      <c r="AB151" s="185">
        <f>'Projected ABP RECs'!S183+'Indexed REC Activities'!W99</f>
        <v>569202.00562930212</v>
      </c>
      <c r="AC151" s="185">
        <f>'Projected ABP RECs'!T183+'Indexed REC Activities'!X99</f>
        <v>912107.86514115555</v>
      </c>
      <c r="AD151" s="185">
        <f>'Projected ABP RECs'!U183+'Indexed REC Activities'!Y99</f>
        <v>907547.32581544982</v>
      </c>
      <c r="AE151" s="185" t="e">
        <f>'Projected ABP RECs'!#REF!+'Indexed REC Activities'!Z99</f>
        <v>#REF!</v>
      </c>
      <c r="AF151" s="185"/>
    </row>
    <row r="152" spans="3:32" x14ac:dyDescent="0.35">
      <c r="C152" s="32" t="s">
        <v>297</v>
      </c>
      <c r="D152" s="181">
        <f>'REC Spend projected'!O15</f>
        <v>50000000</v>
      </c>
      <c r="E152" s="181">
        <f>'REC Spend projected'!N15</f>
        <v>0</v>
      </c>
      <c r="F152" s="181">
        <f>'REC Spend projected'!M15</f>
        <v>17120451.256649822</v>
      </c>
      <c r="G152" s="181">
        <f t="shared" si="18"/>
        <v>67120451.256649822</v>
      </c>
      <c r="J152" s="172"/>
      <c r="K152" s="172"/>
      <c r="L152" s="172"/>
      <c r="M152" s="172"/>
      <c r="N152" s="172"/>
      <c r="O152" s="172"/>
      <c r="P152" s="172"/>
      <c r="Q152" s="172"/>
      <c r="R152" s="172"/>
    </row>
    <row r="153" spans="3:32" x14ac:dyDescent="0.35">
      <c r="C153" s="180" t="s">
        <v>298</v>
      </c>
      <c r="D153" s="181">
        <f>'REC Spend projected'!O16</f>
        <v>50000000</v>
      </c>
      <c r="E153" s="181">
        <f>'REC Spend projected'!N16</f>
        <v>0</v>
      </c>
      <c r="F153" s="181">
        <f>'REC Spend projected'!M16</f>
        <v>17234402.603198845</v>
      </c>
      <c r="G153" s="181">
        <f t="shared" si="18"/>
        <v>67234402.603198841</v>
      </c>
      <c r="J153" s="172"/>
      <c r="K153" s="172"/>
      <c r="L153" s="172"/>
      <c r="M153" s="172"/>
      <c r="N153" s="172"/>
      <c r="O153" s="172"/>
      <c r="P153" s="172"/>
      <c r="Q153" s="172"/>
      <c r="R153" s="172"/>
    </row>
    <row r="154" spans="3:32" x14ac:dyDescent="0.35">
      <c r="C154" s="180" t="s">
        <v>299</v>
      </c>
      <c r="D154" s="181">
        <f>'REC Spend projected'!O17</f>
        <v>50000000</v>
      </c>
      <c r="E154" s="181">
        <f>'REC Spend projected'!N17</f>
        <v>0</v>
      </c>
      <c r="F154" s="181">
        <f>'REC Spend projected'!M17</f>
        <v>17289396.046359867</v>
      </c>
      <c r="G154" s="181">
        <f t="shared" si="18"/>
        <v>67289396.046359867</v>
      </c>
      <c r="J154" s="172"/>
      <c r="K154" s="172"/>
      <c r="L154" s="172"/>
      <c r="M154" s="172"/>
      <c r="N154" s="172"/>
      <c r="O154" s="172"/>
      <c r="P154" s="172"/>
      <c r="Q154" s="172"/>
      <c r="R154" s="172"/>
    </row>
    <row r="155" spans="3:32" x14ac:dyDescent="0.35">
      <c r="C155" s="180" t="s">
        <v>300</v>
      </c>
      <c r="D155" s="181">
        <f>'REC Spend projected'!O18</f>
        <v>50000000</v>
      </c>
      <c r="E155" s="181">
        <f>'REC Spend projected'!N18</f>
        <v>0</v>
      </c>
      <c r="F155" s="181">
        <f>'REC Spend projected'!M18</f>
        <v>17378693.799014561</v>
      </c>
      <c r="G155" s="181">
        <f t="shared" si="18"/>
        <v>67378693.799014568</v>
      </c>
      <c r="J155" s="172"/>
      <c r="K155" s="172"/>
      <c r="L155" s="172"/>
      <c r="M155" s="172"/>
      <c r="N155" s="172"/>
      <c r="O155" s="172"/>
      <c r="P155" s="172"/>
      <c r="Q155" s="172"/>
      <c r="R155" s="172"/>
    </row>
    <row r="156" spans="3:32" x14ac:dyDescent="0.35">
      <c r="C156" s="180" t="s">
        <v>301</v>
      </c>
      <c r="D156" s="181">
        <f>'REC Spend projected'!O19</f>
        <v>50000000</v>
      </c>
      <c r="E156" s="181">
        <f>'REC Spend projected'!N19</f>
        <v>0</v>
      </c>
      <c r="F156" s="181">
        <f>'REC Spend projected'!M19</f>
        <v>17444210.839039307</v>
      </c>
      <c r="G156" s="181">
        <f t="shared" si="18"/>
        <v>67444210.839039311</v>
      </c>
      <c r="J156" s="172"/>
      <c r="K156" s="172"/>
      <c r="L156" s="172"/>
      <c r="M156" s="172"/>
      <c r="N156" s="172"/>
      <c r="O156" s="172"/>
      <c r="P156" s="172"/>
      <c r="Q156" s="172"/>
      <c r="R156" s="172"/>
    </row>
    <row r="157" spans="3:32" x14ac:dyDescent="0.35">
      <c r="C157" s="180" t="s">
        <v>302</v>
      </c>
      <c r="D157" s="181">
        <f>'REC Spend projected'!O20</f>
        <v>50000000</v>
      </c>
      <c r="E157" s="181">
        <f>'REC Spend projected'!N20</f>
        <v>0</v>
      </c>
      <c r="F157" s="181">
        <f>'REC Spend projected'!M20</f>
        <v>17522169.661825232</v>
      </c>
      <c r="G157" s="181">
        <f t="shared" si="18"/>
        <v>67522169.66182524</v>
      </c>
      <c r="J157" s="172"/>
      <c r="K157" s="172"/>
      <c r="L157" s="172"/>
      <c r="M157" s="172"/>
      <c r="N157" s="172"/>
      <c r="O157" s="172"/>
      <c r="P157" s="172"/>
      <c r="Q157" s="172"/>
      <c r="R157" s="172"/>
    </row>
    <row r="158" spans="3:32" x14ac:dyDescent="0.35">
      <c r="C158" s="180" t="s">
        <v>303</v>
      </c>
      <c r="D158" s="181">
        <f>'REC Spend projected'!O21</f>
        <v>50000000</v>
      </c>
      <c r="E158" s="181">
        <f>'REC Spend projected'!N21</f>
        <v>0</v>
      </c>
      <c r="F158" s="181">
        <f>'REC Spend projected'!M21</f>
        <v>17559698.762090176</v>
      </c>
      <c r="G158" s="181">
        <f t="shared" si="18"/>
        <v>67559698.762090176</v>
      </c>
      <c r="J158" s="172"/>
      <c r="K158" s="172"/>
      <c r="L158" s="172"/>
      <c r="M158" s="172"/>
      <c r="N158" s="172"/>
      <c r="O158" s="172"/>
      <c r="P158" s="172"/>
      <c r="Q158" s="172"/>
      <c r="R158" s="172"/>
    </row>
    <row r="159" spans="3:32" x14ac:dyDescent="0.35">
      <c r="C159" s="180" t="s">
        <v>304</v>
      </c>
      <c r="D159" s="181">
        <f>'REC Spend projected'!O22</f>
        <v>50000000</v>
      </c>
      <c r="E159" s="181">
        <f>'REC Spend projected'!N22</f>
        <v>0</v>
      </c>
      <c r="F159" s="181">
        <f>'REC Spend projected'!M22</f>
        <v>17642751.566603485</v>
      </c>
      <c r="G159" s="181">
        <f t="shared" si="18"/>
        <v>67642751.566603482</v>
      </c>
      <c r="J159" s="172"/>
      <c r="K159" s="172"/>
      <c r="L159" s="172"/>
      <c r="M159" s="172"/>
      <c r="N159" s="172"/>
      <c r="O159" s="172"/>
      <c r="P159" s="172"/>
      <c r="Q159" s="172"/>
      <c r="R159" s="172"/>
    </row>
    <row r="160" spans="3:32" x14ac:dyDescent="0.35">
      <c r="C160" s="180" t="s">
        <v>305</v>
      </c>
      <c r="D160" s="181">
        <f>'REC Spend projected'!O23</f>
        <v>50000000</v>
      </c>
      <c r="E160" s="181">
        <f>'REC Spend projected'!N23</f>
        <v>0</v>
      </c>
      <c r="F160" s="181">
        <f>'REC Spend projected'!M23</f>
        <v>17710238.723197304</v>
      </c>
      <c r="G160" s="181">
        <f t="shared" si="18"/>
        <v>67710238.723197311</v>
      </c>
      <c r="J160" s="172"/>
      <c r="K160" s="172"/>
      <c r="L160" s="172"/>
      <c r="M160" s="172"/>
      <c r="N160" s="172"/>
      <c r="O160" s="172"/>
      <c r="P160" s="172"/>
      <c r="Q160" s="172"/>
      <c r="R160" s="172"/>
    </row>
    <row r="161" spans="2:18" x14ac:dyDescent="0.35">
      <c r="C161" s="180" t="s">
        <v>306</v>
      </c>
      <c r="D161" s="181">
        <f>'REC Spend projected'!O24</f>
        <v>50000000</v>
      </c>
      <c r="E161" s="181">
        <f>'REC Spend projected'!N24</f>
        <v>0</v>
      </c>
      <c r="F161" s="181">
        <f>'REC Spend projected'!M24</f>
        <v>17790826.711418759</v>
      </c>
      <c r="G161" s="181">
        <f t="shared" si="18"/>
        <v>67790826.711418763</v>
      </c>
      <c r="J161" s="172"/>
      <c r="K161" s="172"/>
      <c r="L161" s="172"/>
      <c r="M161" s="172"/>
      <c r="N161" s="172"/>
      <c r="O161" s="172"/>
      <c r="P161" s="172"/>
      <c r="Q161" s="172"/>
      <c r="R161" s="172"/>
    </row>
    <row r="162" spans="2:18" x14ac:dyDescent="0.35">
      <c r="C162" s="180" t="s">
        <v>307</v>
      </c>
      <c r="D162" s="181">
        <f>'REC Spend projected'!O25</f>
        <v>50000000</v>
      </c>
      <c r="E162" s="181">
        <f>'REC Spend projected'!N25</f>
        <v>0</v>
      </c>
      <c r="F162" s="181">
        <f>'REC Spend projected'!M25</f>
        <v>17846294.061737649</v>
      </c>
      <c r="G162" s="181">
        <f t="shared" si="18"/>
        <v>67846294.061737657</v>
      </c>
      <c r="J162" s="172"/>
      <c r="K162" s="172"/>
      <c r="L162" s="172"/>
      <c r="M162" s="172"/>
      <c r="N162" s="172"/>
      <c r="O162" s="172"/>
      <c r="P162" s="172"/>
      <c r="Q162" s="172"/>
      <c r="R162" s="172"/>
    </row>
    <row r="163" spans="2:18" x14ac:dyDescent="0.35">
      <c r="C163" s="180" t="s">
        <v>308</v>
      </c>
      <c r="D163" s="181">
        <f>'REC Spend projected'!O26</f>
        <v>50000000</v>
      </c>
      <c r="E163" s="181">
        <f>'REC Spend projected'!N26</f>
        <v>0</v>
      </c>
      <c r="F163" s="181">
        <f>'REC Spend projected'!M26</f>
        <v>17902792.457592066</v>
      </c>
      <c r="G163" s="181">
        <f t="shared" si="18"/>
        <v>67902792.45759207</v>
      </c>
      <c r="J163" s="172"/>
      <c r="K163" s="172"/>
      <c r="L163" s="172"/>
      <c r="M163" s="172"/>
      <c r="N163" s="172"/>
      <c r="O163" s="172"/>
      <c r="P163" s="172"/>
      <c r="Q163" s="172"/>
      <c r="R163" s="172"/>
    </row>
    <row r="164" spans="2:18" x14ac:dyDescent="0.35">
      <c r="F164" s="39"/>
      <c r="J164" s="172"/>
      <c r="K164" s="172"/>
      <c r="L164" s="172"/>
      <c r="M164" s="172"/>
      <c r="N164" s="172"/>
      <c r="O164" s="172"/>
      <c r="P164" s="172"/>
      <c r="Q164" s="172"/>
      <c r="R164" s="172"/>
    </row>
    <row r="165" spans="2:18" x14ac:dyDescent="0.35">
      <c r="B165" s="33" t="s">
        <v>336</v>
      </c>
      <c r="F165" s="39"/>
      <c r="J165" s="172"/>
    </row>
    <row r="166" spans="2:18" ht="29" x14ac:dyDescent="0.35">
      <c r="C166" s="15" t="s">
        <v>1</v>
      </c>
      <c r="D166" s="15" t="s">
        <v>337</v>
      </c>
      <c r="E166" s="15" t="s">
        <v>338</v>
      </c>
      <c r="F166" s="15" t="s">
        <v>339</v>
      </c>
      <c r="H166" s="258"/>
      <c r="I166" s="258"/>
    </row>
    <row r="167" spans="2:18" x14ac:dyDescent="0.35">
      <c r="C167" s="180" t="s">
        <v>286</v>
      </c>
      <c r="D167" s="28">
        <f>E5</f>
        <v>279553.89230000001</v>
      </c>
      <c r="E167" s="223">
        <f>D5</f>
        <v>2560409</v>
      </c>
      <c r="F167" s="37">
        <f>F5</f>
        <v>2839962.8922999999</v>
      </c>
      <c r="H167" s="52"/>
      <c r="J167" s="258"/>
      <c r="K167" s="258"/>
    </row>
    <row r="168" spans="2:18" x14ac:dyDescent="0.35">
      <c r="C168" s="180" t="s">
        <v>287</v>
      </c>
      <c r="D168" s="28">
        <f t="shared" ref="D168:D189" si="19">E6</f>
        <v>1594222.1079333334</v>
      </c>
      <c r="E168" s="223">
        <f t="shared" ref="E168:E189" si="20">D6</f>
        <v>3895928</v>
      </c>
      <c r="F168" s="37">
        <f t="shared" ref="F168:F189" si="21">F6</f>
        <v>5490150.1079333331</v>
      </c>
      <c r="H168" s="52"/>
      <c r="I168" s="172"/>
    </row>
    <row r="169" spans="2:18" x14ac:dyDescent="0.35">
      <c r="C169" s="180" t="s">
        <v>288</v>
      </c>
      <c r="D169" s="28">
        <f t="shared" si="19"/>
        <v>2859362.2002666667</v>
      </c>
      <c r="E169" s="223">
        <f t="shared" si="20"/>
        <v>3895928</v>
      </c>
      <c r="F169" s="37">
        <f t="shared" si="21"/>
        <v>6755290.2002666667</v>
      </c>
      <c r="H169" s="52"/>
      <c r="I169" s="172"/>
      <c r="J169" s="21"/>
      <c r="K169" s="39"/>
    </row>
    <row r="170" spans="2:18" x14ac:dyDescent="0.35">
      <c r="C170" s="180" t="s">
        <v>289</v>
      </c>
      <c r="D170" s="28">
        <f t="shared" si="19"/>
        <v>3248389.9221383333</v>
      </c>
      <c r="E170" s="223">
        <f t="shared" si="20"/>
        <v>3895928</v>
      </c>
      <c r="F170" s="37">
        <f t="shared" si="21"/>
        <v>7144317.9221383333</v>
      </c>
      <c r="H170" s="52"/>
      <c r="I170" s="172"/>
      <c r="J170" s="21"/>
      <c r="K170" s="39"/>
    </row>
    <row r="171" spans="2:18" x14ac:dyDescent="0.35">
      <c r="C171" s="180" t="s">
        <v>290</v>
      </c>
      <c r="D171" s="28">
        <f t="shared" si="19"/>
        <v>3976256.2654006416</v>
      </c>
      <c r="E171" s="223">
        <f t="shared" si="20"/>
        <v>3895928</v>
      </c>
      <c r="F171" s="37">
        <f t="shared" si="21"/>
        <v>7872184.2654006416</v>
      </c>
      <c r="H171" s="52"/>
      <c r="I171" s="172"/>
      <c r="J171" s="21"/>
      <c r="K171" s="39"/>
    </row>
    <row r="172" spans="2:18" x14ac:dyDescent="0.35">
      <c r="C172" s="180" t="s">
        <v>291</v>
      </c>
      <c r="D172" s="28">
        <f t="shared" si="19"/>
        <v>7116450.2219466381</v>
      </c>
      <c r="E172" s="223">
        <f t="shared" si="20"/>
        <v>4355928</v>
      </c>
      <c r="F172" s="37">
        <f t="shared" si="21"/>
        <v>11472378.221946638</v>
      </c>
      <c r="H172" s="52"/>
      <c r="I172" s="172"/>
      <c r="J172" s="21"/>
      <c r="K172" s="39"/>
    </row>
    <row r="173" spans="2:18" x14ac:dyDescent="0.35">
      <c r="C173" s="180" t="s">
        <v>292</v>
      </c>
      <c r="D173" s="28">
        <f t="shared" si="19"/>
        <v>8238254.828709905</v>
      </c>
      <c r="E173" s="223">
        <f t="shared" si="20"/>
        <v>4355928</v>
      </c>
      <c r="F173" s="37">
        <f t="shared" si="21"/>
        <v>12594182.828709904</v>
      </c>
      <c r="H173" s="52"/>
      <c r="I173" s="172"/>
      <c r="J173" s="21"/>
      <c r="K173" s="39"/>
    </row>
    <row r="174" spans="2:18" x14ac:dyDescent="0.35">
      <c r="C174" s="180" t="s">
        <v>293</v>
      </c>
      <c r="D174" s="28">
        <f t="shared" si="19"/>
        <v>8213110.9174393555</v>
      </c>
      <c r="E174" s="223">
        <f t="shared" si="20"/>
        <v>4355928</v>
      </c>
      <c r="F174" s="37">
        <f t="shared" si="21"/>
        <v>12569038.917439356</v>
      </c>
      <c r="H174" s="52"/>
      <c r="I174" s="172"/>
      <c r="J174" s="21"/>
      <c r="K174" s="39"/>
    </row>
    <row r="175" spans="2:18" x14ac:dyDescent="0.35">
      <c r="C175" s="180" t="s">
        <v>294</v>
      </c>
      <c r="D175" s="28">
        <f t="shared" si="19"/>
        <v>8188130.6257251594</v>
      </c>
      <c r="E175" s="223">
        <f t="shared" si="20"/>
        <v>4355928</v>
      </c>
      <c r="F175" s="37">
        <f t="shared" si="21"/>
        <v>12544058.625725159</v>
      </c>
      <c r="H175" s="52"/>
      <c r="I175" s="172"/>
      <c r="J175" s="21"/>
      <c r="K175" s="39"/>
    </row>
    <row r="176" spans="2:18" x14ac:dyDescent="0.35">
      <c r="C176" s="180" t="s">
        <v>295</v>
      </c>
      <c r="D176" s="28">
        <f t="shared" si="19"/>
        <v>8163204.5604695324</v>
      </c>
      <c r="E176" s="223">
        <f t="shared" si="20"/>
        <v>4355928</v>
      </c>
      <c r="F176" s="37">
        <f t="shared" si="21"/>
        <v>12519132.560469532</v>
      </c>
      <c r="H176" s="52"/>
      <c r="I176" s="172"/>
      <c r="J176" s="21"/>
      <c r="K176" s="39"/>
    </row>
    <row r="177" spans="2:11" x14ac:dyDescent="0.35">
      <c r="C177" s="180" t="s">
        <v>296</v>
      </c>
      <c r="D177" s="28">
        <f t="shared" si="19"/>
        <v>8138342.3305401858</v>
      </c>
      <c r="E177" s="223">
        <f t="shared" si="20"/>
        <v>4355928</v>
      </c>
      <c r="F177" s="37">
        <f t="shared" si="21"/>
        <v>12494270.330540186</v>
      </c>
      <c r="H177" s="52"/>
      <c r="I177" s="172"/>
      <c r="J177" s="21"/>
      <c r="K177" s="39"/>
    </row>
    <row r="178" spans="2:11" x14ac:dyDescent="0.35">
      <c r="C178" s="180" t="s">
        <v>297</v>
      </c>
      <c r="D178" s="28">
        <f t="shared" si="19"/>
        <v>8113777.5467604836</v>
      </c>
      <c r="E178" s="223">
        <f t="shared" si="20"/>
        <v>4355928</v>
      </c>
      <c r="F178" s="37">
        <f t="shared" si="21"/>
        <v>12469705.546760485</v>
      </c>
      <c r="H178" s="52"/>
      <c r="I178" s="172"/>
      <c r="J178" s="21"/>
      <c r="K178" s="39"/>
    </row>
    <row r="179" spans="2:11" x14ac:dyDescent="0.35">
      <c r="C179" s="180" t="s">
        <v>298</v>
      </c>
      <c r="D179" s="28">
        <f t="shared" si="19"/>
        <v>8057660.8218996814</v>
      </c>
      <c r="E179" s="223">
        <f t="shared" si="20"/>
        <v>2525519</v>
      </c>
      <c r="F179" s="37">
        <f t="shared" si="21"/>
        <v>10583179.821899682</v>
      </c>
      <c r="H179" s="52"/>
      <c r="I179" s="172"/>
      <c r="J179" s="21"/>
      <c r="K179" s="39"/>
    </row>
    <row r="180" spans="2:11" x14ac:dyDescent="0.35">
      <c r="C180" s="180" t="s">
        <v>299</v>
      </c>
      <c r="D180" s="28">
        <f t="shared" si="19"/>
        <v>8033231.7706631832</v>
      </c>
      <c r="E180" s="223">
        <f t="shared" si="20"/>
        <v>2095519</v>
      </c>
      <c r="F180" s="37">
        <f t="shared" si="21"/>
        <v>10128750.770663183</v>
      </c>
      <c r="H180" s="52"/>
      <c r="I180" s="172"/>
      <c r="J180" s="21"/>
      <c r="K180" s="39"/>
    </row>
    <row r="181" spans="2:11" x14ac:dyDescent="0.35">
      <c r="C181" s="180" t="s">
        <v>300</v>
      </c>
      <c r="D181" s="28">
        <f t="shared" si="19"/>
        <v>7868799.0096828677</v>
      </c>
      <c r="E181" s="223">
        <f t="shared" si="20"/>
        <v>2095519</v>
      </c>
      <c r="F181" s="37">
        <f t="shared" si="21"/>
        <v>9964318.0096828677</v>
      </c>
      <c r="H181" s="52"/>
      <c r="I181" s="172"/>
      <c r="J181" s="21"/>
      <c r="K181" s="39"/>
    </row>
    <row r="182" spans="2:11" x14ac:dyDescent="0.35">
      <c r="C182" s="180" t="s">
        <v>301</v>
      </c>
      <c r="D182" s="28">
        <f t="shared" si="19"/>
        <v>7827388.8652074533</v>
      </c>
      <c r="E182" s="223">
        <f t="shared" si="20"/>
        <v>1795519</v>
      </c>
      <c r="F182" s="37">
        <f t="shared" si="21"/>
        <v>9622907.8652074523</v>
      </c>
      <c r="H182" s="52"/>
      <c r="I182" s="172"/>
      <c r="J182" s="21"/>
      <c r="K182" s="39"/>
    </row>
    <row r="183" spans="2:11" x14ac:dyDescent="0.35">
      <c r="C183" s="180" t="s">
        <v>302</v>
      </c>
      <c r="D183" s="28">
        <f t="shared" si="19"/>
        <v>5488889.2599929152</v>
      </c>
      <c r="E183" s="223">
        <f t="shared" si="20"/>
        <v>460000</v>
      </c>
      <c r="F183" s="37">
        <f t="shared" si="21"/>
        <v>5948889.2599929152</v>
      </c>
      <c r="H183" s="52"/>
      <c r="I183" s="172"/>
      <c r="J183" s="21"/>
      <c r="K183" s="39"/>
    </row>
    <row r="184" spans="2:11" x14ac:dyDescent="0.35">
      <c r="C184" s="180" t="s">
        <v>303</v>
      </c>
      <c r="D184" s="28">
        <f t="shared" si="19"/>
        <v>5383164.088692951</v>
      </c>
      <c r="E184" s="223">
        <f t="shared" si="20"/>
        <v>460000</v>
      </c>
      <c r="F184" s="37">
        <f t="shared" si="21"/>
        <v>5843164.088692951</v>
      </c>
      <c r="H184" s="52"/>
      <c r="I184" s="172"/>
      <c r="J184" s="21"/>
      <c r="K184" s="39"/>
    </row>
    <row r="185" spans="2:11" x14ac:dyDescent="0.35">
      <c r="C185" s="180" t="s">
        <v>304</v>
      </c>
      <c r="D185" s="28">
        <f t="shared" si="19"/>
        <v>5308521.6932494864</v>
      </c>
      <c r="E185" s="223">
        <f t="shared" si="20"/>
        <v>460000</v>
      </c>
      <c r="F185" s="37">
        <f t="shared" si="21"/>
        <v>5768521.6932494864</v>
      </c>
      <c r="H185" s="52"/>
      <c r="I185" s="172"/>
      <c r="J185" s="21"/>
      <c r="K185" s="39"/>
    </row>
    <row r="186" spans="2:11" x14ac:dyDescent="0.35">
      <c r="C186" s="180" t="s">
        <v>305</v>
      </c>
      <c r="D186" s="28">
        <f t="shared" si="19"/>
        <v>5041814.6997832395</v>
      </c>
      <c r="E186" s="223">
        <f t="shared" si="20"/>
        <v>460000</v>
      </c>
      <c r="F186" s="37">
        <f t="shared" si="21"/>
        <v>5501814.6997832395</v>
      </c>
      <c r="H186" s="52"/>
      <c r="I186" s="172"/>
      <c r="J186" s="21"/>
      <c r="K186" s="39"/>
    </row>
    <row r="187" spans="2:11" x14ac:dyDescent="0.35">
      <c r="C187" s="180" t="s">
        <v>306</v>
      </c>
      <c r="D187" s="28">
        <f t="shared" si="19"/>
        <v>4904262.7362843221</v>
      </c>
      <c r="E187" s="223">
        <f t="shared" si="20"/>
        <v>460000</v>
      </c>
      <c r="F187" s="37">
        <f t="shared" si="21"/>
        <v>5364262.7362843221</v>
      </c>
      <c r="H187" s="52"/>
      <c r="I187" s="172"/>
      <c r="J187" s="21"/>
      <c r="K187" s="39"/>
    </row>
    <row r="188" spans="2:11" x14ac:dyDescent="0.35">
      <c r="C188" s="180" t="s">
        <v>307</v>
      </c>
      <c r="D188" s="28">
        <f t="shared" si="19"/>
        <v>4853524.4326029019</v>
      </c>
      <c r="E188" s="223">
        <f t="shared" si="20"/>
        <v>460000</v>
      </c>
      <c r="F188" s="37">
        <f t="shared" si="21"/>
        <v>5313524.4326029019</v>
      </c>
      <c r="H188" s="52"/>
      <c r="I188" s="172"/>
      <c r="J188" s="21"/>
      <c r="K188" s="39"/>
    </row>
    <row r="189" spans="2:11" x14ac:dyDescent="0.35">
      <c r="C189" s="180" t="s">
        <v>308</v>
      </c>
      <c r="D189" s="28">
        <f t="shared" si="19"/>
        <v>4407145.4204398869</v>
      </c>
      <c r="E189" s="223">
        <f t="shared" si="20"/>
        <v>460000</v>
      </c>
      <c r="F189" s="37">
        <f t="shared" si="21"/>
        <v>4867145.4204398869</v>
      </c>
      <c r="H189" s="52"/>
      <c r="I189" s="172"/>
      <c r="J189" s="21"/>
      <c r="K189" s="39"/>
    </row>
    <row r="190" spans="2:11" x14ac:dyDescent="0.35">
      <c r="J190" s="21"/>
      <c r="K190" s="39"/>
    </row>
    <row r="192" spans="2:11" ht="15" thickBot="1" x14ac:dyDescent="0.4">
      <c r="B192" t="s">
        <v>340</v>
      </c>
    </row>
    <row r="193" spans="2:8" ht="44" thickBot="1" x14ac:dyDescent="0.4">
      <c r="C193" s="224" t="s">
        <v>3</v>
      </c>
      <c r="D193" s="226" t="s">
        <v>341</v>
      </c>
      <c r="E193" s="226" t="s">
        <v>342</v>
      </c>
      <c r="F193" s="226" t="s">
        <v>343</v>
      </c>
      <c r="G193" s="225" t="s">
        <v>344</v>
      </c>
    </row>
    <row r="194" spans="2:8" ht="15" thickBot="1" x14ac:dyDescent="0.4">
      <c r="C194" s="227" t="s">
        <v>345</v>
      </c>
      <c r="D194" s="228">
        <f>'Collections and ACP'!E43</f>
        <v>33963264.598822832</v>
      </c>
      <c r="E194" s="229">
        <v>4.5754999999999999</v>
      </c>
      <c r="F194" s="230">
        <f>E194*D194</f>
        <v>155398917.17191386</v>
      </c>
      <c r="G194" s="231">
        <f>D194/$D$197</f>
        <v>0.28917572081192372</v>
      </c>
    </row>
    <row r="195" spans="2:8" ht="15" thickBot="1" x14ac:dyDescent="0.4">
      <c r="C195" s="227" t="s">
        <v>43</v>
      </c>
      <c r="D195" s="228">
        <f>'Collections and ACP'!E76</f>
        <v>82956872.015999988</v>
      </c>
      <c r="E195" s="229">
        <v>5.0247999999999999</v>
      </c>
      <c r="F195" s="230">
        <f>E195*D195</f>
        <v>416841690.5059967</v>
      </c>
      <c r="G195" s="231">
        <f>D195/$D$197</f>
        <v>0.70632530602964361</v>
      </c>
    </row>
    <row r="196" spans="2:8" ht="15" thickBot="1" x14ac:dyDescent="0.4">
      <c r="C196" s="232" t="s">
        <v>346</v>
      </c>
      <c r="D196" s="228">
        <f>'Collections and ACP'!E109</f>
        <v>528397.803846856</v>
      </c>
      <c r="E196" s="229">
        <v>2.625</v>
      </c>
      <c r="F196" s="230">
        <f>E196*D196</f>
        <v>1387044.2350979969</v>
      </c>
      <c r="G196" s="231">
        <f>D196/$D$197</f>
        <v>4.4989731584327173E-3</v>
      </c>
    </row>
    <row r="197" spans="2:8" x14ac:dyDescent="0.35">
      <c r="D197" s="21">
        <f>SUM(D194:D196)</f>
        <v>117448534.41866967</v>
      </c>
    </row>
    <row r="201" spans="2:8" ht="15" thickBot="1" x14ac:dyDescent="0.4"/>
    <row r="202" spans="2:8" ht="25.5" thickBot="1" x14ac:dyDescent="0.4">
      <c r="B202" t="s">
        <v>359</v>
      </c>
      <c r="C202" s="234" t="s">
        <v>1</v>
      </c>
      <c r="D202" s="235" t="s">
        <v>347</v>
      </c>
      <c r="E202" s="235" t="s">
        <v>348</v>
      </c>
      <c r="F202" s="235" t="s">
        <v>349</v>
      </c>
      <c r="G202" s="235" t="s">
        <v>350</v>
      </c>
      <c r="H202" s="235" t="s">
        <v>351</v>
      </c>
    </row>
    <row r="203" spans="2:8" x14ac:dyDescent="0.35">
      <c r="C203" s="180" t="s">
        <v>289</v>
      </c>
      <c r="D203" s="182">
        <f>'REC Spend projected'!AA7</f>
        <v>608816031.11881268</v>
      </c>
      <c r="E203" s="182">
        <f>'REC Spend projected'!AB7</f>
        <v>576888525.61571968</v>
      </c>
      <c r="F203" s="182">
        <f>'REC Spend projected'!AC7</f>
        <v>1185704556.7345324</v>
      </c>
      <c r="G203" s="182">
        <f>'REC Spend projected'!AD7</f>
        <v>571208923.33139122</v>
      </c>
      <c r="H203" s="182">
        <f>'REC Spend projected'!AE7</f>
        <v>614495633.40314114</v>
      </c>
    </row>
    <row r="204" spans="2:8" x14ac:dyDescent="0.35">
      <c r="C204" s="180" t="s">
        <v>290</v>
      </c>
      <c r="D204" s="182">
        <f>'REC Spend projected'!AA8</f>
        <v>614495633.40314114</v>
      </c>
      <c r="E204" s="182">
        <f>'REC Spend projected'!AB8</f>
        <v>573627651.91300857</v>
      </c>
      <c r="F204" s="182">
        <f>'REC Spend projected'!AC8</f>
        <v>1188123285.3161497</v>
      </c>
      <c r="G204" s="182">
        <f>'REC Spend projected'!AD8</f>
        <v>615097684.27306855</v>
      </c>
      <c r="H204" s="182">
        <f>'REC Spend projected'!AE8</f>
        <v>573025601.04308116</v>
      </c>
    </row>
    <row r="205" spans="2:8" x14ac:dyDescent="0.35">
      <c r="C205" s="180" t="s">
        <v>291</v>
      </c>
      <c r="D205" s="182">
        <f>'REC Spend projected'!AA9</f>
        <v>573025601.04308116</v>
      </c>
      <c r="E205" s="182">
        <f>'REC Spend projected'!AB9</f>
        <v>566583113.01991129</v>
      </c>
      <c r="F205" s="182">
        <f>'REC Spend projected'!AC9</f>
        <v>1139608714.0629926</v>
      </c>
      <c r="G205" s="182">
        <f>'REC Spend projected'!AD9</f>
        <v>585797479.56201434</v>
      </c>
      <c r="H205" s="182">
        <f>'REC Spend projected'!AE9</f>
        <v>553811234.50097823</v>
      </c>
    </row>
    <row r="206" spans="2:8" x14ac:dyDescent="0.35">
      <c r="C206" s="180" t="s">
        <v>292</v>
      </c>
      <c r="D206" s="182">
        <f>'REC Spend projected'!AA10</f>
        <v>553811234.50097823</v>
      </c>
      <c r="E206" s="182">
        <f>'REC Spend projected'!AB10</f>
        <v>562960379.98664391</v>
      </c>
      <c r="F206" s="182">
        <f>'REC Spend projected'!AC10</f>
        <v>1116771614.4876223</v>
      </c>
      <c r="G206" s="182">
        <f>'REC Spend projected'!AD10</f>
        <v>672391744.78948283</v>
      </c>
      <c r="H206" s="182">
        <f>'REC Spend projected'!AE10</f>
        <v>444379869.69813943</v>
      </c>
    </row>
    <row r="207" spans="2:8" x14ac:dyDescent="0.35">
      <c r="C207" s="180" t="s">
        <v>293</v>
      </c>
      <c r="D207" s="182">
        <f>'REC Spend projected'!AA11</f>
        <v>444379869.69813943</v>
      </c>
      <c r="E207" s="182">
        <f>'REC Spend projected'!AB11</f>
        <v>562080155.30901098</v>
      </c>
      <c r="F207" s="182">
        <f>'REC Spend projected'!AC11</f>
        <v>1006460025.0071504</v>
      </c>
      <c r="G207" s="182">
        <f>'REC Spend projected'!AD11</f>
        <v>816678248.5884378</v>
      </c>
      <c r="H207" s="182">
        <f>'REC Spend projected'!AE11</f>
        <v>189781776.41871262</v>
      </c>
    </row>
    <row r="208" spans="2:8" x14ac:dyDescent="0.35">
      <c r="C208" s="180" t="s">
        <v>294</v>
      </c>
      <c r="D208" s="182">
        <f>'REC Spend projected'!AA12</f>
        <v>189781776.41871262</v>
      </c>
      <c r="E208" s="182">
        <f>'REC Spend projected'!AB12</f>
        <v>563547565.58719575</v>
      </c>
      <c r="F208" s="182">
        <f>'REC Spend projected'!AC12</f>
        <v>753329342.00590837</v>
      </c>
      <c r="G208" s="182">
        <f>'REC Spend projected'!AD12</f>
        <v>888737726.31409454</v>
      </c>
      <c r="H208" s="182">
        <f>'REC Spend projected'!AE12</f>
        <v>-135408384.30818617</v>
      </c>
    </row>
    <row r="209" spans="3:8" x14ac:dyDescent="0.35">
      <c r="C209" s="180" t="s">
        <v>295</v>
      </c>
      <c r="D209" s="182">
        <f>'REC Spend projected'!AA13</f>
        <v>-135408384.30818617</v>
      </c>
      <c r="E209" s="182">
        <f>'REC Spend projected'!AB13</f>
        <v>564013237.53092301</v>
      </c>
      <c r="F209" s="182">
        <f>'REC Spend projected'!AC13</f>
        <v>428604853.22273684</v>
      </c>
      <c r="G209" s="182">
        <f>'REC Spend projected'!AD13</f>
        <v>922417701.97543001</v>
      </c>
      <c r="H209" s="182">
        <f>'REC Spend projected'!AE13</f>
        <v>-493812848.75269318</v>
      </c>
    </row>
    <row r="210" spans="3:8" x14ac:dyDescent="0.35">
      <c r="C210" s="180" t="s">
        <v>296</v>
      </c>
      <c r="D210" s="182">
        <f>'REC Spend projected'!AA14</f>
        <v>-493812848.75269318</v>
      </c>
      <c r="E210" s="182">
        <f>'REC Spend projected'!AB14</f>
        <v>567446230.98235762</v>
      </c>
      <c r="F210" s="182">
        <f>'REC Spend projected'!AC14</f>
        <v>73633382.229664445</v>
      </c>
      <c r="G210" s="182">
        <f>'REC Spend projected'!AD14</f>
        <v>914595668.98099351</v>
      </c>
      <c r="H210" s="182">
        <f>'REC Spend projected'!AE14</f>
        <v>-840962286.75132906</v>
      </c>
    </row>
    <row r="211" spans="3:8" x14ac:dyDescent="0.35">
      <c r="C211" s="180" t="s">
        <v>297</v>
      </c>
      <c r="D211" s="182">
        <f>'REC Spend projected'!AA15</f>
        <v>-840962286.75132906</v>
      </c>
      <c r="E211" s="182">
        <f>'REC Spend projected'!AB15</f>
        <v>570681708.55499411</v>
      </c>
      <c r="F211" s="182">
        <f>'REC Spend projected'!AC15</f>
        <v>-270280578.19633496</v>
      </c>
      <c r="G211" s="182">
        <f>'REC Spend projected'!AD15</f>
        <v>916964454.27679658</v>
      </c>
      <c r="H211" s="182">
        <f>'REC Spend projected'!AE15</f>
        <v>-1187245032.4731317</v>
      </c>
    </row>
    <row r="212" spans="3:8" x14ac:dyDescent="0.35">
      <c r="C212" s="180" t="s">
        <v>298</v>
      </c>
      <c r="D212" s="182">
        <f>'REC Spend projected'!AA16</f>
        <v>-1187245032.4731317</v>
      </c>
      <c r="E212" s="182">
        <f>'REC Spend projected'!AB16</f>
        <v>574480086.77329481</v>
      </c>
      <c r="F212" s="182">
        <f>'REC Spend projected'!AC16</f>
        <v>-612764945.69983685</v>
      </c>
      <c r="G212" s="182">
        <f>'REC Spend projected'!AD16</f>
        <v>910314282.59578776</v>
      </c>
      <c r="H212" s="182">
        <f>'REC Spend projected'!AE16</f>
        <v>-1523079228.2956247</v>
      </c>
    </row>
    <row r="213" spans="3:8" x14ac:dyDescent="0.35">
      <c r="C213" s="180" t="s">
        <v>299</v>
      </c>
      <c r="D213" s="182">
        <f>'REC Spend projected'!AA17</f>
        <v>-1523079228.2956247</v>
      </c>
      <c r="E213" s="182">
        <f>'REC Spend projected'!AB17</f>
        <v>576313201.54532886</v>
      </c>
      <c r="F213" s="182">
        <f>'REC Spend projected'!AC17</f>
        <v>-946766026.75029588</v>
      </c>
      <c r="G213" s="182">
        <f>'REC Spend projected'!AD17</f>
        <v>805680554.99594378</v>
      </c>
      <c r="H213" s="182">
        <f>'REC Spend projected'!AE17</f>
        <v>-1752446581.7462397</v>
      </c>
    </row>
    <row r="214" spans="3:8" x14ac:dyDescent="0.35">
      <c r="C214" s="180" t="s">
        <v>300</v>
      </c>
      <c r="D214" s="182">
        <f>'REC Spend projected'!AA18</f>
        <v>-1752446581.7462397</v>
      </c>
      <c r="E214" s="182">
        <f>'REC Spend projected'!AB18</f>
        <v>579289793.30048537</v>
      </c>
      <c r="F214" s="182">
        <f>'REC Spend projected'!AC18</f>
        <v>-1173156788.4457543</v>
      </c>
      <c r="G214" s="182">
        <f>'REC Spend projected'!AD18</f>
        <v>754975865.56002796</v>
      </c>
      <c r="H214" s="182">
        <f>'REC Spend projected'!AE18</f>
        <v>-1928132654.0057821</v>
      </c>
    </row>
    <row r="215" spans="3:8" x14ac:dyDescent="0.35">
      <c r="C215" s="180" t="s">
        <v>301</v>
      </c>
      <c r="D215" s="182">
        <f>'REC Spend projected'!AA19</f>
        <v>-1928132654.0057821</v>
      </c>
      <c r="E215" s="182">
        <f>'REC Spend projected'!AB19</f>
        <v>581473694.63464355</v>
      </c>
      <c r="F215" s="182">
        <f>'REC Spend projected'!AC19</f>
        <v>-1346658959.3711386</v>
      </c>
      <c r="G215" s="182">
        <f>'REC Spend projected'!AD19</f>
        <v>684194490.99346113</v>
      </c>
      <c r="H215" s="182">
        <f>'REC Spend projected'!AE19</f>
        <v>-2030853450.3645997</v>
      </c>
    </row>
    <row r="216" spans="3:8" x14ac:dyDescent="0.35">
      <c r="C216" s="180" t="s">
        <v>302</v>
      </c>
      <c r="D216" s="182">
        <f>'REC Spend projected'!AA20</f>
        <v>-2030853450.3645997</v>
      </c>
      <c r="E216" s="182">
        <f>'REC Spend projected'!AB20</f>
        <v>584072322.06084108</v>
      </c>
      <c r="F216" s="182">
        <f>'REC Spend projected'!AC20</f>
        <v>-1446781128.3037586</v>
      </c>
      <c r="G216" s="182">
        <f>'REC Spend projected'!AD20</f>
        <v>602425890.51530218</v>
      </c>
      <c r="H216" s="182">
        <f>'REC Spend projected'!AE20</f>
        <v>-2049207018.8190608</v>
      </c>
    </row>
    <row r="217" spans="3:8" x14ac:dyDescent="0.35">
      <c r="C217" s="180" t="s">
        <v>303</v>
      </c>
      <c r="D217" s="182">
        <f>'REC Spend projected'!AA21</f>
        <v>-2049207018.8190608</v>
      </c>
      <c r="E217" s="182">
        <f>'REC Spend projected'!AB21</f>
        <v>585323292.06967258</v>
      </c>
      <c r="F217" s="182">
        <f>'REC Spend projected'!AC21</f>
        <v>-1463883726.7493882</v>
      </c>
      <c r="G217" s="182">
        <f>'REC Spend projected'!AD21</f>
        <v>522257875.31622976</v>
      </c>
      <c r="H217" s="182">
        <f>'REC Spend projected'!AE21</f>
        <v>-1986141602.065618</v>
      </c>
    </row>
    <row r="218" spans="3:8" x14ac:dyDescent="0.35">
      <c r="C218" s="180" t="s">
        <v>304</v>
      </c>
      <c r="D218" s="182">
        <f>'REC Spend projected'!AA22</f>
        <v>-1986141602.065618</v>
      </c>
      <c r="E218" s="182">
        <f>'REC Spend projected'!AB22</f>
        <v>588091718.88678288</v>
      </c>
      <c r="F218" s="182">
        <f>'REC Spend projected'!AC22</f>
        <v>-1398049883.1788352</v>
      </c>
      <c r="G218" s="182">
        <f>'REC Spend projected'!AD22</f>
        <v>443809547.68496114</v>
      </c>
      <c r="H218" s="182">
        <f>'REC Spend projected'!AE22</f>
        <v>-1841859430.8637962</v>
      </c>
    </row>
    <row r="219" spans="3:8" x14ac:dyDescent="0.35">
      <c r="C219" s="180" t="s">
        <v>305</v>
      </c>
      <c r="D219" s="182">
        <f>'REC Spend projected'!AA23</f>
        <v>-1841859430.8637962</v>
      </c>
      <c r="E219" s="182">
        <f>'REC Spend projected'!AB23</f>
        <v>590341290.77324343</v>
      </c>
      <c r="F219" s="182">
        <f>'REC Spend projected'!AC23</f>
        <v>-1251518140.0905528</v>
      </c>
      <c r="G219" s="182">
        <f>'REC Spend projected'!AD23</f>
        <v>361789677.14285719</v>
      </c>
      <c r="H219" s="182">
        <f>'REC Spend projected'!AE23</f>
        <v>-1613307817.2334099</v>
      </c>
    </row>
    <row r="220" spans="3:8" x14ac:dyDescent="0.35">
      <c r="C220" s="180" t="s">
        <v>306</v>
      </c>
      <c r="D220" s="182">
        <f>'REC Spend projected'!AA24</f>
        <v>-1613307817.2334099</v>
      </c>
      <c r="E220" s="182">
        <f>'REC Spend projected'!AB24</f>
        <v>593027557.04729199</v>
      </c>
      <c r="F220" s="182">
        <f>'REC Spend projected'!AC24</f>
        <v>-1020280260.1861179</v>
      </c>
      <c r="G220" s="182">
        <f>'REC Spend projected'!AD24</f>
        <v>289882519.93881494</v>
      </c>
      <c r="H220" s="182">
        <f>'REC Spend projected'!AE24</f>
        <v>-1310162780.1249328</v>
      </c>
    </row>
    <row r="221" spans="3:8" x14ac:dyDescent="0.35">
      <c r="C221" s="180" t="s">
        <v>307</v>
      </c>
      <c r="D221" s="182">
        <f>'REC Spend projected'!AA25</f>
        <v>-1310162780.1249328</v>
      </c>
      <c r="E221" s="182">
        <f>'REC Spend projected'!AB25</f>
        <v>594876468.72458827</v>
      </c>
      <c r="F221" s="182">
        <f>'REC Spend projected'!AC25</f>
        <v>-715286311.40034449</v>
      </c>
      <c r="G221" s="182">
        <f>'REC Spend projected'!AD25</f>
        <v>141207897.22338313</v>
      </c>
      <c r="H221" s="182">
        <f>'REC Spend projected'!AE25</f>
        <v>-856494208.62372756</v>
      </c>
    </row>
    <row r="222" spans="3:8" x14ac:dyDescent="0.35">
      <c r="C222" s="180" t="s">
        <v>308</v>
      </c>
      <c r="D222" s="182">
        <f>'REC Spend projected'!AA26</f>
        <v>-856494208.62372756</v>
      </c>
      <c r="E222" s="182">
        <f>'REC Spend projected'!AB26</f>
        <v>596759748.58640218</v>
      </c>
      <c r="F222" s="182">
        <f>'REC Spend projected'!AC26</f>
        <v>-259734460.03732538</v>
      </c>
      <c r="G222" s="182">
        <f>'REC Spend projected'!AD26</f>
        <v>28500259.941617835</v>
      </c>
      <c r="H222" s="182">
        <f>'REC Spend projected'!AE26</f>
        <v>-288234719.97894323</v>
      </c>
    </row>
    <row r="225" spans="2:8" x14ac:dyDescent="0.35">
      <c r="B225" t="s">
        <v>352</v>
      </c>
      <c r="C225" s="236" t="s">
        <v>1</v>
      </c>
      <c r="D225" s="236" t="s">
        <v>353</v>
      </c>
      <c r="E225" s="236" t="s">
        <v>354</v>
      </c>
      <c r="F225" s="236" t="s">
        <v>355</v>
      </c>
    </row>
    <row r="226" spans="2:8" x14ac:dyDescent="0.35">
      <c r="C226" s="180" t="s">
        <v>289</v>
      </c>
      <c r="D226" s="182">
        <v>821171740.46147001</v>
      </c>
      <c r="E226" s="182">
        <v>821171740.46147025</v>
      </c>
      <c r="F226" s="182">
        <v>821171740.46147025</v>
      </c>
      <c r="G226" s="4"/>
      <c r="H226" t="s">
        <v>356</v>
      </c>
    </row>
    <row r="227" spans="2:8" x14ac:dyDescent="0.35">
      <c r="C227" s="180" t="s">
        <v>290</v>
      </c>
      <c r="D227" s="182">
        <v>720803140.30632496</v>
      </c>
      <c r="E227" s="182">
        <v>723356426.06766295</v>
      </c>
      <c r="F227" s="182">
        <v>718249854.54498696</v>
      </c>
      <c r="H227" t="s">
        <v>357</v>
      </c>
    </row>
    <row r="228" spans="2:8" x14ac:dyDescent="0.35">
      <c r="C228" s="180" t="s">
        <v>291</v>
      </c>
      <c r="D228" s="182">
        <v>694019173.99985003</v>
      </c>
      <c r="E228" s="182">
        <v>705368671.47705555</v>
      </c>
      <c r="F228" s="182">
        <v>682669676.5226444</v>
      </c>
    </row>
    <row r="229" spans="2:8" x14ac:dyDescent="0.35">
      <c r="C229" s="180" t="s">
        <v>292</v>
      </c>
      <c r="D229" s="182">
        <v>613608864.71852982</v>
      </c>
      <c r="E229" s="182">
        <v>670748445.57740772</v>
      </c>
      <c r="F229" s="182">
        <v>556469283.85965157</v>
      </c>
    </row>
    <row r="230" spans="2:8" x14ac:dyDescent="0.35">
      <c r="C230" s="180" t="s">
        <v>293</v>
      </c>
      <c r="D230" s="182">
        <v>407298302.85005403</v>
      </c>
      <c r="E230" s="182">
        <v>561091155.55071986</v>
      </c>
      <c r="F230" s="182">
        <v>253505450.14938831</v>
      </c>
    </row>
    <row r="231" spans="2:8" x14ac:dyDescent="0.35">
      <c r="C231" s="180" t="s">
        <v>294</v>
      </c>
      <c r="D231" s="182">
        <v>140418440.05746496</v>
      </c>
      <c r="E231" s="182">
        <v>415751527.40982151</v>
      </c>
      <c r="F231" s="182">
        <v>-134914647.29489172</v>
      </c>
    </row>
    <row r="232" spans="2:8" x14ac:dyDescent="0.35">
      <c r="C232" s="180" t="s">
        <v>295</v>
      </c>
      <c r="D232" s="182">
        <v>-161058115.87395263</v>
      </c>
      <c r="E232" s="182">
        <v>265767872.27858293</v>
      </c>
      <c r="F232" s="182">
        <v>-587884104.0264883</v>
      </c>
    </row>
    <row r="233" spans="2:8" x14ac:dyDescent="0.35">
      <c r="C233" s="180" t="s">
        <v>296</v>
      </c>
      <c r="D233" s="182">
        <v>-450302194.86141431</v>
      </c>
      <c r="E233" s="182">
        <v>158915739.53523493</v>
      </c>
      <c r="F233" s="182">
        <v>-1059520129.2580638</v>
      </c>
    </row>
    <row r="234" spans="2:8" x14ac:dyDescent="0.35">
      <c r="C234" s="180" t="s">
        <v>297</v>
      </c>
      <c r="D234" s="182">
        <v>-743199509.412238</v>
      </c>
      <c r="E234" s="182">
        <v>72301845.140323877</v>
      </c>
      <c r="F234" s="182">
        <v>-1558700863.9648001</v>
      </c>
    </row>
    <row r="235" spans="2:8" x14ac:dyDescent="0.35">
      <c r="C235" s="180" t="s">
        <v>298</v>
      </c>
      <c r="D235" s="182">
        <v>-1028909856.809263</v>
      </c>
      <c r="E235" s="182">
        <v>19075350.192843199</v>
      </c>
      <c r="F235" s="182">
        <v>-2076895063.8113699</v>
      </c>
    </row>
    <row r="236" spans="2:8" x14ac:dyDescent="0.35">
      <c r="C236" s="180" t="s">
        <v>299</v>
      </c>
      <c r="D236" s="182">
        <v>-1212770632.2171011</v>
      </c>
      <c r="E236" s="182">
        <v>75171684.437927008</v>
      </c>
      <c r="F236" s="182">
        <v>-2500712948.8721304</v>
      </c>
    </row>
    <row r="237" spans="2:8" x14ac:dyDescent="0.35">
      <c r="C237" s="180" t="s">
        <v>300</v>
      </c>
      <c r="D237" s="182">
        <v>-1348256864.4350061</v>
      </c>
      <c r="E237" s="182">
        <v>197067848.8099277</v>
      </c>
      <c r="F237" s="182">
        <v>-2893581577.6799417</v>
      </c>
    </row>
    <row r="238" spans="2:8" x14ac:dyDescent="0.35">
      <c r="C238" s="180" t="s">
        <v>301</v>
      </c>
      <c r="D238" s="182">
        <v>-1415885117.9671779</v>
      </c>
      <c r="E238" s="182">
        <v>416662616.86127377</v>
      </c>
      <c r="F238" s="182">
        <v>-3248432852.7956314</v>
      </c>
    </row>
    <row r="239" spans="2:8" x14ac:dyDescent="0.35">
      <c r="C239" s="180" t="s">
        <v>302</v>
      </c>
      <c r="D239" s="182">
        <v>-1398690510.1122761</v>
      </c>
      <c r="E239" s="182">
        <v>730936294.47965407</v>
      </c>
      <c r="F239" s="182">
        <v>-3528317314.7042084</v>
      </c>
    </row>
    <row r="240" spans="2:8" x14ac:dyDescent="0.35">
      <c r="C240" s="180" t="s">
        <v>303</v>
      </c>
      <c r="D240" s="182">
        <v>-1310658729.6260989</v>
      </c>
      <c r="E240" s="182">
        <v>1136672094.8441348</v>
      </c>
      <c r="F240" s="182">
        <v>-3757989554.0963349</v>
      </c>
    </row>
    <row r="241" spans="3:6" x14ac:dyDescent="0.35">
      <c r="C241" s="180" t="s">
        <v>304</v>
      </c>
      <c r="D241" s="182">
        <v>-1145921337.7236507</v>
      </c>
      <c r="E241" s="182">
        <v>1640321989.4932735</v>
      </c>
      <c r="F241" s="182">
        <v>-3932164664.9405775</v>
      </c>
    </row>
    <row r="242" spans="3:6" x14ac:dyDescent="0.35">
      <c r="C242" s="180" t="s">
        <v>305</v>
      </c>
      <c r="D242" s="182">
        <v>-902735251.78020537</v>
      </c>
      <c r="E242" s="182">
        <v>2243931581.8961272</v>
      </c>
      <c r="F242" s="182">
        <v>-4049402085.4565415</v>
      </c>
    </row>
    <row r="243" spans="3:6" x14ac:dyDescent="0.35">
      <c r="C243" s="180" t="s">
        <v>306</v>
      </c>
      <c r="D243" s="182">
        <v>-584354871.63704216</v>
      </c>
      <c r="E243" s="182">
        <v>2944593374.3286695</v>
      </c>
      <c r="F243" s="182">
        <v>-4113303117.6027579</v>
      </c>
    </row>
    <row r="244" spans="3:6" x14ac:dyDescent="0.35">
      <c r="C244" s="180" t="s">
        <v>307</v>
      </c>
      <c r="D244" s="182">
        <v>-126865236.19511843</v>
      </c>
      <c r="E244" s="182">
        <v>3818984785.5164022</v>
      </c>
      <c r="F244" s="182">
        <v>-4072715257.9066424</v>
      </c>
    </row>
    <row r="245" spans="3:6" x14ac:dyDescent="0.35">
      <c r="C245" s="180" t="s">
        <v>308</v>
      </c>
      <c r="D245" s="182">
        <v>451704688.67841911</v>
      </c>
      <c r="E245" s="182">
        <v>4825627616.3371658</v>
      </c>
      <c r="F245" s="182">
        <v>-3922218238.9803314</v>
      </c>
    </row>
  </sheetData>
  <mergeCells count="4">
    <mergeCell ref="C58:C59"/>
    <mergeCell ref="D58:E58"/>
    <mergeCell ref="F58:G58"/>
    <mergeCell ref="H58:I58"/>
  </mergeCells>
  <phoneticPr fontId="13" type="noConversion"/>
  <hyperlinks>
    <hyperlink ref="D193" location="_ftn1" display="_ftn1" xr:uid="{990F3C04-FDF9-4C55-A792-C7210237C7DE}"/>
    <hyperlink ref="E193" location="_ftn2" display="_ftn2" xr:uid="{926B6FB1-9714-46D0-8048-07331A1AF539}"/>
    <hyperlink ref="F193" location="_ftn3" display="_ftn3" xr:uid="{17F3EAC8-164F-404E-9F70-4BA588F9115B}"/>
    <hyperlink ref="C196" location="_ftn4" display="_ftn4" xr:uid="{7AC0BF0F-3BB2-45C1-8339-C7AB2CE36FB2}"/>
  </hyperlinks>
  <printOptions horizontalCentered="1" verticalCentered="1"/>
  <pageMargins left="0.7" right="0.7" top="0.75" bottom="0.75" header="0.3" footer="0.3"/>
  <pageSetup scale="40" orientation="landscape" r:id="rId1"/>
  <headerFooter>
    <oddHeader>&amp;A</oddHeader>
  </headerFooter>
  <rowBreaks count="1" manualBreakCount="1">
    <brk id="84" max="16383" man="1"/>
  </rowBreaks>
  <customProperties>
    <customPr name="GU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39381-FECD-4B00-8747-C237FDC59982}">
  <sheetPr>
    <pageSetUpPr fitToPage="1"/>
  </sheetPr>
  <dimension ref="A1:AH108"/>
  <sheetViews>
    <sheetView zoomScale="90" zoomScaleNormal="90" workbookViewId="0">
      <pane xSplit="1" topLeftCell="B1" activePane="topRight" state="frozen"/>
      <selection activeCell="L3" sqref="L3"/>
      <selection pane="topRight" activeCell="L3" sqref="L3"/>
    </sheetView>
  </sheetViews>
  <sheetFormatPr defaultRowHeight="14.5" x14ac:dyDescent="0.35"/>
  <cols>
    <col min="1" max="1" width="17.453125" bestFit="1" customWidth="1"/>
    <col min="2" max="2" width="21.08984375" bestFit="1" customWidth="1"/>
    <col min="3" max="3" width="16.90625" bestFit="1" customWidth="1"/>
    <col min="4" max="4" width="17.453125" bestFit="1" customWidth="1"/>
    <col min="5" max="7" width="16.453125" customWidth="1"/>
    <col min="8" max="8" width="16.08984375" bestFit="1" customWidth="1"/>
    <col min="9" max="9" width="14.453125" customWidth="1"/>
    <col min="10" max="10" width="17" bestFit="1" customWidth="1"/>
    <col min="11" max="11" width="17.453125" customWidth="1"/>
    <col min="12" max="12" width="17.54296875" customWidth="1"/>
    <col min="13" max="13" width="16.08984375" bestFit="1" customWidth="1"/>
    <col min="14" max="14" width="16.54296875" bestFit="1" customWidth="1"/>
    <col min="15" max="15" width="16.08984375" bestFit="1" customWidth="1"/>
    <col min="16" max="16" width="17.453125" bestFit="1" customWidth="1"/>
    <col min="17" max="17" width="17.54296875" bestFit="1" customWidth="1"/>
    <col min="18" max="18" width="24.08984375" bestFit="1" customWidth="1"/>
    <col min="19" max="19" width="24.453125" customWidth="1"/>
    <col min="20" max="20" width="15.453125" customWidth="1"/>
    <col min="21" max="21" width="13.453125" customWidth="1"/>
    <col min="22" max="22" width="13.54296875" customWidth="1"/>
    <col min="23" max="23" width="18.90625" customWidth="1"/>
    <col min="24" max="24" width="17.453125" bestFit="1" customWidth="1"/>
    <col min="25" max="25" width="17.08984375" customWidth="1"/>
    <col min="26" max="26" width="19" customWidth="1"/>
    <col min="27" max="27" width="28" customWidth="1"/>
    <col min="28" max="28" width="17.453125" bestFit="1" customWidth="1"/>
    <col min="29" max="29" width="20.90625" bestFit="1" customWidth="1"/>
    <col min="30" max="30" width="17.453125" bestFit="1" customWidth="1"/>
    <col min="31" max="31" width="18.90625" bestFit="1" customWidth="1"/>
    <col min="32" max="32" width="22.453125" bestFit="1" customWidth="1"/>
    <col min="33" max="34" width="18.90625" bestFit="1" customWidth="1"/>
    <col min="35" max="36" width="11.54296875" bestFit="1" customWidth="1"/>
  </cols>
  <sheetData>
    <row r="1" spans="1:34" x14ac:dyDescent="0.35">
      <c r="A1" s="1" t="s">
        <v>0</v>
      </c>
      <c r="B1" t="s">
        <v>207</v>
      </c>
      <c r="Q1" s="191" t="s">
        <v>92</v>
      </c>
      <c r="R1" s="191"/>
      <c r="S1" s="191"/>
      <c r="T1" s="191"/>
      <c r="U1" s="191"/>
      <c r="V1" s="191"/>
      <c r="W1" s="191"/>
      <c r="X1" s="191"/>
      <c r="Y1" s="191"/>
      <c r="Z1" s="191"/>
    </row>
    <row r="2" spans="1:34" x14ac:dyDescent="0.35">
      <c r="A2" s="1"/>
      <c r="Q2" s="191"/>
      <c r="R2" s="191"/>
      <c r="S2" s="191"/>
      <c r="T2" s="191"/>
      <c r="U2" s="191"/>
      <c r="V2" s="191"/>
      <c r="W2" s="191"/>
      <c r="X2" s="191"/>
      <c r="Y2" s="191"/>
      <c r="Z2" s="191"/>
    </row>
    <row r="3" spans="1:34" ht="58" x14ac:dyDescent="0.35">
      <c r="A3" s="173" t="s">
        <v>1</v>
      </c>
      <c r="B3" s="173" t="s">
        <v>208</v>
      </c>
      <c r="C3" s="173" t="s">
        <v>209</v>
      </c>
      <c r="D3" s="173" t="s">
        <v>237</v>
      </c>
      <c r="E3" s="173" t="s">
        <v>151</v>
      </c>
      <c r="F3" s="173" t="s">
        <v>238</v>
      </c>
      <c r="G3" s="173" t="s">
        <v>239</v>
      </c>
      <c r="H3" s="173" t="s">
        <v>240</v>
      </c>
      <c r="I3" s="15" t="s">
        <v>241</v>
      </c>
      <c r="J3" s="15" t="s">
        <v>242</v>
      </c>
      <c r="K3" s="15" t="s">
        <v>243</v>
      </c>
      <c r="L3" s="15" t="s">
        <v>244</v>
      </c>
      <c r="M3" s="173" t="s">
        <v>245</v>
      </c>
      <c r="N3" s="173" t="s">
        <v>246</v>
      </c>
      <c r="O3" s="173" t="s">
        <v>226</v>
      </c>
      <c r="P3" s="15" t="s">
        <v>224</v>
      </c>
      <c r="Q3" s="198" t="s">
        <v>208</v>
      </c>
      <c r="R3" s="198" t="s">
        <v>209</v>
      </c>
      <c r="S3" s="198" t="s">
        <v>146</v>
      </c>
      <c r="T3" s="198" t="s">
        <v>151</v>
      </c>
      <c r="U3" s="198" t="s">
        <v>155</v>
      </c>
      <c r="V3" s="198" t="s">
        <v>158</v>
      </c>
      <c r="W3" s="198" t="s">
        <v>87</v>
      </c>
      <c r="X3" s="198" t="s">
        <v>88</v>
      </c>
      <c r="Y3" s="198" t="s">
        <v>83</v>
      </c>
      <c r="Z3" s="198" t="s">
        <v>247</v>
      </c>
      <c r="AA3" s="15" t="s">
        <v>248</v>
      </c>
      <c r="AB3" s="15" t="s">
        <v>249</v>
      </c>
      <c r="AC3" s="15" t="s">
        <v>250</v>
      </c>
      <c r="AD3" s="173" t="s">
        <v>172</v>
      </c>
      <c r="AE3" s="173" t="s">
        <v>251</v>
      </c>
      <c r="AF3" s="15" t="s">
        <v>252</v>
      </c>
      <c r="AG3" s="173" t="s">
        <v>253</v>
      </c>
      <c r="AH3" s="173" t="s">
        <v>254</v>
      </c>
    </row>
    <row r="4" spans="1:34" x14ac:dyDescent="0.35">
      <c r="A4" s="174" t="s">
        <v>17</v>
      </c>
      <c r="B4" s="206">
        <f>'ABP Under Contract'!K4</f>
        <v>138009382</v>
      </c>
      <c r="C4" s="206">
        <f>'ABP Under Contract'!L4</f>
        <v>48629161</v>
      </c>
      <c r="D4" s="206">
        <f>'ABP Under Contract'!M4</f>
        <v>29989057</v>
      </c>
      <c r="E4" s="206"/>
      <c r="F4" s="206"/>
      <c r="G4" s="206"/>
      <c r="H4" s="206">
        <v>30848359.600711424</v>
      </c>
      <c r="I4" s="206">
        <f>I31+I58+I85</f>
        <v>5397290.4699999997</v>
      </c>
      <c r="J4" s="206"/>
      <c r="K4" s="206"/>
      <c r="L4" s="206"/>
      <c r="M4" s="206">
        <f>AB4*0.03</f>
        <v>6757080.0219020871</v>
      </c>
      <c r="N4" s="206"/>
      <c r="O4" s="206">
        <v>11261800.036503479</v>
      </c>
      <c r="P4" s="206">
        <f>SUM(B4:O4)</f>
        <v>270892130.12911701</v>
      </c>
      <c r="Q4" s="197"/>
      <c r="R4" s="197"/>
      <c r="S4" s="197"/>
      <c r="T4" s="197"/>
      <c r="U4" s="197"/>
      <c r="V4" s="197"/>
      <c r="W4" s="197"/>
      <c r="X4" s="197"/>
      <c r="Y4" s="197"/>
      <c r="Z4" s="197">
        <f>SUM(Q4:Y4)</f>
        <v>0</v>
      </c>
      <c r="AA4" s="194">
        <f>AA31+AA58+AA85</f>
        <v>293790554.98094952</v>
      </c>
      <c r="AB4" s="194">
        <f>'Collections and ACP'!K7</f>
        <v>225236000.73006958</v>
      </c>
      <c r="AC4" s="194">
        <f>AA4+AB4</f>
        <v>519026555.7110191</v>
      </c>
      <c r="AD4" s="194">
        <f>P4+Z4</f>
        <v>270892130.12911701</v>
      </c>
      <c r="AE4" s="207">
        <f>AC4-AD4</f>
        <v>248134425.58190209</v>
      </c>
      <c r="AF4" s="206"/>
      <c r="AG4" s="208">
        <f>AE4-AF4</f>
        <v>248134425.58190209</v>
      </c>
      <c r="AH4" s="182"/>
    </row>
    <row r="5" spans="1:34" x14ac:dyDescent="0.35">
      <c r="A5" s="174" t="s">
        <v>18</v>
      </c>
      <c r="B5" s="206">
        <f>'ABP Under Contract'!K5</f>
        <v>62050197</v>
      </c>
      <c r="C5" s="206">
        <f>'ABP Under Contract'!L5</f>
        <v>60705686</v>
      </c>
      <c r="D5" s="206">
        <f>'ABP Under Contract'!M5</f>
        <v>84192312</v>
      </c>
      <c r="E5" s="206"/>
      <c r="F5" s="206"/>
      <c r="G5" s="206"/>
      <c r="H5" s="206">
        <v>24142255.383493654</v>
      </c>
      <c r="I5" s="206">
        <f t="shared" ref="I5:I27" si="0">I32+I59+I86</f>
        <v>19260591.157020841</v>
      </c>
      <c r="J5" s="206"/>
      <c r="K5" s="206"/>
      <c r="L5" s="206"/>
      <c r="M5" s="206">
        <f t="shared" ref="M5:M27" si="1">AB5*0.03</f>
        <v>13942135.092404015</v>
      </c>
      <c r="N5" s="206">
        <v>10000000</v>
      </c>
      <c r="O5" s="206">
        <v>50000000</v>
      </c>
      <c r="P5" s="206">
        <f t="shared" ref="P5:P27" si="2">SUM(B5:O5)</f>
        <v>324293176.63291848</v>
      </c>
      <c r="Q5" s="197"/>
      <c r="R5" s="197"/>
      <c r="S5" s="197"/>
      <c r="T5" s="197"/>
      <c r="U5" s="197"/>
      <c r="V5" s="197"/>
      <c r="W5" s="196"/>
      <c r="X5" s="197"/>
      <c r="Y5" s="197"/>
      <c r="Z5" s="197">
        <f t="shared" ref="Z5:Z8" si="3">SUM(Q5:Y5)</f>
        <v>0</v>
      </c>
      <c r="AA5" s="194">
        <f t="shared" ref="AA5:AA26" si="4">AE4</f>
        <v>248134425.58190209</v>
      </c>
      <c r="AB5" s="194">
        <f>'Collections and ACP'!K8</f>
        <v>464737836.41346717</v>
      </c>
      <c r="AC5" s="194">
        <f t="shared" ref="AC5:AC26" si="5">AA5+AB5</f>
        <v>712872261.9953692</v>
      </c>
      <c r="AD5" s="194">
        <f t="shared" ref="AD5:AD26" si="6">P5+Z5</f>
        <v>324293176.63291848</v>
      </c>
      <c r="AE5" s="207">
        <f t="shared" ref="AE5:AE26" si="7">AC5-AD5</f>
        <v>388579085.36245072</v>
      </c>
      <c r="AF5" s="206"/>
      <c r="AG5" s="208">
        <f>AE5-AF5</f>
        <v>388579085.36245072</v>
      </c>
      <c r="AH5" s="182"/>
    </row>
    <row r="6" spans="1:34" x14ac:dyDescent="0.35">
      <c r="A6" s="174" t="s">
        <v>19</v>
      </c>
      <c r="B6" s="206">
        <f>'ABP Under Contract'!K6</f>
        <v>66248847</v>
      </c>
      <c r="C6" s="206">
        <f>'ABP Under Contract'!L6</f>
        <v>74577760</v>
      </c>
      <c r="D6" s="206">
        <f>'ABP Under Contract'!M6</f>
        <v>113737795</v>
      </c>
      <c r="E6" s="206"/>
      <c r="F6" s="206"/>
      <c r="G6" s="206"/>
      <c r="H6" s="206">
        <v>22062344.595163539</v>
      </c>
      <c r="I6" s="206">
        <f t="shared" si="0"/>
        <v>22975411.212579787</v>
      </c>
      <c r="J6" s="206"/>
      <c r="K6" s="206"/>
      <c r="L6" s="206"/>
      <c r="M6" s="206">
        <f t="shared" si="1"/>
        <v>17623889.800951708</v>
      </c>
      <c r="N6" s="206"/>
      <c r="O6" s="206">
        <v>50000000</v>
      </c>
      <c r="P6" s="206">
        <f t="shared" si="2"/>
        <v>367226047.60869503</v>
      </c>
      <c r="Q6" s="197"/>
      <c r="R6" s="197"/>
      <c r="S6" s="197"/>
      <c r="T6" s="197"/>
      <c r="U6" s="197"/>
      <c r="V6" s="197"/>
      <c r="W6" s="251" cm="1">
        <f t="array" ref="W6:W27">TRANSPOSE('Indexed REC Spend'!C80:X80)</f>
        <v>0</v>
      </c>
      <c r="X6" s="251" cm="1">
        <f t="array" ref="X6:X27">TRANSPOSE('Indexed REC Spend'!C81:X81)</f>
        <v>0</v>
      </c>
      <c r="Y6" s="251" cm="1">
        <f t="array" ref="Y6:Y27">TRANSPOSE('Indexed REC Spend'!C82:X82)</f>
        <v>0</v>
      </c>
      <c r="Z6" s="197">
        <f t="shared" si="3"/>
        <v>0</v>
      </c>
      <c r="AA6" s="194">
        <f t="shared" si="4"/>
        <v>388579085.36245072</v>
      </c>
      <c r="AB6" s="194">
        <f>'Collections and ACP'!K9</f>
        <v>587462993.36505699</v>
      </c>
      <c r="AC6" s="194">
        <f t="shared" si="5"/>
        <v>976042078.72750771</v>
      </c>
      <c r="AD6" s="194">
        <f t="shared" si="6"/>
        <v>367226047.60869503</v>
      </c>
      <c r="AE6" s="207">
        <f t="shared" si="7"/>
        <v>608816031.11881268</v>
      </c>
      <c r="AF6" s="206"/>
      <c r="AG6" s="208">
        <f t="shared" ref="AG6:AG26" si="8">AE6-AF6</f>
        <v>608816031.11881268</v>
      </c>
      <c r="AH6" s="182"/>
    </row>
    <row r="7" spans="1:34" x14ac:dyDescent="0.35">
      <c r="A7" s="174" t="s">
        <v>20</v>
      </c>
      <c r="B7" s="206">
        <f>'ABP Under Contract'!K7</f>
        <v>241144178</v>
      </c>
      <c r="C7" s="206">
        <f>'ABP Under Contract'!L7</f>
        <v>90525840</v>
      </c>
      <c r="D7" s="206">
        <f>'ABP Under Contract'!M7</f>
        <v>131916328</v>
      </c>
      <c r="E7" s="206"/>
      <c r="F7" s="206"/>
      <c r="G7" s="206"/>
      <c r="H7" s="206">
        <v>17721007.415898785</v>
      </c>
      <c r="I7" s="206">
        <f t="shared" si="0"/>
        <v>22594914.147020839</v>
      </c>
      <c r="J7" s="206"/>
      <c r="K7" s="206"/>
      <c r="L7" s="206"/>
      <c r="M7" s="206">
        <f t="shared" si="1"/>
        <v>17306655.768471591</v>
      </c>
      <c r="N7" s="206"/>
      <c r="O7" s="206">
        <v>50000000</v>
      </c>
      <c r="P7" s="206">
        <f t="shared" si="2"/>
        <v>571208923.33139122</v>
      </c>
      <c r="Q7" s="197"/>
      <c r="R7" s="197"/>
      <c r="S7" s="197"/>
      <c r="T7" s="197"/>
      <c r="U7" s="197"/>
      <c r="V7" s="197"/>
      <c r="W7" s="252">
        <v>0</v>
      </c>
      <c r="X7" s="252">
        <v>0</v>
      </c>
      <c r="Y7" s="196">
        <v>0</v>
      </c>
      <c r="Z7" s="197">
        <f t="shared" si="3"/>
        <v>0</v>
      </c>
      <c r="AA7" s="194">
        <f t="shared" si="4"/>
        <v>608816031.11881268</v>
      </c>
      <c r="AB7" s="194">
        <f>'Collections and ACP'!K10</f>
        <v>576888525.61571968</v>
      </c>
      <c r="AC7" s="194">
        <f t="shared" si="5"/>
        <v>1185704556.7345324</v>
      </c>
      <c r="AD7" s="194">
        <f t="shared" si="6"/>
        <v>571208923.33139122</v>
      </c>
      <c r="AE7" s="207">
        <f t="shared" si="7"/>
        <v>614495633.40314114</v>
      </c>
      <c r="AF7" s="206"/>
      <c r="AG7" s="208">
        <f t="shared" si="8"/>
        <v>614495633.40314114</v>
      </c>
      <c r="AH7" s="182"/>
    </row>
    <row r="8" spans="1:34" x14ac:dyDescent="0.35">
      <c r="A8" s="174" t="s">
        <v>22</v>
      </c>
      <c r="B8" s="206">
        <f>'ABP Under Contract'!K8</f>
        <v>30078012</v>
      </c>
      <c r="C8" s="206">
        <f>'ABP Under Contract'!L8</f>
        <v>63548483</v>
      </c>
      <c r="D8" s="206">
        <f>'ABP Under Contract'!M8</f>
        <v>141211375</v>
      </c>
      <c r="E8" s="206">
        <f>'ABP Under Contract'!N8</f>
        <v>875026</v>
      </c>
      <c r="F8" s="206">
        <f>'ABP Under Contract'!O8</f>
        <v>6315425</v>
      </c>
      <c r="G8" s="206"/>
      <c r="H8" s="206">
        <v>17421541.685608782</v>
      </c>
      <c r="I8" s="206">
        <f t="shared" si="0"/>
        <v>22594914.147020839</v>
      </c>
      <c r="J8" s="206" cm="1">
        <f t="array" ref="J8:L26">TRANSPOSE('Indexed REC Spend'!F74:X76)</f>
        <v>4415040.2973999996</v>
      </c>
      <c r="K8" s="206">
        <v>0</v>
      </c>
      <c r="L8" s="206">
        <v>0</v>
      </c>
      <c r="M8" s="206">
        <f t="shared" si="1"/>
        <v>17208829.557390258</v>
      </c>
      <c r="N8" s="206">
        <v>10000000</v>
      </c>
      <c r="O8" s="206">
        <v>50000000</v>
      </c>
      <c r="P8" s="206">
        <f t="shared" si="2"/>
        <v>363668646.68741989</v>
      </c>
      <c r="Q8" s="251" cm="1">
        <f t="array" ref="Q8:V26">TRANSPOSE('Projected ABP Spend'!C165:U170)</f>
        <v>155651140.42152998</v>
      </c>
      <c r="R8" s="251">
        <v>29252501.730252042</v>
      </c>
      <c r="S8" s="251">
        <v>8728917.1706380751</v>
      </c>
      <c r="T8" s="251">
        <v>25543085.109855887</v>
      </c>
      <c r="U8" s="251">
        <v>4128483.7984565073</v>
      </c>
      <c r="V8" s="251">
        <v>28124909.354916111</v>
      </c>
      <c r="W8" s="252">
        <v>0</v>
      </c>
      <c r="X8" s="252">
        <v>0</v>
      </c>
      <c r="Y8" s="196">
        <v>0</v>
      </c>
      <c r="Z8" s="197">
        <f t="shared" si="3"/>
        <v>251429037.58564866</v>
      </c>
      <c r="AA8" s="194">
        <f t="shared" si="4"/>
        <v>614495633.40314114</v>
      </c>
      <c r="AB8" s="194">
        <f>'Collections and ACP'!K11</f>
        <v>573627651.91300857</v>
      </c>
      <c r="AC8" s="194">
        <f t="shared" si="5"/>
        <v>1188123285.3161497</v>
      </c>
      <c r="AD8" s="194">
        <f t="shared" si="6"/>
        <v>615097684.27306855</v>
      </c>
      <c r="AE8" s="207">
        <f t="shared" si="7"/>
        <v>573025601.04308116</v>
      </c>
      <c r="AF8" s="206"/>
      <c r="AG8" s="208">
        <f>AE8-AF8</f>
        <v>573025601.04308116</v>
      </c>
      <c r="AH8" s="182"/>
    </row>
    <row r="9" spans="1:34" x14ac:dyDescent="0.35">
      <c r="A9" s="174" t="s">
        <v>23</v>
      </c>
      <c r="B9" s="206"/>
      <c r="C9" s="206">
        <f>'ABP Under Contract'!L9</f>
        <v>45211974</v>
      </c>
      <c r="D9" s="206">
        <f>'ABP Under Contract'!M9</f>
        <v>100997811</v>
      </c>
      <c r="E9" s="206">
        <f>'ABP Under Contract'!N9</f>
        <v>1107425</v>
      </c>
      <c r="F9" s="206">
        <f>'ABP Under Contract'!O9</f>
        <v>7769174</v>
      </c>
      <c r="G9" s="206"/>
      <c r="H9" s="206">
        <v>11401431.694168944</v>
      </c>
      <c r="I9" s="206">
        <f t="shared" si="0"/>
        <v>22594914.147020839</v>
      </c>
      <c r="J9" s="206">
        <v>4281834.0631999997</v>
      </c>
      <c r="K9" s="206">
        <v>20220990.526424397</v>
      </c>
      <c r="L9" s="206">
        <v>0</v>
      </c>
      <c r="M9" s="206">
        <f t="shared" si="1"/>
        <v>16997493.39059734</v>
      </c>
      <c r="N9" s="206"/>
      <c r="O9" s="206">
        <v>50000000</v>
      </c>
      <c r="P9" s="206">
        <f t="shared" si="2"/>
        <v>280583047.82141155</v>
      </c>
      <c r="Q9" s="251">
        <v>149425094.80466878</v>
      </c>
      <c r="R9" s="251">
        <v>43702416.058679685</v>
      </c>
      <c r="S9" s="251">
        <v>22117436.357668564</v>
      </c>
      <c r="T9" s="251">
        <v>33312197.849342488</v>
      </c>
      <c r="U9" s="251">
        <v>9589324.6851672735</v>
      </c>
      <c r="V9" s="251">
        <v>44180369.719835714</v>
      </c>
      <c r="W9" s="252">
        <v>0</v>
      </c>
      <c r="X9" s="252">
        <v>2887592.2652403</v>
      </c>
      <c r="Y9" s="196">
        <v>0</v>
      </c>
      <c r="Z9" s="197">
        <f>SUM(Q9:Y9)</f>
        <v>305214431.74060285</v>
      </c>
      <c r="AA9" s="194">
        <f>AE8</f>
        <v>573025601.04308116</v>
      </c>
      <c r="AB9" s="194">
        <f>'Collections and ACP'!K12</f>
        <v>566583113.01991129</v>
      </c>
      <c r="AC9" s="194">
        <f t="shared" si="5"/>
        <v>1139608714.0629926</v>
      </c>
      <c r="AD9" s="194">
        <f t="shared" si="6"/>
        <v>585797479.56201434</v>
      </c>
      <c r="AE9" s="207">
        <f t="shared" si="7"/>
        <v>553811234.50097823</v>
      </c>
      <c r="AF9" s="206"/>
      <c r="AG9" s="208">
        <f t="shared" si="8"/>
        <v>553811234.50097823</v>
      </c>
      <c r="AH9" s="182"/>
    </row>
    <row r="10" spans="1:34" x14ac:dyDescent="0.35">
      <c r="A10" s="174" t="s">
        <v>24</v>
      </c>
      <c r="B10" s="206"/>
      <c r="C10" s="206">
        <f>'ABP Under Contract'!L10</f>
        <v>37282626</v>
      </c>
      <c r="D10" s="206">
        <f>'ABP Under Contract'!M10</f>
        <v>72796228</v>
      </c>
      <c r="E10" s="206">
        <f>'ABP Under Contract'!N10</f>
        <v>1106307</v>
      </c>
      <c r="F10" s="206">
        <f>'ABP Under Contract'!O10</f>
        <v>7734461</v>
      </c>
      <c r="G10" s="206"/>
      <c r="H10" s="206">
        <v>8215431.7104763286</v>
      </c>
      <c r="I10" s="206">
        <f t="shared" si="0"/>
        <v>22594914.147020839</v>
      </c>
      <c r="J10" s="206">
        <v>49660989.104999989</v>
      </c>
      <c r="K10" s="206">
        <v>48284178.94088763</v>
      </c>
      <c r="L10" s="206">
        <v>4198610.6362499995</v>
      </c>
      <c r="M10" s="206">
        <f t="shared" si="1"/>
        <v>16888811.399599317</v>
      </c>
      <c r="N10" s="206"/>
      <c r="O10" s="206">
        <v>50000000</v>
      </c>
      <c r="P10" s="206">
        <f t="shared" si="2"/>
        <v>318762557.93923408</v>
      </c>
      <c r="Q10" s="251">
        <v>143448091.01248202</v>
      </c>
      <c r="R10" s="251">
        <v>57574333.813970216</v>
      </c>
      <c r="S10" s="251">
        <v>34901726.397848554</v>
      </c>
      <c r="T10" s="251">
        <v>40726591.898530222</v>
      </c>
      <c r="U10" s="251">
        <v>14528351.8871479</v>
      </c>
      <c r="V10" s="251">
        <v>59593611.67015852</v>
      </c>
      <c r="W10" s="252">
        <v>0</v>
      </c>
      <c r="X10" s="252">
        <v>2856480.1701112976</v>
      </c>
      <c r="Y10" s="196">
        <v>0</v>
      </c>
      <c r="Z10" s="197">
        <f t="shared" ref="Z10:Z27" si="9">SUM(Q10:Y10)</f>
        <v>353629186.85024869</v>
      </c>
      <c r="AA10" s="194">
        <f t="shared" si="4"/>
        <v>553811234.50097823</v>
      </c>
      <c r="AB10" s="194">
        <f>'Collections and ACP'!K13</f>
        <v>562960379.98664391</v>
      </c>
      <c r="AC10" s="194">
        <f t="shared" si="5"/>
        <v>1116771614.4876223</v>
      </c>
      <c r="AD10" s="194">
        <f t="shared" si="6"/>
        <v>672391744.78948283</v>
      </c>
      <c r="AE10" s="207">
        <f t="shared" si="7"/>
        <v>444379869.69813943</v>
      </c>
      <c r="AF10" s="206"/>
      <c r="AG10" s="208">
        <f t="shared" si="8"/>
        <v>444379869.69813943</v>
      </c>
      <c r="AH10" s="182"/>
    </row>
    <row r="11" spans="1:34" x14ac:dyDescent="0.35">
      <c r="A11" s="174" t="s">
        <v>25</v>
      </c>
      <c r="B11" s="206"/>
      <c r="C11" s="206">
        <f>'ABP Under Contract'!L11</f>
        <v>33119730</v>
      </c>
      <c r="D11" s="206">
        <f>'ABP Under Contract'!M11</f>
        <v>67489806</v>
      </c>
      <c r="E11" s="206">
        <f>'ABP Under Contract'!N11</f>
        <v>1105326</v>
      </c>
      <c r="F11" s="206">
        <f>'ABP Under Contract'!O11</f>
        <v>7699892</v>
      </c>
      <c r="G11" s="206"/>
      <c r="H11" s="206">
        <v>4480482.7749063233</v>
      </c>
      <c r="I11" s="206">
        <f t="shared" si="0"/>
        <v>22594914.147020839</v>
      </c>
      <c r="J11" s="206">
        <v>50090995.499999993</v>
      </c>
      <c r="K11" s="206">
        <v>48242681.936481982</v>
      </c>
      <c r="L11" s="206">
        <v>8389583.225624999</v>
      </c>
      <c r="M11" s="206">
        <f t="shared" si="1"/>
        <v>16862404.659270328</v>
      </c>
      <c r="N11" s="206">
        <v>10000000</v>
      </c>
      <c r="O11" s="206">
        <v>50000000</v>
      </c>
      <c r="P11" s="206">
        <f t="shared" si="2"/>
        <v>320075816.24330449</v>
      </c>
      <c r="Q11" s="251">
        <v>137710167.37198272</v>
      </c>
      <c r="R11" s="251">
        <v>70891374.859049127</v>
      </c>
      <c r="S11" s="251">
        <v>47106299.898948908</v>
      </c>
      <c r="T11" s="251">
        <v>47800675.775934637</v>
      </c>
      <c r="U11" s="251">
        <v>19269818.001049299</v>
      </c>
      <c r="V11" s="251">
        <v>74390323.942468435</v>
      </c>
      <c r="W11" s="252">
        <v>68215644.374999985</v>
      </c>
      <c r="X11" s="252">
        <v>31218128.120700322</v>
      </c>
      <c r="Y11" s="196">
        <v>0</v>
      </c>
      <c r="Z11" s="197">
        <f t="shared" si="9"/>
        <v>496602432.34513336</v>
      </c>
      <c r="AA11" s="194">
        <f t="shared" si="4"/>
        <v>444379869.69813943</v>
      </c>
      <c r="AB11" s="194">
        <f>'Collections and ACP'!K14</f>
        <v>562080155.30901098</v>
      </c>
      <c r="AC11" s="194">
        <f t="shared" si="5"/>
        <v>1006460025.0071504</v>
      </c>
      <c r="AD11" s="194">
        <f t="shared" si="6"/>
        <v>816678248.5884378</v>
      </c>
      <c r="AE11" s="207">
        <f t="shared" si="7"/>
        <v>189781776.41871262</v>
      </c>
      <c r="AF11" s="206"/>
      <c r="AG11" s="208">
        <f t="shared" si="8"/>
        <v>189781776.41871262</v>
      </c>
      <c r="AH11" s="182"/>
    </row>
    <row r="12" spans="1:34" x14ac:dyDescent="0.35">
      <c r="A12" s="174" t="s">
        <v>26</v>
      </c>
      <c r="B12" s="206"/>
      <c r="C12" s="206">
        <f>'ABP Under Contract'!L12</f>
        <v>31840857</v>
      </c>
      <c r="D12" s="206">
        <f>'ABP Under Contract'!M12</f>
        <v>67395539</v>
      </c>
      <c r="E12" s="206">
        <f>'ABP Under Contract'!N12</f>
        <v>1104274</v>
      </c>
      <c r="F12" s="206">
        <f>'ABP Under Contract'!O12</f>
        <v>7665397</v>
      </c>
      <c r="G12" s="206"/>
      <c r="H12" s="206">
        <v>4478132.259204451</v>
      </c>
      <c r="I12" s="206">
        <f t="shared" si="0"/>
        <v>22594914.147020839</v>
      </c>
      <c r="J12" s="206">
        <v>38760267.546000019</v>
      </c>
      <c r="K12" s="206">
        <v>42759786.489911333</v>
      </c>
      <c r="L12" s="206">
        <v>7997488.5783914626</v>
      </c>
      <c r="M12" s="206">
        <f t="shared" si="1"/>
        <v>16906426.967615873</v>
      </c>
      <c r="N12" s="206"/>
      <c r="O12" s="206">
        <v>50000000</v>
      </c>
      <c r="P12" s="206">
        <f t="shared" si="2"/>
        <v>291503082.98814398</v>
      </c>
      <c r="Q12" s="251">
        <v>132201760.67710342</v>
      </c>
      <c r="R12" s="251">
        <v>83675734.262324885</v>
      </c>
      <c r="S12" s="251">
        <v>58754687.247220181</v>
      </c>
      <c r="T12" s="251">
        <v>54548280.560476139</v>
      </c>
      <c r="U12" s="251">
        <v>23821625.470394641</v>
      </c>
      <c r="V12" s="251">
        <v>88595167.723885924</v>
      </c>
      <c r="W12" s="252">
        <v>91741749.999999985</v>
      </c>
      <c r="X12" s="252">
        <v>59690332.509545475</v>
      </c>
      <c r="Y12" s="196">
        <v>4205304.875</v>
      </c>
      <c r="Z12" s="197">
        <f t="shared" si="9"/>
        <v>597234643.32595062</v>
      </c>
      <c r="AA12" s="194">
        <f t="shared" si="4"/>
        <v>189781776.41871262</v>
      </c>
      <c r="AB12" s="194">
        <f>'Collections and ACP'!K15</f>
        <v>563547565.58719575</v>
      </c>
      <c r="AC12" s="194">
        <f t="shared" si="5"/>
        <v>753329342.00590837</v>
      </c>
      <c r="AD12" s="194">
        <f t="shared" si="6"/>
        <v>888737726.31409454</v>
      </c>
      <c r="AE12" s="207">
        <f t="shared" si="7"/>
        <v>-135408384.30818617</v>
      </c>
      <c r="AF12" s="206"/>
      <c r="AG12" s="208">
        <f t="shared" si="8"/>
        <v>-135408384.30818617</v>
      </c>
      <c r="AH12" s="182"/>
    </row>
    <row r="13" spans="1:34" x14ac:dyDescent="0.35">
      <c r="A13" s="174" t="s">
        <v>27</v>
      </c>
      <c r="B13" s="206"/>
      <c r="C13" s="206">
        <f>'ABP Under Contract'!L13</f>
        <v>23703635</v>
      </c>
      <c r="D13" s="206">
        <f>'ABP Under Contract'!M13</f>
        <v>67300913</v>
      </c>
      <c r="E13" s="206">
        <f>'ABP Under Contract'!N13</f>
        <v>1103294</v>
      </c>
      <c r="F13" s="206">
        <f>'ABP Under Contract'!O13</f>
        <v>7631408</v>
      </c>
      <c r="G13" s="206"/>
      <c r="H13" s="206">
        <v>4338008.6485485407</v>
      </c>
      <c r="I13" s="206">
        <f t="shared" si="0"/>
        <v>22594914.147020839</v>
      </c>
      <c r="J13" s="206">
        <v>25454503.183200002</v>
      </c>
      <c r="K13" s="206">
        <v>36421415.208796337</v>
      </c>
      <c r="L13" s="206">
        <v>7548376.9321976025</v>
      </c>
      <c r="M13" s="206">
        <f t="shared" si="1"/>
        <v>16920397.12592769</v>
      </c>
      <c r="N13" s="206"/>
      <c r="O13" s="206">
        <v>50000000</v>
      </c>
      <c r="P13" s="206">
        <f t="shared" si="2"/>
        <v>263016865.24569103</v>
      </c>
      <c r="Q13" s="251">
        <v>126913690.25001927</v>
      </c>
      <c r="R13" s="251">
        <v>95948719.2894696</v>
      </c>
      <c r="S13" s="251">
        <v>69869475.904839456</v>
      </c>
      <c r="T13" s="251">
        <v>60982682.994558103</v>
      </c>
      <c r="U13" s="251">
        <v>28191360.640966173</v>
      </c>
      <c r="V13" s="251">
        <v>102231817.75404674</v>
      </c>
      <c r="W13" s="252">
        <v>88736876.25000003</v>
      </c>
      <c r="X13" s="252">
        <v>78488536.682632089</v>
      </c>
      <c r="Y13" s="196">
        <v>8037676.9632075001</v>
      </c>
      <c r="Z13" s="197">
        <f t="shared" si="9"/>
        <v>659400836.72973895</v>
      </c>
      <c r="AA13" s="194">
        <f t="shared" si="4"/>
        <v>-135408384.30818617</v>
      </c>
      <c r="AB13" s="194">
        <f>'Collections and ACP'!K16</f>
        <v>564013237.53092301</v>
      </c>
      <c r="AC13" s="194">
        <f t="shared" si="5"/>
        <v>428604853.22273684</v>
      </c>
      <c r="AD13" s="194">
        <f t="shared" si="6"/>
        <v>922417701.97543001</v>
      </c>
      <c r="AE13" s="207">
        <f t="shared" si="7"/>
        <v>-493812848.75269318</v>
      </c>
      <c r="AF13" s="206"/>
      <c r="AG13" s="208">
        <f t="shared" si="8"/>
        <v>-493812848.75269318</v>
      </c>
      <c r="AH13" s="182"/>
    </row>
    <row r="14" spans="1:34" x14ac:dyDescent="0.35">
      <c r="A14" s="174" t="s">
        <v>28</v>
      </c>
      <c r="B14" s="206"/>
      <c r="C14" s="206">
        <f>'ABP Under Contract'!L14</f>
        <v>2063335</v>
      </c>
      <c r="D14" s="206">
        <f>'ABP Under Contract'!M14</f>
        <v>67207305</v>
      </c>
      <c r="E14" s="206">
        <f>'ABP Under Contract'!N14</f>
        <v>1102176</v>
      </c>
      <c r="F14" s="206">
        <f>'ABP Under Contract'!O14</f>
        <v>6768481</v>
      </c>
      <c r="G14" s="206"/>
      <c r="H14" s="206">
        <v>4303453.6786395097</v>
      </c>
      <c r="I14" s="206">
        <f t="shared" si="0"/>
        <v>22594914.147020839</v>
      </c>
      <c r="J14" s="206">
        <v>23480792.298599992</v>
      </c>
      <c r="K14" s="206">
        <v>35335361.985459417</v>
      </c>
      <c r="L14" s="206">
        <v>7450251.0360031985</v>
      </c>
      <c r="M14" s="206">
        <f t="shared" si="1"/>
        <v>17023386.929470729</v>
      </c>
      <c r="N14" s="206">
        <v>10000000</v>
      </c>
      <c r="O14" s="206">
        <v>50000000</v>
      </c>
      <c r="P14" s="206">
        <f t="shared" si="2"/>
        <v>247329457.07519367</v>
      </c>
      <c r="Q14" s="251">
        <v>121837142.64001849</v>
      </c>
      <c r="R14" s="251">
        <v>94454846.939066276</v>
      </c>
      <c r="S14" s="251">
        <v>80472348.135416418</v>
      </c>
      <c r="T14" s="251">
        <v>67116627.66299428</v>
      </c>
      <c r="U14" s="251">
        <v>28257822.606258333</v>
      </c>
      <c r="V14" s="251">
        <v>104949829.93229586</v>
      </c>
      <c r="W14" s="252">
        <v>69929953.799999997</v>
      </c>
      <c r="X14" s="252">
        <v>88839561.976979911</v>
      </c>
      <c r="Y14" s="196">
        <v>11408078.212770455</v>
      </c>
      <c r="Z14" s="197">
        <f t="shared" si="9"/>
        <v>667266211.90579987</v>
      </c>
      <c r="AA14" s="194">
        <f t="shared" si="4"/>
        <v>-493812848.75269318</v>
      </c>
      <c r="AB14" s="194">
        <f>'Collections and ACP'!K17</f>
        <v>567446230.98235762</v>
      </c>
      <c r="AC14" s="194">
        <f t="shared" si="5"/>
        <v>73633382.229664445</v>
      </c>
      <c r="AD14" s="194">
        <f t="shared" si="6"/>
        <v>914595668.98099351</v>
      </c>
      <c r="AE14" s="207">
        <f t="shared" si="7"/>
        <v>-840962286.75132906</v>
      </c>
      <c r="AF14" s="206"/>
      <c r="AG14" s="208">
        <f>AE14-AF14</f>
        <v>-840962286.75132906</v>
      </c>
      <c r="AH14" s="182"/>
    </row>
    <row r="15" spans="1:34" x14ac:dyDescent="0.35">
      <c r="A15" s="174" t="s">
        <v>29</v>
      </c>
      <c r="B15" s="206"/>
      <c r="C15" s="206"/>
      <c r="D15" s="206">
        <f>'ABP Under Contract'!M15</f>
        <v>67114176</v>
      </c>
      <c r="E15" s="206">
        <f>'ABP Under Contract'!N15</f>
        <v>1101261</v>
      </c>
      <c r="F15" s="206"/>
      <c r="G15" s="206"/>
      <c r="H15" s="206">
        <v>4261079.6921323007</v>
      </c>
      <c r="I15" s="206">
        <f t="shared" si="0"/>
        <v>22594914.147020839</v>
      </c>
      <c r="J15" s="206">
        <v>19324468.035600007</v>
      </c>
      <c r="K15" s="206">
        <v>33264634.802154139</v>
      </c>
      <c r="L15" s="206">
        <v>7286476.3591199862</v>
      </c>
      <c r="M15" s="206">
        <f t="shared" si="1"/>
        <v>17120451.256649822</v>
      </c>
      <c r="N15" s="206"/>
      <c r="O15" s="206">
        <v>50000000</v>
      </c>
      <c r="P15" s="206">
        <f t="shared" si="2"/>
        <v>222067461.2926771</v>
      </c>
      <c r="Q15" s="251">
        <v>116963656.93441775</v>
      </c>
      <c r="R15" s="251">
        <v>90676653.061503619</v>
      </c>
      <c r="S15" s="251">
        <v>90584117.220436439</v>
      </c>
      <c r="T15" s="251">
        <v>72962348.284751892</v>
      </c>
      <c r="U15" s="251">
        <v>32284970.539457057</v>
      </c>
      <c r="V15" s="251">
        <v>100751836.73500402</v>
      </c>
      <c r="W15" s="252">
        <v>75258949.674999982</v>
      </c>
      <c r="X15" s="252">
        <v>100363639.3277775</v>
      </c>
      <c r="Y15" s="196">
        <v>15050821.205771051</v>
      </c>
      <c r="Z15" s="197">
        <f t="shared" si="9"/>
        <v>694896992.98411942</v>
      </c>
      <c r="AA15" s="194">
        <f t="shared" si="4"/>
        <v>-840962286.75132906</v>
      </c>
      <c r="AB15" s="194">
        <f>'Collections and ACP'!K18</f>
        <v>570681708.55499411</v>
      </c>
      <c r="AC15" s="194">
        <f t="shared" si="5"/>
        <v>-270280578.19633496</v>
      </c>
      <c r="AD15" s="194">
        <f t="shared" si="6"/>
        <v>916964454.27679658</v>
      </c>
      <c r="AE15" s="207">
        <f t="shared" si="7"/>
        <v>-1187245032.4731317</v>
      </c>
      <c r="AF15" s="206"/>
      <c r="AG15" s="208">
        <f t="shared" si="8"/>
        <v>-1187245032.4731317</v>
      </c>
      <c r="AH15" s="182"/>
    </row>
    <row r="16" spans="1:34" x14ac:dyDescent="0.35">
      <c r="A16" s="174" t="s">
        <v>30</v>
      </c>
      <c r="B16" s="206"/>
      <c r="C16" s="206"/>
      <c r="D16" s="206">
        <f>'ABP Under Contract'!M16</f>
        <v>67021346</v>
      </c>
      <c r="E16" s="206">
        <f>'ABP Under Contract'!N16</f>
        <v>1100216</v>
      </c>
      <c r="F16" s="206"/>
      <c r="G16" s="206"/>
      <c r="H16" s="206"/>
      <c r="I16" s="206">
        <f t="shared" si="0"/>
        <v>22594914.147020839</v>
      </c>
      <c r="J16" s="206">
        <v>12388615.402800001</v>
      </c>
      <c r="K16" s="206">
        <v>29953424.663027085</v>
      </c>
      <c r="L16" s="206">
        <v>7039964.1054851543</v>
      </c>
      <c r="M16" s="206">
        <f t="shared" si="1"/>
        <v>17234402.603198845</v>
      </c>
      <c r="N16" s="206"/>
      <c r="O16" s="206">
        <v>50000000</v>
      </c>
      <c r="P16" s="206">
        <f t="shared" si="2"/>
        <v>207332882.92153192</v>
      </c>
      <c r="Q16" s="251">
        <v>112285110.65704104</v>
      </c>
      <c r="R16" s="251">
        <v>87049586.939043477</v>
      </c>
      <c r="S16" s="251">
        <v>100224762.22700348</v>
      </c>
      <c r="T16" s="251">
        <v>78531588.152997836</v>
      </c>
      <c r="U16" s="251">
        <v>30993571.717878774</v>
      </c>
      <c r="V16" s="251">
        <v>96721763.265603855</v>
      </c>
      <c r="W16" s="252">
        <v>70785597.200000033</v>
      </c>
      <c r="X16" s="252">
        <v>107943113.25552809</v>
      </c>
      <c r="Y16" s="196">
        <v>18446306.259159245</v>
      </c>
      <c r="Z16" s="197">
        <f t="shared" si="9"/>
        <v>702981399.67425585</v>
      </c>
      <c r="AA16" s="194">
        <f t="shared" si="4"/>
        <v>-1187245032.4731317</v>
      </c>
      <c r="AB16" s="194">
        <f>'Collections and ACP'!K19</f>
        <v>574480086.77329481</v>
      </c>
      <c r="AC16" s="194">
        <f t="shared" si="5"/>
        <v>-612764945.69983685</v>
      </c>
      <c r="AD16" s="194">
        <f t="shared" si="6"/>
        <v>910314282.59578776</v>
      </c>
      <c r="AE16" s="207">
        <f t="shared" si="7"/>
        <v>-1523079228.2956247</v>
      </c>
      <c r="AF16" s="206"/>
      <c r="AG16" s="208">
        <f t="shared" si="8"/>
        <v>-1523079228.2956247</v>
      </c>
      <c r="AH16" s="182"/>
    </row>
    <row r="17" spans="1:34" x14ac:dyDescent="0.35">
      <c r="A17" s="174" t="s">
        <v>31</v>
      </c>
      <c r="B17" s="206"/>
      <c r="C17" s="206"/>
      <c r="D17" s="206">
        <f>'ABP Under Contract'!M17</f>
        <v>66928876</v>
      </c>
      <c r="E17" s="206">
        <f>'ABP Under Contract'!N17</f>
        <v>1099163</v>
      </c>
      <c r="F17" s="206"/>
      <c r="G17" s="206"/>
      <c r="H17" s="206"/>
      <c r="I17" s="206">
        <f t="shared" si="0"/>
        <v>20941094.263402294</v>
      </c>
      <c r="J17" s="206">
        <v>6179750.4131999938</v>
      </c>
      <c r="K17" s="206">
        <v>27002480.999539863</v>
      </c>
      <c r="L17" s="206">
        <v>6817644.4249799764</v>
      </c>
      <c r="M17" s="206">
        <f t="shared" si="1"/>
        <v>17289396.046359867</v>
      </c>
      <c r="N17" s="206"/>
      <c r="O17" s="206">
        <v>50000000</v>
      </c>
      <c r="P17" s="206">
        <f t="shared" si="2"/>
        <v>196258405.14748198</v>
      </c>
      <c r="Q17" s="251">
        <v>53896853.115379699</v>
      </c>
      <c r="R17" s="251">
        <v>78035446.693503425</v>
      </c>
      <c r="S17" s="251">
        <v>109413461.38483094</v>
      </c>
      <c r="T17" s="251">
        <v>80987274.984874293</v>
      </c>
      <c r="U17" s="251">
        <v>29753828.849163622</v>
      </c>
      <c r="V17" s="251">
        <v>86706051.88167049</v>
      </c>
      <c r="W17" s="252">
        <v>44245055.010000005</v>
      </c>
      <c r="X17" s="252">
        <v>106433488.58740476</v>
      </c>
      <c r="Y17" s="196">
        <v>19950689.341634467</v>
      </c>
      <c r="Z17" s="197">
        <f t="shared" si="9"/>
        <v>609422149.84846175</v>
      </c>
      <c r="AA17" s="194">
        <f t="shared" si="4"/>
        <v>-1523079228.2956247</v>
      </c>
      <c r="AB17" s="194">
        <f>'Collections and ACP'!K20</f>
        <v>576313201.54532886</v>
      </c>
      <c r="AC17" s="194">
        <f t="shared" si="5"/>
        <v>-946766026.75029588</v>
      </c>
      <c r="AD17" s="194">
        <f t="shared" si="6"/>
        <v>805680554.99594378</v>
      </c>
      <c r="AE17" s="207">
        <f t="shared" si="7"/>
        <v>-1752446581.7462397</v>
      </c>
      <c r="AF17" s="206"/>
      <c r="AG17" s="208">
        <f t="shared" si="8"/>
        <v>-1752446581.7462397</v>
      </c>
      <c r="AH17" s="182"/>
    </row>
    <row r="18" spans="1:34" x14ac:dyDescent="0.35">
      <c r="A18" s="174" t="s">
        <v>32</v>
      </c>
      <c r="B18" s="206"/>
      <c r="C18" s="206"/>
      <c r="D18" s="206">
        <f>'ABP Under Contract'!M18</f>
        <v>66837125</v>
      </c>
      <c r="E18" s="206">
        <f>'ABP Under Contract'!N18</f>
        <v>1098183</v>
      </c>
      <c r="F18" s="206"/>
      <c r="G18" s="206"/>
      <c r="H18" s="206"/>
      <c r="I18" s="206">
        <f t="shared" si="0"/>
        <v>20941094.263402294</v>
      </c>
      <c r="J18" s="206">
        <v>-2206259.7647999893</v>
      </c>
      <c r="K18" s="206">
        <v>23102973.547455892</v>
      </c>
      <c r="L18" s="206">
        <v>6532086.2308645044</v>
      </c>
      <c r="M18" s="206">
        <f t="shared" si="1"/>
        <v>17378693.799014561</v>
      </c>
      <c r="N18" s="206"/>
      <c r="O18" s="206">
        <v>50000000</v>
      </c>
      <c r="P18" s="206">
        <f t="shared" si="2"/>
        <v>183683896.07593727</v>
      </c>
      <c r="Q18" s="251">
        <v>51740978.990764506</v>
      </c>
      <c r="R18" s="251">
        <v>69689214.100450456</v>
      </c>
      <c r="S18" s="251">
        <v>113517509.10300875</v>
      </c>
      <c r="T18" s="251">
        <v>83316749.591685742</v>
      </c>
      <c r="U18" s="251">
        <v>26672766.715279326</v>
      </c>
      <c r="V18" s="251">
        <v>77432460.11161162</v>
      </c>
      <c r="W18" s="252">
        <v>23202359.609999973</v>
      </c>
      <c r="X18" s="252">
        <v>104327686.80648641</v>
      </c>
      <c r="Y18" s="196">
        <v>21392244.454803918</v>
      </c>
      <c r="Z18" s="197">
        <f t="shared" si="9"/>
        <v>571291969.48409069</v>
      </c>
      <c r="AA18" s="194">
        <f t="shared" si="4"/>
        <v>-1752446581.7462397</v>
      </c>
      <c r="AB18" s="194">
        <f>'Collections and ACP'!K21</f>
        <v>579289793.30048537</v>
      </c>
      <c r="AC18" s="194">
        <f t="shared" si="5"/>
        <v>-1173156788.4457543</v>
      </c>
      <c r="AD18" s="194">
        <f t="shared" si="6"/>
        <v>754975865.56002796</v>
      </c>
      <c r="AE18" s="207">
        <f t="shared" si="7"/>
        <v>-1928132654.0057821</v>
      </c>
      <c r="AF18" s="206"/>
      <c r="AG18" s="208">
        <f t="shared" si="8"/>
        <v>-1928132654.0057821</v>
      </c>
      <c r="AH18" s="182"/>
    </row>
    <row r="19" spans="1:34" x14ac:dyDescent="0.35">
      <c r="A19" s="174" t="s">
        <v>33</v>
      </c>
      <c r="B19" s="206"/>
      <c r="C19" s="206"/>
      <c r="D19" s="206">
        <f>'ABP Under Contract'!M19</f>
        <v>66745792</v>
      </c>
      <c r="E19" s="206">
        <f>'ABP Under Contract'!N19</f>
        <v>1097137</v>
      </c>
      <c r="F19" s="206"/>
      <c r="G19" s="206"/>
      <c r="H19" s="206"/>
      <c r="I19" s="206">
        <f t="shared" si="0"/>
        <v>17493544.263402294</v>
      </c>
      <c r="J19" s="206">
        <v>-10515191.941800009</v>
      </c>
      <c r="K19" s="206">
        <v>19276213.558837976</v>
      </c>
      <c r="L19" s="206">
        <v>6251512.9468774088</v>
      </c>
      <c r="M19" s="206">
        <f t="shared" si="1"/>
        <v>17444210.839039307</v>
      </c>
      <c r="N19" s="206"/>
      <c r="O19" s="206">
        <v>50000000</v>
      </c>
      <c r="P19" s="206">
        <f t="shared" si="2"/>
        <v>167793218.66635698</v>
      </c>
      <c r="Q19" s="251">
        <v>49671339.831133924</v>
      </c>
      <c r="R19" s="251">
        <v>61676830.811119616</v>
      </c>
      <c r="S19" s="251">
        <v>117414991.98159161</v>
      </c>
      <c r="T19" s="251">
        <v>85525200.386193693</v>
      </c>
      <c r="U19" s="251">
        <v>23819997.56563472</v>
      </c>
      <c r="V19" s="251">
        <v>68529812.012355119</v>
      </c>
      <c r="W19" s="252">
        <v>-9293768.2399999574</v>
      </c>
      <c r="X19" s="252">
        <v>96565845.158845648</v>
      </c>
      <c r="Y19" s="196">
        <v>22491022.820229799</v>
      </c>
      <c r="Z19" s="197">
        <f t="shared" si="9"/>
        <v>516401272.32710421</v>
      </c>
      <c r="AA19" s="194">
        <f t="shared" si="4"/>
        <v>-1928132654.0057821</v>
      </c>
      <c r="AB19" s="194">
        <f>'Collections and ACP'!K22</f>
        <v>581473694.63464355</v>
      </c>
      <c r="AC19" s="194">
        <f t="shared" si="5"/>
        <v>-1346658959.3711386</v>
      </c>
      <c r="AD19" s="194">
        <f t="shared" si="6"/>
        <v>684194490.99346113</v>
      </c>
      <c r="AE19" s="207">
        <f t="shared" si="7"/>
        <v>-2030853450.3645997</v>
      </c>
      <c r="AF19" s="206"/>
      <c r="AG19" s="208">
        <f t="shared" si="8"/>
        <v>-2030853450.3645997</v>
      </c>
      <c r="AH19" s="182"/>
    </row>
    <row r="20" spans="1:34" x14ac:dyDescent="0.35">
      <c r="A20" s="174" t="s">
        <v>34</v>
      </c>
      <c r="B20" s="206"/>
      <c r="C20" s="206"/>
      <c r="D20" s="206">
        <f>'ABP Under Contract'!M20</f>
        <v>66654580</v>
      </c>
      <c r="E20" s="206">
        <f>'ABP Under Contract'!N20</f>
        <v>1096157</v>
      </c>
      <c r="F20" s="206"/>
      <c r="G20" s="206"/>
      <c r="H20" s="206"/>
      <c r="I20" s="206">
        <f t="shared" si="0"/>
        <v>5880413.46</v>
      </c>
      <c r="J20" s="206">
        <v>-18627502.311599988</v>
      </c>
      <c r="K20" s="206">
        <v>15574527.046318091</v>
      </c>
      <c r="L20" s="206">
        <v>5979419.3475985322</v>
      </c>
      <c r="M20" s="206">
        <f t="shared" si="1"/>
        <v>17522169.661825232</v>
      </c>
      <c r="N20" s="206"/>
      <c r="O20" s="206">
        <v>50000000</v>
      </c>
      <c r="P20" s="206">
        <f t="shared" si="2"/>
        <v>144079764.20414186</v>
      </c>
      <c r="Q20" s="251">
        <v>47684486.237888567</v>
      </c>
      <c r="R20" s="251">
        <v>53984942.853361979</v>
      </c>
      <c r="S20" s="251">
        <v>121114384.62881763</v>
      </c>
      <c r="T20" s="251">
        <v>87617607.5450304</v>
      </c>
      <c r="U20" s="251">
        <v>21081339.181975897</v>
      </c>
      <c r="V20" s="251">
        <v>59983269.837068878</v>
      </c>
      <c r="W20" s="252">
        <v>-43331834.925000019</v>
      </c>
      <c r="X20" s="252">
        <v>86768260.012678623</v>
      </c>
      <c r="Y20" s="196">
        <v>23443670.939338304</v>
      </c>
      <c r="Z20" s="197">
        <f t="shared" si="9"/>
        <v>458346126.31116027</v>
      </c>
      <c r="AA20" s="194">
        <f t="shared" si="4"/>
        <v>-2030853450.3645997</v>
      </c>
      <c r="AB20" s="194">
        <f>'Collections and ACP'!K23</f>
        <v>584072322.06084108</v>
      </c>
      <c r="AC20" s="194">
        <f t="shared" si="5"/>
        <v>-1446781128.3037586</v>
      </c>
      <c r="AD20" s="194">
        <f t="shared" si="6"/>
        <v>602425890.51530218</v>
      </c>
      <c r="AE20" s="207">
        <f t="shared" si="7"/>
        <v>-2049207018.8190608</v>
      </c>
      <c r="AF20" s="206"/>
      <c r="AG20" s="208">
        <f t="shared" si="8"/>
        <v>-2049207018.8190608</v>
      </c>
      <c r="AH20" s="182"/>
    </row>
    <row r="21" spans="1:34" x14ac:dyDescent="0.35">
      <c r="A21" s="174" t="s">
        <v>35</v>
      </c>
      <c r="B21" s="206"/>
      <c r="C21" s="206"/>
      <c r="D21" s="206">
        <f>'ABP Under Contract'!M21</f>
        <v>66564505</v>
      </c>
      <c r="E21" s="206">
        <f>'ABP Under Contract'!N21</f>
        <v>1095177</v>
      </c>
      <c r="F21" s="206"/>
      <c r="G21" s="206"/>
      <c r="H21" s="206"/>
      <c r="I21" s="206">
        <f t="shared" si="0"/>
        <v>0</v>
      </c>
      <c r="J21" s="206">
        <v>-26738644.295999974</v>
      </c>
      <c r="K21" s="206">
        <v>11909892.155807881</v>
      </c>
      <c r="L21" s="206">
        <v>5709924.9097590083</v>
      </c>
      <c r="M21" s="206">
        <f t="shared" si="1"/>
        <v>17559698.762090176</v>
      </c>
      <c r="N21" s="206"/>
      <c r="O21" s="206">
        <v>50000000</v>
      </c>
      <c r="P21" s="206">
        <f t="shared" si="2"/>
        <v>126100553.5316571</v>
      </c>
      <c r="Q21" s="251">
        <v>45777106.788373023</v>
      </c>
      <c r="R21" s="251">
        <v>46600730.413914673</v>
      </c>
      <c r="S21" s="251">
        <v>124623821.60852216</v>
      </c>
      <c r="T21" s="251">
        <v>89598751.341642231</v>
      </c>
      <c r="U21" s="251">
        <v>18452227.133663423</v>
      </c>
      <c r="V21" s="251">
        <v>51778589.348794088</v>
      </c>
      <c r="W21" s="252">
        <v>-80173315.809999928</v>
      </c>
      <c r="X21" s="252">
        <v>75231694.189178407</v>
      </c>
      <c r="Y21" s="196">
        <v>24267716.770484574</v>
      </c>
      <c r="Z21" s="197">
        <f t="shared" si="9"/>
        <v>396157321.78457266</v>
      </c>
      <c r="AA21" s="194">
        <f t="shared" si="4"/>
        <v>-2049207018.8190608</v>
      </c>
      <c r="AB21" s="194">
        <f>'Collections and ACP'!K24</f>
        <v>585323292.06967258</v>
      </c>
      <c r="AC21" s="194">
        <f t="shared" si="5"/>
        <v>-1463883726.7493882</v>
      </c>
      <c r="AD21" s="194">
        <f t="shared" si="6"/>
        <v>522257875.31622976</v>
      </c>
      <c r="AE21" s="207">
        <f t="shared" si="7"/>
        <v>-1986141602.065618</v>
      </c>
      <c r="AF21" s="206"/>
      <c r="AG21" s="208">
        <f t="shared" si="8"/>
        <v>-1986141602.065618</v>
      </c>
      <c r="AH21" s="182"/>
    </row>
    <row r="22" spans="1:34" x14ac:dyDescent="0.35">
      <c r="A22" s="174" t="s">
        <v>36</v>
      </c>
      <c r="B22" s="206"/>
      <c r="C22" s="206"/>
      <c r="D22" s="206">
        <f>'ABP Under Contract'!M22</f>
        <v>66474431</v>
      </c>
      <c r="E22" s="206">
        <f>'ABP Under Contract'!N22</f>
        <v>1094263</v>
      </c>
      <c r="F22" s="206"/>
      <c r="G22" s="206"/>
      <c r="H22" s="206"/>
      <c r="I22" s="206">
        <f t="shared" si="0"/>
        <v>0</v>
      </c>
      <c r="J22" s="206">
        <v>-34553154.472200006</v>
      </c>
      <c r="K22" s="206">
        <v>8412029.5393221267</v>
      </c>
      <c r="L22" s="206">
        <v>5451694.4111100836</v>
      </c>
      <c r="M22" s="206">
        <f t="shared" si="1"/>
        <v>17642751.566603485</v>
      </c>
      <c r="N22" s="206"/>
      <c r="O22" s="206">
        <v>50000000</v>
      </c>
      <c r="P22" s="206">
        <f t="shared" si="2"/>
        <v>114522015.04483569</v>
      </c>
      <c r="Q22" s="251">
        <v>43946022.516838104</v>
      </c>
      <c r="R22" s="251">
        <v>39511886.472045258</v>
      </c>
      <c r="S22" s="251">
        <v>127951111.04721424</v>
      </c>
      <c r="T22" s="251">
        <v>91473220.145897582</v>
      </c>
      <c r="U22" s="251">
        <v>15928279.567283457</v>
      </c>
      <c r="V22" s="251">
        <v>43902096.080050297</v>
      </c>
      <c r="W22" s="252">
        <v>-119981096.19999987</v>
      </c>
      <c r="X22" s="252">
        <v>61611909.764071189</v>
      </c>
      <c r="Y22" s="196">
        <v>24944103.246725257</v>
      </c>
      <c r="Z22" s="197">
        <f t="shared" si="9"/>
        <v>329287532.64012545</v>
      </c>
      <c r="AA22" s="194">
        <f t="shared" si="4"/>
        <v>-1986141602.065618</v>
      </c>
      <c r="AB22" s="194">
        <f>'Collections and ACP'!K25</f>
        <v>588091718.88678288</v>
      </c>
      <c r="AC22" s="194">
        <f t="shared" si="5"/>
        <v>-1398049883.1788352</v>
      </c>
      <c r="AD22" s="194">
        <f t="shared" si="6"/>
        <v>443809547.68496114</v>
      </c>
      <c r="AE22" s="207">
        <f t="shared" si="7"/>
        <v>-1841859430.8637962</v>
      </c>
      <c r="AF22" s="206"/>
      <c r="AG22" s="208">
        <f t="shared" si="8"/>
        <v>-1841859430.8637962</v>
      </c>
      <c r="AH22" s="182"/>
    </row>
    <row r="23" spans="1:34" x14ac:dyDescent="0.35">
      <c r="A23" s="174" t="s">
        <v>37</v>
      </c>
      <c r="B23" s="206"/>
      <c r="C23" s="206"/>
      <c r="D23" s="206">
        <f>'ABP Under Contract'!M23</f>
        <v>64892331</v>
      </c>
      <c r="E23" s="206">
        <f>'ABP Under Contract'!N23</f>
        <v>1093217</v>
      </c>
      <c r="F23" s="206"/>
      <c r="G23" s="206"/>
      <c r="H23" s="206"/>
      <c r="I23" s="206">
        <f t="shared" si="0"/>
        <v>0</v>
      </c>
      <c r="J23" s="206">
        <v>-42049372.638000011</v>
      </c>
      <c r="K23" s="206">
        <v>5088193.1533737089</v>
      </c>
      <c r="L23" s="206">
        <v>5205211.8018488623</v>
      </c>
      <c r="M23" s="206">
        <f t="shared" si="1"/>
        <v>17710238.723197304</v>
      </c>
      <c r="N23" s="206"/>
      <c r="O23" s="206">
        <v>50000000</v>
      </c>
      <c r="P23" s="206">
        <f t="shared" si="2"/>
        <v>101939819.04041988</v>
      </c>
      <c r="Q23" s="251">
        <v>42188181.61616458</v>
      </c>
      <c r="R23" s="251">
        <v>32706596.287850611</v>
      </c>
      <c r="S23" s="251">
        <v>131103747.69684345</v>
      </c>
      <c r="T23" s="251">
        <v>93245418.103693068</v>
      </c>
      <c r="U23" s="251">
        <v>13505289.903558688</v>
      </c>
      <c r="V23" s="251">
        <v>36340662.54205624</v>
      </c>
      <c r="W23" s="252">
        <v>-161374622.53500006</v>
      </c>
      <c r="X23" s="252">
        <v>46619995.401541516</v>
      </c>
      <c r="Y23" s="196">
        <v>25514589.08572923</v>
      </c>
      <c r="Z23" s="197">
        <f t="shared" si="9"/>
        <v>259849858.10243732</v>
      </c>
      <c r="AA23" s="194">
        <f t="shared" si="4"/>
        <v>-1841859430.8637962</v>
      </c>
      <c r="AB23" s="194">
        <f>'Collections and ACP'!K26</f>
        <v>590341290.77324343</v>
      </c>
      <c r="AC23" s="194">
        <f t="shared" si="5"/>
        <v>-1251518140.0905528</v>
      </c>
      <c r="AD23" s="194">
        <f t="shared" si="6"/>
        <v>361789677.14285719</v>
      </c>
      <c r="AE23" s="207">
        <f t="shared" si="7"/>
        <v>-1613307817.2334099</v>
      </c>
      <c r="AF23" s="206"/>
      <c r="AG23" s="208">
        <f t="shared" si="8"/>
        <v>-1613307817.2334099</v>
      </c>
      <c r="AH23" s="182"/>
    </row>
    <row r="24" spans="1:34" x14ac:dyDescent="0.35">
      <c r="A24" s="174" t="s">
        <v>38</v>
      </c>
      <c r="B24" s="206"/>
      <c r="C24" s="206"/>
      <c r="D24" s="206">
        <f>'ABP Under Contract'!M24</f>
        <v>64803155</v>
      </c>
      <c r="E24" s="206">
        <f>'ABP Under Contract'!N24</f>
        <v>1092237</v>
      </c>
      <c r="F24" s="206"/>
      <c r="G24" s="206"/>
      <c r="H24" s="206"/>
      <c r="I24" s="206">
        <f t="shared" si="0"/>
        <v>0</v>
      </c>
      <c r="J24" s="206">
        <v>-49772482.523399979</v>
      </c>
      <c r="K24" s="206">
        <v>1698550.3518288459</v>
      </c>
      <c r="L24" s="206">
        <v>4954455.5384345092</v>
      </c>
      <c r="M24" s="206">
        <f t="shared" si="1"/>
        <v>17790826.711418759</v>
      </c>
      <c r="N24" s="206"/>
      <c r="O24" s="206">
        <v>50000000</v>
      </c>
      <c r="P24" s="206">
        <f t="shared" si="2"/>
        <v>90566742.078282133</v>
      </c>
      <c r="Q24" s="251">
        <v>40500654.351517998</v>
      </c>
      <c r="R24" s="251">
        <v>31398332.436336588</v>
      </c>
      <c r="S24" s="251">
        <v>134088925.47502992</v>
      </c>
      <c r="T24" s="251">
        <v>94919572.5093586</v>
      </c>
      <c r="U24" s="251">
        <v>11179219.826382907</v>
      </c>
      <c r="V24" s="251">
        <v>34887036.040373988</v>
      </c>
      <c r="W24" s="252">
        <v>-204085782.95000014</v>
      </c>
      <c r="X24" s="252">
        <v>30436867.017856266</v>
      </c>
      <c r="Y24" s="196">
        <v>25990953.153676692</v>
      </c>
      <c r="Z24" s="197">
        <f t="shared" si="9"/>
        <v>199315777.86053282</v>
      </c>
      <c r="AA24" s="194">
        <f t="shared" si="4"/>
        <v>-1613307817.2334099</v>
      </c>
      <c r="AB24" s="194">
        <f>'Collections and ACP'!K27</f>
        <v>593027557.04729199</v>
      </c>
      <c r="AC24" s="194">
        <f t="shared" si="5"/>
        <v>-1020280260.1861179</v>
      </c>
      <c r="AD24" s="194">
        <f t="shared" si="6"/>
        <v>289882519.93881494</v>
      </c>
      <c r="AE24" s="207">
        <f t="shared" si="7"/>
        <v>-1310162780.1249328</v>
      </c>
      <c r="AF24" s="206"/>
      <c r="AG24" s="208">
        <f t="shared" si="8"/>
        <v>-1310162780.1249328</v>
      </c>
      <c r="AH24" s="182"/>
    </row>
    <row r="25" spans="1:34" x14ac:dyDescent="0.35">
      <c r="A25" s="174" t="s">
        <v>39</v>
      </c>
      <c r="B25" s="206"/>
      <c r="C25" s="206"/>
      <c r="D25" s="206">
        <f>'ABP Under Contract'!M25</f>
        <v>55490290</v>
      </c>
      <c r="E25" s="206">
        <f>'ABP Under Contract'!N25</f>
        <v>1091322</v>
      </c>
      <c r="F25" s="206"/>
      <c r="G25" s="206"/>
      <c r="H25" s="206"/>
      <c r="I25" s="206">
        <f t="shared" si="0"/>
        <v>0</v>
      </c>
      <c r="J25" s="206">
        <v>-57351202.435800001</v>
      </c>
      <c r="K25" s="206">
        <v>-1594741.1534597282</v>
      </c>
      <c r="L25" s="206">
        <v>4710257.2181489049</v>
      </c>
      <c r="M25" s="206">
        <f t="shared" si="1"/>
        <v>17846294.061737649</v>
      </c>
      <c r="N25" s="206"/>
      <c r="O25" s="206">
        <v>50000000</v>
      </c>
      <c r="P25" s="206">
        <f t="shared" si="2"/>
        <v>70192219.69062683</v>
      </c>
      <c r="Q25" s="251">
        <v>0</v>
      </c>
      <c r="R25" s="251">
        <v>26151558.897158697</v>
      </c>
      <c r="S25" s="251">
        <v>136913549.50365862</v>
      </c>
      <c r="T25" s="251">
        <v>94444974.646811783</v>
      </c>
      <c r="U25" s="251">
        <v>10732051.033327591</v>
      </c>
      <c r="V25" s="251">
        <v>29057287.663509663</v>
      </c>
      <c r="W25" s="252">
        <v>-264359339.40999985</v>
      </c>
      <c r="X25" s="252">
        <v>11777524.134067945</v>
      </c>
      <c r="Y25" s="196">
        <v>26298071.064221829</v>
      </c>
      <c r="Z25" s="197">
        <f t="shared" si="9"/>
        <v>71015677.532756299</v>
      </c>
      <c r="AA25" s="194">
        <f t="shared" si="4"/>
        <v>-1310162780.1249328</v>
      </c>
      <c r="AB25" s="194">
        <f>'Collections and ACP'!K28</f>
        <v>594876468.72458827</v>
      </c>
      <c r="AC25" s="194">
        <f t="shared" si="5"/>
        <v>-715286311.40034449</v>
      </c>
      <c r="AD25" s="194">
        <f t="shared" si="6"/>
        <v>141207897.22338313</v>
      </c>
      <c r="AE25" s="207">
        <f t="shared" si="7"/>
        <v>-856494208.62372756</v>
      </c>
      <c r="AF25" s="206"/>
      <c r="AG25" s="208">
        <f t="shared" si="8"/>
        <v>-856494208.62372756</v>
      </c>
      <c r="AH25" s="182"/>
    </row>
    <row r="26" spans="1:34" x14ac:dyDescent="0.35">
      <c r="A26" s="174" t="s">
        <v>40</v>
      </c>
      <c r="B26" s="206"/>
      <c r="C26" s="206"/>
      <c r="D26" s="206">
        <f>'ABP Under Contract'!M26</f>
        <v>51805403</v>
      </c>
      <c r="E26" s="206">
        <f>'ABP Under Contract'!N26</f>
        <v>1090277</v>
      </c>
      <c r="F26" s="206"/>
      <c r="G26" s="206"/>
      <c r="H26" s="206"/>
      <c r="I26" s="206">
        <f t="shared" si="0"/>
        <v>0</v>
      </c>
      <c r="J26" s="206">
        <v>-65200631.168400019</v>
      </c>
      <c r="K26" s="206">
        <v>-28118217.811779752</v>
      </c>
      <c r="L26" s="206">
        <v>-1878309.6689225142</v>
      </c>
      <c r="M26" s="206">
        <f t="shared" si="1"/>
        <v>17902792.457592066</v>
      </c>
      <c r="N26" s="206"/>
      <c r="O26" s="206">
        <v>50000000</v>
      </c>
      <c r="P26" s="206">
        <f t="shared" si="2"/>
        <v>25601313.808489781</v>
      </c>
      <c r="Q26" s="251">
        <v>0</v>
      </c>
      <c r="R26" s="251">
        <v>21336369.646310393</v>
      </c>
      <c r="S26" s="251">
        <v>136228981.75614029</v>
      </c>
      <c r="T26" s="251">
        <v>93972749.773577705</v>
      </c>
      <c r="U26" s="251">
        <v>8938686.9590748679</v>
      </c>
      <c r="V26" s="251">
        <v>23707077.384789325</v>
      </c>
      <c r="W26" s="252">
        <v>-299360672.05499995</v>
      </c>
      <c r="X26" s="252">
        <v>-8415928.3698115088</v>
      </c>
      <c r="Y26" s="196">
        <v>26491681.038046937</v>
      </c>
      <c r="Z26" s="197">
        <f t="shared" si="9"/>
        <v>2898946.1331280544</v>
      </c>
      <c r="AA26" s="194">
        <f t="shared" si="4"/>
        <v>-856494208.62372756</v>
      </c>
      <c r="AB26" s="194">
        <f>'Collections and ACP'!K29</f>
        <v>596759748.58640218</v>
      </c>
      <c r="AC26" s="194">
        <f t="shared" si="5"/>
        <v>-259734460.03732538</v>
      </c>
      <c r="AD26" s="194">
        <f t="shared" si="6"/>
        <v>28500259.941617835</v>
      </c>
      <c r="AE26" s="207">
        <f t="shared" si="7"/>
        <v>-288234719.97894323</v>
      </c>
      <c r="AF26" s="206"/>
      <c r="AG26" s="208">
        <f t="shared" si="8"/>
        <v>-288234719.97894323</v>
      </c>
      <c r="AH26" s="182"/>
    </row>
    <row r="27" spans="1:34" x14ac:dyDescent="0.35">
      <c r="A27" s="174" t="s">
        <v>165</v>
      </c>
      <c r="B27" s="206"/>
      <c r="C27" s="206"/>
      <c r="D27" s="206">
        <f>'ABP Under Contract'!M27</f>
        <v>37004471</v>
      </c>
      <c r="E27" s="206">
        <f>'ABP Under Contract'!N27</f>
        <v>1032751</v>
      </c>
      <c r="F27" s="206"/>
      <c r="G27" s="206"/>
      <c r="H27" s="206"/>
      <c r="I27" s="206">
        <f t="shared" si="0"/>
        <v>0</v>
      </c>
      <c r="J27" s="206"/>
      <c r="K27" s="206"/>
      <c r="L27" s="206"/>
      <c r="M27" s="206">
        <f t="shared" si="1"/>
        <v>17902792.457592066</v>
      </c>
      <c r="N27" s="206"/>
      <c r="O27" s="206">
        <v>50000000</v>
      </c>
      <c r="P27" s="206">
        <f t="shared" si="2"/>
        <v>105940014.45759207</v>
      </c>
      <c r="Q27" s="251"/>
      <c r="R27" s="251"/>
      <c r="S27" s="251"/>
      <c r="T27" s="251"/>
      <c r="U27" s="251"/>
      <c r="V27" s="251"/>
      <c r="W27" s="252">
        <v>-352274472.43000025</v>
      </c>
      <c r="X27" s="252">
        <v>-185943037.92722958</v>
      </c>
      <c r="Y27" s="196">
        <v>-11161165.263227044</v>
      </c>
      <c r="Z27" s="197">
        <f t="shared" si="9"/>
        <v>-549378675.62045681</v>
      </c>
      <c r="AA27" s="194">
        <f t="shared" ref="AA27" si="10">AE26</f>
        <v>-288234719.97894323</v>
      </c>
      <c r="AB27" s="194">
        <f>AB26</f>
        <v>596759748.58640218</v>
      </c>
      <c r="AC27" s="194">
        <f t="shared" ref="AC27" si="11">AA27+AB27</f>
        <v>308525028.60745895</v>
      </c>
      <c r="AD27" s="194">
        <f t="shared" ref="AD27" si="12">P27+Z27</f>
        <v>-443438661.16286474</v>
      </c>
      <c r="AE27" s="207">
        <f t="shared" ref="AE27" si="13">AC27-AD27</f>
        <v>751963689.77032375</v>
      </c>
      <c r="AF27" s="206"/>
      <c r="AG27" s="208">
        <f t="shared" ref="AG27" si="14">AE27-AF27</f>
        <v>751963689.77032375</v>
      </c>
      <c r="AH27" s="182"/>
    </row>
    <row r="28" spans="1:34" x14ac:dyDescent="0.35">
      <c r="AA28" s="21"/>
      <c r="AB28" s="19"/>
    </row>
    <row r="29" spans="1:34" x14ac:dyDescent="0.35">
      <c r="A29" s="177" t="s">
        <v>41</v>
      </c>
      <c r="B29" s="22">
        <v>0.2896143019416435</v>
      </c>
    </row>
    <row r="30" spans="1:34" ht="58" x14ac:dyDescent="0.35">
      <c r="A30" s="173" t="s">
        <v>1</v>
      </c>
      <c r="B30" s="173" t="s">
        <v>208</v>
      </c>
      <c r="C30" s="173" t="s">
        <v>209</v>
      </c>
      <c r="D30" s="173" t="s">
        <v>237</v>
      </c>
      <c r="E30" s="173" t="s">
        <v>151</v>
      </c>
      <c r="F30" s="173" t="s">
        <v>238</v>
      </c>
      <c r="G30" s="173" t="s">
        <v>239</v>
      </c>
      <c r="H30" s="173" t="s">
        <v>240</v>
      </c>
      <c r="I30" s="15" t="s">
        <v>241</v>
      </c>
      <c r="J30" s="15" t="s">
        <v>242</v>
      </c>
      <c r="K30" s="15" t="s">
        <v>243</v>
      </c>
      <c r="L30" s="15" t="s">
        <v>244</v>
      </c>
      <c r="M30" s="173" t="s">
        <v>245</v>
      </c>
      <c r="N30" s="173" t="s">
        <v>246</v>
      </c>
      <c r="O30" s="173" t="s">
        <v>226</v>
      </c>
      <c r="P30" s="15" t="s">
        <v>224</v>
      </c>
      <c r="Q30" s="198" t="s">
        <v>208</v>
      </c>
      <c r="R30" s="198" t="s">
        <v>209</v>
      </c>
      <c r="S30" s="198" t="s">
        <v>146</v>
      </c>
      <c r="T30" s="198" t="s">
        <v>151</v>
      </c>
      <c r="U30" s="198" t="s">
        <v>155</v>
      </c>
      <c r="V30" s="198" t="s">
        <v>158</v>
      </c>
      <c r="W30" s="198" t="s">
        <v>87</v>
      </c>
      <c r="X30" s="198" t="s">
        <v>88</v>
      </c>
      <c r="Y30" s="198" t="s">
        <v>83</v>
      </c>
      <c r="Z30" s="198" t="s">
        <v>247</v>
      </c>
      <c r="AA30" s="15" t="s">
        <v>248</v>
      </c>
      <c r="AB30" s="15" t="s">
        <v>249</v>
      </c>
      <c r="AC30" s="15" t="s">
        <v>250</v>
      </c>
      <c r="AD30" s="173" t="s">
        <v>172</v>
      </c>
      <c r="AE30" s="173" t="s">
        <v>251</v>
      </c>
    </row>
    <row r="31" spans="1:34" x14ac:dyDescent="0.35">
      <c r="A31" s="174" t="s">
        <v>17</v>
      </c>
      <c r="B31" s="16">
        <f t="shared" ref="B31:G40" si="15">B4*$B$29</f>
        <v>39969490.829327621</v>
      </c>
      <c r="C31" s="16">
        <f t="shared" si="15"/>
        <v>14083700.517022794</v>
      </c>
      <c r="D31" s="16">
        <f t="shared" si="15"/>
        <v>8685259.808943158</v>
      </c>
      <c r="E31" s="16">
        <f t="shared" si="15"/>
        <v>0</v>
      </c>
      <c r="F31" s="16">
        <f t="shared" si="15"/>
        <v>0</v>
      </c>
      <c r="G31" s="16">
        <f t="shared" si="15"/>
        <v>0</v>
      </c>
      <c r="H31" s="17">
        <v>7753000</v>
      </c>
      <c r="I31" s="17">
        <v>1365128.2799999998</v>
      </c>
      <c r="J31" s="17">
        <f t="shared" ref="J31:L54" si="16">J4*$B$29</f>
        <v>0</v>
      </c>
      <c r="K31" s="17">
        <f t="shared" si="16"/>
        <v>0</v>
      </c>
      <c r="L31" s="17">
        <f t="shared" si="16"/>
        <v>0</v>
      </c>
      <c r="M31" s="17">
        <f t="shared" ref="M31:M54" si="17">$B$29*M4</f>
        <v>1956947.0137069982</v>
      </c>
      <c r="N31" s="17"/>
      <c r="O31" s="17">
        <f t="shared" ref="O31:O54" si="18">$B$29*O4</f>
        <v>3261578.3561783303</v>
      </c>
      <c r="P31" s="17">
        <f>SUM(B31:O31)</f>
        <v>77075104.80517891</v>
      </c>
      <c r="Q31" s="175">
        <f t="shared" ref="Q31:Y31" si="19">$B$29*Q4</f>
        <v>0</v>
      </c>
      <c r="R31" s="175">
        <f t="shared" si="19"/>
        <v>0</v>
      </c>
      <c r="S31" s="175">
        <f t="shared" si="19"/>
        <v>0</v>
      </c>
      <c r="T31" s="175">
        <f t="shared" si="19"/>
        <v>0</v>
      </c>
      <c r="U31" s="175">
        <f t="shared" si="19"/>
        <v>0</v>
      </c>
      <c r="V31" s="175">
        <f t="shared" si="19"/>
        <v>0</v>
      </c>
      <c r="W31" s="175">
        <f t="shared" si="19"/>
        <v>0</v>
      </c>
      <c r="X31" s="175">
        <f t="shared" si="19"/>
        <v>0</v>
      </c>
      <c r="Y31" s="175">
        <f t="shared" si="19"/>
        <v>0</v>
      </c>
      <c r="Z31" s="195"/>
      <c r="AA31" s="176">
        <f>'Collections and ACP'!B149+'Collections and ACP'!B141</f>
        <v>87829264.295962796</v>
      </c>
      <c r="AB31" s="176">
        <f>'Collections and ACP'!K39</f>
        <v>64309855.295962796</v>
      </c>
      <c r="AC31" s="176">
        <f t="shared" ref="AC31:AC54" si="20">AA31+AB31</f>
        <v>152139119.59192559</v>
      </c>
      <c r="AD31" s="176">
        <f>P31+Z31</f>
        <v>77075104.80517891</v>
      </c>
      <c r="AE31" s="18">
        <f t="shared" ref="AE31:AE54" si="21">AC31-AD31</f>
        <v>75064014.786746681</v>
      </c>
    </row>
    <row r="32" spans="1:34" x14ac:dyDescent="0.35">
      <c r="A32" s="174" t="s">
        <v>18</v>
      </c>
      <c r="B32" s="16">
        <f t="shared" si="15"/>
        <v>17970624.489496462</v>
      </c>
      <c r="C32" s="16">
        <f t="shared" si="15"/>
        <v>17581234.874778602</v>
      </c>
      <c r="D32" s="16">
        <f t="shared" si="15"/>
        <v>24383297.668733057</v>
      </c>
      <c r="E32" s="16">
        <f t="shared" si="15"/>
        <v>0</v>
      </c>
      <c r="F32" s="16">
        <f t="shared" si="15"/>
        <v>0</v>
      </c>
      <c r="G32" s="16">
        <f t="shared" si="15"/>
        <v>0</v>
      </c>
      <c r="H32" s="17">
        <v>5554000</v>
      </c>
      <c r="I32" s="17">
        <v>5431217.937169807</v>
      </c>
      <c r="J32" s="17">
        <f t="shared" si="16"/>
        <v>0</v>
      </c>
      <c r="K32" s="17">
        <f t="shared" si="16"/>
        <v>0</v>
      </c>
      <c r="L32" s="17">
        <f t="shared" si="16"/>
        <v>0</v>
      </c>
      <c r="M32" s="17">
        <f t="shared" si="17"/>
        <v>4037841.7223626804</v>
      </c>
      <c r="N32" s="17"/>
      <c r="O32" s="17">
        <f t="shared" si="18"/>
        <v>14480715.097082175</v>
      </c>
      <c r="P32" s="17">
        <f t="shared" ref="P32:P53" si="22">SUM(B32:O32)</f>
        <v>89438931.789622784</v>
      </c>
      <c r="Q32" s="175">
        <f t="shared" ref="Q32:Y32" si="23">$B$29*Q5</f>
        <v>0</v>
      </c>
      <c r="R32" s="175">
        <f t="shared" si="23"/>
        <v>0</v>
      </c>
      <c r="S32" s="175">
        <f t="shared" si="23"/>
        <v>0</v>
      </c>
      <c r="T32" s="175">
        <f t="shared" si="23"/>
        <v>0</v>
      </c>
      <c r="U32" s="175">
        <f t="shared" si="23"/>
        <v>0</v>
      </c>
      <c r="V32" s="175">
        <f t="shared" si="23"/>
        <v>0</v>
      </c>
      <c r="W32" s="175">
        <f t="shared" si="23"/>
        <v>0</v>
      </c>
      <c r="X32" s="175">
        <f t="shared" si="23"/>
        <v>0</v>
      </c>
      <c r="Y32" s="175">
        <f t="shared" si="23"/>
        <v>0</v>
      </c>
      <c r="Z32" s="195"/>
      <c r="AA32" s="176">
        <f t="shared" ref="AA32:AA54" si="24">AE31</f>
        <v>75064014.786746681</v>
      </c>
      <c r="AB32" s="176">
        <f>'Collections and ACP'!K40</f>
        <v>129499575.18679999</v>
      </c>
      <c r="AC32" s="176">
        <f t="shared" si="20"/>
        <v>204563589.97354668</v>
      </c>
      <c r="AD32" s="176">
        <f t="shared" ref="AD32:AD54" si="25">P32+Z32</f>
        <v>89438931.789622784</v>
      </c>
      <c r="AE32" s="18">
        <f t="shared" si="21"/>
        <v>115124658.1839239</v>
      </c>
    </row>
    <row r="33" spans="1:32" x14ac:dyDescent="0.35">
      <c r="A33" s="174" t="s">
        <v>19</v>
      </c>
      <c r="B33" s="16">
        <f t="shared" si="15"/>
        <v>19186613.578343742</v>
      </c>
      <c r="C33" s="16">
        <f t="shared" si="15"/>
        <v>21598785.902771425</v>
      </c>
      <c r="D33" s="16">
        <f t="shared" si="15"/>
        <v>32940092.103306752</v>
      </c>
      <c r="E33" s="16">
        <f t="shared" si="15"/>
        <v>0</v>
      </c>
      <c r="F33" s="16">
        <f t="shared" si="15"/>
        <v>0</v>
      </c>
      <c r="G33" s="16">
        <f t="shared" si="15"/>
        <v>0</v>
      </c>
      <c r="H33" s="17">
        <v>4842000</v>
      </c>
      <c r="I33" s="17">
        <v>6666673.3471698072</v>
      </c>
      <c r="J33" s="17">
        <f t="shared" si="16"/>
        <v>0</v>
      </c>
      <c r="K33" s="17">
        <f t="shared" si="16"/>
        <v>0</v>
      </c>
      <c r="L33" s="17">
        <f t="shared" si="16"/>
        <v>0</v>
      </c>
      <c r="M33" s="17">
        <f t="shared" si="17"/>
        <v>5104130.5421990799</v>
      </c>
      <c r="N33" s="17"/>
      <c r="O33" s="17">
        <f t="shared" si="18"/>
        <v>14480715.097082175</v>
      </c>
      <c r="P33" s="17">
        <f t="shared" si="22"/>
        <v>104819010.57087296</v>
      </c>
      <c r="Q33" s="175">
        <f t="shared" ref="Q33:Y33" si="26">$B$29*Q6</f>
        <v>0</v>
      </c>
      <c r="R33" s="175">
        <f t="shared" si="26"/>
        <v>0</v>
      </c>
      <c r="S33" s="175">
        <f t="shared" si="26"/>
        <v>0</v>
      </c>
      <c r="T33" s="175">
        <f t="shared" si="26"/>
        <v>0</v>
      </c>
      <c r="U33" s="175">
        <f t="shared" si="26"/>
        <v>0</v>
      </c>
      <c r="V33" s="175">
        <f t="shared" si="26"/>
        <v>0</v>
      </c>
      <c r="W33" s="175">
        <f t="shared" si="26"/>
        <v>0</v>
      </c>
      <c r="X33" s="175">
        <f t="shared" si="26"/>
        <v>0</v>
      </c>
      <c r="Y33" s="175">
        <f t="shared" si="26"/>
        <v>0</v>
      </c>
      <c r="Z33" s="196"/>
      <c r="AA33" s="176">
        <f t="shared" si="24"/>
        <v>115124658.1839239</v>
      </c>
      <c r="AB33" s="176">
        <f>'Collections and ACP'!K41</f>
        <v>160483342.72150001</v>
      </c>
      <c r="AC33" s="176">
        <f t="shared" si="20"/>
        <v>275608000.90542388</v>
      </c>
      <c r="AD33" s="176">
        <f t="shared" si="25"/>
        <v>104819010.57087296</v>
      </c>
      <c r="AE33" s="18">
        <f t="shared" si="21"/>
        <v>170788990.33455092</v>
      </c>
      <c r="AF33" s="19"/>
    </row>
    <row r="34" spans="1:32" x14ac:dyDescent="0.35">
      <c r="A34" s="174" t="s">
        <v>20</v>
      </c>
      <c r="B34" s="16">
        <f t="shared" si="15"/>
        <v>69838802.778761432</v>
      </c>
      <c r="C34" s="16">
        <f t="shared" si="15"/>
        <v>26217577.959280908</v>
      </c>
      <c r="D34" s="16">
        <f t="shared" si="15"/>
        <v>38204855.24842488</v>
      </c>
      <c r="E34" s="16">
        <f t="shared" si="15"/>
        <v>0</v>
      </c>
      <c r="F34" s="16">
        <f t="shared" si="15"/>
        <v>0</v>
      </c>
      <c r="G34" s="16">
        <f t="shared" si="15"/>
        <v>0</v>
      </c>
      <c r="H34" s="17">
        <v>3400999.9999999995</v>
      </c>
      <c r="I34" s="17">
        <v>6627071.8807588778</v>
      </c>
      <c r="J34" s="17">
        <f t="shared" si="16"/>
        <v>0</v>
      </c>
      <c r="K34" s="17">
        <f t="shared" si="16"/>
        <v>0</v>
      </c>
      <c r="L34" s="17">
        <f t="shared" si="16"/>
        <v>0</v>
      </c>
      <c r="M34" s="17">
        <f t="shared" si="17"/>
        <v>5012255.0293302173</v>
      </c>
      <c r="N34" s="17"/>
      <c r="O34" s="17">
        <f t="shared" si="18"/>
        <v>14480715.097082175</v>
      </c>
      <c r="P34" s="17">
        <f t="shared" si="22"/>
        <v>163782277.99363849</v>
      </c>
      <c r="Q34" s="175">
        <f t="shared" ref="Q34:Y34" si="27">$B$29*Q7</f>
        <v>0</v>
      </c>
      <c r="R34" s="175">
        <f t="shared" si="27"/>
        <v>0</v>
      </c>
      <c r="S34" s="175">
        <f t="shared" si="27"/>
        <v>0</v>
      </c>
      <c r="T34" s="175">
        <f t="shared" si="27"/>
        <v>0</v>
      </c>
      <c r="U34" s="175">
        <f t="shared" si="27"/>
        <v>0</v>
      </c>
      <c r="V34" s="175">
        <f t="shared" si="27"/>
        <v>0</v>
      </c>
      <c r="W34" s="175">
        <f t="shared" si="27"/>
        <v>0</v>
      </c>
      <c r="X34" s="175">
        <f t="shared" si="27"/>
        <v>0</v>
      </c>
      <c r="Y34" s="175">
        <f t="shared" si="27"/>
        <v>0</v>
      </c>
      <c r="Z34" s="196"/>
      <c r="AA34" s="176">
        <f t="shared" si="24"/>
        <v>170788990.33455092</v>
      </c>
      <c r="AB34" s="176">
        <f>'Collections and ACP'!K42</f>
        <v>156867424.73649758</v>
      </c>
      <c r="AC34" s="176">
        <f t="shared" si="20"/>
        <v>327656415.0710485</v>
      </c>
      <c r="AD34" s="176">
        <f t="shared" si="25"/>
        <v>163782277.99363849</v>
      </c>
      <c r="AE34" s="18">
        <f t="shared" si="21"/>
        <v>163874137.07741001</v>
      </c>
      <c r="AF34" s="19"/>
    </row>
    <row r="35" spans="1:32" x14ac:dyDescent="0.35">
      <c r="A35" s="174" t="s">
        <v>22</v>
      </c>
      <c r="B35" s="16">
        <f t="shared" si="15"/>
        <v>8711022.4491723757</v>
      </c>
      <c r="C35" s="16">
        <f t="shared" si="15"/>
        <v>18404549.543495398</v>
      </c>
      <c r="D35" s="16">
        <f t="shared" si="15"/>
        <v>40896833.796844646</v>
      </c>
      <c r="E35" s="16">
        <f t="shared" si="15"/>
        <v>253420.04417078855</v>
      </c>
      <c r="F35" s="16">
        <f t="shared" si="15"/>
        <v>1829037.4028398038</v>
      </c>
      <c r="G35" s="16">
        <f t="shared" si="15"/>
        <v>0</v>
      </c>
      <c r="H35" s="17">
        <v>3259000</v>
      </c>
      <c r="I35" s="17">
        <v>6627071.8807588778</v>
      </c>
      <c r="J35" s="17">
        <f t="shared" si="16"/>
        <v>1278658.8137757271</v>
      </c>
      <c r="K35" s="17">
        <f t="shared" si="16"/>
        <v>0</v>
      </c>
      <c r="L35" s="17">
        <f t="shared" si="16"/>
        <v>0</v>
      </c>
      <c r="M35" s="17">
        <f t="shared" si="17"/>
        <v>4983923.1594963018</v>
      </c>
      <c r="N35" s="17"/>
      <c r="O35" s="17">
        <f t="shared" si="18"/>
        <v>14480715.097082175</v>
      </c>
      <c r="P35" s="17">
        <f t="shared" si="22"/>
        <v>100724232.18763611</v>
      </c>
      <c r="Q35" s="175">
        <f t="shared" ref="Q35:Y35" si="28">$B$29*Q8</f>
        <v>45078796.379602134</v>
      </c>
      <c r="R35" s="175">
        <f t="shared" si="28"/>
        <v>8471942.8686536644</v>
      </c>
      <c r="S35" s="175">
        <f t="shared" si="28"/>
        <v>2528019.2530807718</v>
      </c>
      <c r="T35" s="175">
        <f t="shared" si="28"/>
        <v>7397642.7635269007</v>
      </c>
      <c r="U35" s="175">
        <f t="shared" si="28"/>
        <v>1195667.9533673662</v>
      </c>
      <c r="V35" s="175">
        <f t="shared" si="28"/>
        <v>8145375.9899960281</v>
      </c>
      <c r="W35" s="175">
        <f t="shared" si="28"/>
        <v>0</v>
      </c>
      <c r="X35" s="175">
        <f t="shared" si="28"/>
        <v>0</v>
      </c>
      <c r="Y35" s="175">
        <f t="shared" si="28"/>
        <v>0</v>
      </c>
      <c r="Z35" s="196"/>
      <c r="AA35" s="176">
        <f t="shared" si="24"/>
        <v>163874137.07741001</v>
      </c>
      <c r="AB35" s="176">
        <f>'Collections and ACP'!K43</f>
        <v>155398917.17191386</v>
      </c>
      <c r="AC35" s="176">
        <f t="shared" si="20"/>
        <v>319273054.24932384</v>
      </c>
      <c r="AD35" s="176">
        <f t="shared" si="25"/>
        <v>100724232.18763611</v>
      </c>
      <c r="AE35" s="18">
        <f t="shared" si="21"/>
        <v>218548822.06168774</v>
      </c>
      <c r="AF35" s="19"/>
    </row>
    <row r="36" spans="1:32" x14ac:dyDescent="0.35">
      <c r="A36" s="174" t="s">
        <v>23</v>
      </c>
      <c r="B36" s="16">
        <f t="shared" si="15"/>
        <v>0</v>
      </c>
      <c r="C36" s="16">
        <f t="shared" si="15"/>
        <v>13094034.289413735</v>
      </c>
      <c r="D36" s="16">
        <f t="shared" si="15"/>
        <v>29250410.530399043</v>
      </c>
      <c r="E36" s="16">
        <f t="shared" si="15"/>
        <v>320726.11832772457</v>
      </c>
      <c r="F36" s="16">
        <f t="shared" si="15"/>
        <v>2250063.9046731661</v>
      </c>
      <c r="G36" s="16">
        <f t="shared" si="15"/>
        <v>0</v>
      </c>
      <c r="H36" s="17">
        <v>1276000</v>
      </c>
      <c r="I36" s="17">
        <v>6627071.8807588778</v>
      </c>
      <c r="J36" s="17">
        <f t="shared" si="16"/>
        <v>1240080.383243619</v>
      </c>
      <c r="K36" s="17">
        <f t="shared" si="16"/>
        <v>5856288.0558789885</v>
      </c>
      <c r="L36" s="17">
        <f t="shared" si="16"/>
        <v>0</v>
      </c>
      <c r="M36" s="17">
        <f t="shared" si="17"/>
        <v>4922717.1830755481</v>
      </c>
      <c r="N36" s="17"/>
      <c r="O36" s="17">
        <f t="shared" si="18"/>
        <v>14480715.097082175</v>
      </c>
      <c r="P36" s="17">
        <f t="shared" si="22"/>
        <v>79318107.44285287</v>
      </c>
      <c r="Q36" s="175">
        <f t="shared" ref="Q36:Y36" si="29">$B$29*Q9</f>
        <v>43275644.524418049</v>
      </c>
      <c r="R36" s="175">
        <f t="shared" si="29"/>
        <v>12656844.719997788</v>
      </c>
      <c r="S36" s="175">
        <f t="shared" si="29"/>
        <v>6405525.8914649077</v>
      </c>
      <c r="T36" s="175">
        <f t="shared" si="29"/>
        <v>9647688.9262792431</v>
      </c>
      <c r="U36" s="175">
        <f t="shared" si="29"/>
        <v>2777205.5747864903</v>
      </c>
      <c r="V36" s="175">
        <f t="shared" si="29"/>
        <v>12795266.935933944</v>
      </c>
      <c r="W36" s="175">
        <f t="shared" si="29"/>
        <v>0</v>
      </c>
      <c r="X36" s="175">
        <f t="shared" si="29"/>
        <v>836288.01818965853</v>
      </c>
      <c r="Y36" s="175">
        <f t="shared" si="29"/>
        <v>0</v>
      </c>
      <c r="Z36" s="196">
        <f>SUM(Q36:Y36)</f>
        <v>88394464.591070071</v>
      </c>
      <c r="AA36" s="176">
        <f t="shared" si="24"/>
        <v>218548822.06168774</v>
      </c>
      <c r="AB36" s="176">
        <f>'Collections and ACP'!K44</f>
        <v>153492365.55944532</v>
      </c>
      <c r="AC36" s="176">
        <f t="shared" si="20"/>
        <v>372041187.62113309</v>
      </c>
      <c r="AD36" s="176">
        <f t="shared" si="25"/>
        <v>167712572.03392294</v>
      </c>
      <c r="AE36" s="18">
        <f t="shared" si="21"/>
        <v>204328615.58721015</v>
      </c>
      <c r="AF36" s="19"/>
    </row>
    <row r="37" spans="1:32" x14ac:dyDescent="0.35">
      <c r="A37" s="174" t="s">
        <v>24</v>
      </c>
      <c r="B37" s="16">
        <f t="shared" si="15"/>
        <v>0</v>
      </c>
      <c r="C37" s="16">
        <f t="shared" si="15"/>
        <v>10797581.703541368</v>
      </c>
      <c r="D37" s="16">
        <f t="shared" si="15"/>
        <v>21082828.756204724</v>
      </c>
      <c r="E37" s="16">
        <f t="shared" si="15"/>
        <v>320402.32953815378</v>
      </c>
      <c r="F37" s="16">
        <f t="shared" si="15"/>
        <v>2240010.5234098658</v>
      </c>
      <c r="G37" s="16">
        <f t="shared" si="15"/>
        <v>0</v>
      </c>
      <c r="H37" s="17">
        <v>202999.99999999997</v>
      </c>
      <c r="I37" s="17">
        <v>6627071.8807588778</v>
      </c>
      <c r="J37" s="17">
        <f t="shared" si="16"/>
        <v>14382532.693376135</v>
      </c>
      <c r="K37" s="17">
        <f t="shared" si="16"/>
        <v>13983788.778790575</v>
      </c>
      <c r="L37" s="17">
        <f t="shared" si="16"/>
        <v>1215977.6885423034</v>
      </c>
      <c r="M37" s="17">
        <f t="shared" si="17"/>
        <v>4891241.3241190277</v>
      </c>
      <c r="N37" s="17"/>
      <c r="O37" s="17">
        <f t="shared" si="18"/>
        <v>14480715.097082175</v>
      </c>
      <c r="P37" s="17">
        <f t="shared" si="22"/>
        <v>90225150.775363237</v>
      </c>
      <c r="Q37" s="175">
        <f t="shared" ref="Q37:Y37" si="30">$B$29*Q10</f>
        <v>41544618.743441328</v>
      </c>
      <c r="R37" s="175">
        <f t="shared" si="30"/>
        <v>16674350.497288145</v>
      </c>
      <c r="S37" s="175">
        <f t="shared" si="30"/>
        <v>10108039.12727114</v>
      </c>
      <c r="T37" s="175">
        <f t="shared" si="30"/>
        <v>11795003.483155023</v>
      </c>
      <c r="U37" s="175">
        <f t="shared" si="30"/>
        <v>4207618.4901588978</v>
      </c>
      <c r="V37" s="175">
        <f t="shared" si="30"/>
        <v>17259162.244034339</v>
      </c>
      <c r="W37" s="175">
        <f t="shared" si="30"/>
        <v>0</v>
      </c>
      <c r="X37" s="175">
        <f t="shared" si="30"/>
        <v>827277.51047693053</v>
      </c>
      <c r="Y37" s="175">
        <f t="shared" si="30"/>
        <v>0</v>
      </c>
      <c r="Z37" s="196">
        <f t="shared" ref="Z37:Z53" si="31">SUM(Q37:Y37)</f>
        <v>102416070.09582581</v>
      </c>
      <c r="AA37" s="176">
        <f>AE36</f>
        <v>204328615.58721015</v>
      </c>
      <c r="AB37" s="176">
        <f>'Collections and ACP'!K45</f>
        <v>151744178.01187399</v>
      </c>
      <c r="AC37" s="176">
        <f t="shared" si="20"/>
        <v>356072793.59908414</v>
      </c>
      <c r="AD37" s="176">
        <f t="shared" si="25"/>
        <v>192641220.87118906</v>
      </c>
      <c r="AE37" s="18">
        <f t="shared" si="21"/>
        <v>163431572.72789508</v>
      </c>
      <c r="AF37" s="19"/>
    </row>
    <row r="38" spans="1:32" x14ac:dyDescent="0.35">
      <c r="A38" s="174" t="s">
        <v>25</v>
      </c>
      <c r="B38" s="16">
        <f t="shared" si="15"/>
        <v>0</v>
      </c>
      <c r="C38" s="16">
        <f t="shared" si="15"/>
        <v>9591947.4844457079</v>
      </c>
      <c r="D38" s="16">
        <f t="shared" si="15"/>
        <v>19546013.052866943</v>
      </c>
      <c r="E38" s="16">
        <f t="shared" si="15"/>
        <v>320118.21790794906</v>
      </c>
      <c r="F38" s="16">
        <f t="shared" si="15"/>
        <v>2229998.8466060455</v>
      </c>
      <c r="G38" s="16">
        <f t="shared" si="15"/>
        <v>0</v>
      </c>
      <c r="H38" s="17">
        <v>202999.99999999997</v>
      </c>
      <c r="I38" s="17">
        <v>6627071.8807588778</v>
      </c>
      <c r="J38" s="17">
        <f t="shared" si="16"/>
        <v>14507068.695294503</v>
      </c>
      <c r="K38" s="17">
        <f t="shared" si="16"/>
        <v>13971770.652826963</v>
      </c>
      <c r="L38" s="17">
        <f t="shared" si="16"/>
        <v>2429743.2894707061</v>
      </c>
      <c r="M38" s="17">
        <f t="shared" si="17"/>
        <v>4883593.5544520933</v>
      </c>
      <c r="N38" s="17"/>
      <c r="O38" s="17">
        <f t="shared" si="18"/>
        <v>14480715.097082175</v>
      </c>
      <c r="P38" s="17">
        <f t="shared" si="22"/>
        <v>88791040.771711946</v>
      </c>
      <c r="Q38" s="175">
        <f t="shared" ref="Q38:Y38" si="32">$B$29*Q11</f>
        <v>39882833.993703671</v>
      </c>
      <c r="R38" s="175">
        <f t="shared" si="32"/>
        <v>20531156.043486889</v>
      </c>
      <c r="S38" s="175">
        <f t="shared" si="32"/>
        <v>13642658.1622878</v>
      </c>
      <c r="T38" s="175">
        <f t="shared" si="32"/>
        <v>13843759.347186139</v>
      </c>
      <c r="U38" s="175">
        <f t="shared" si="32"/>
        <v>5580814.8889164086</v>
      </c>
      <c r="V38" s="175">
        <f t="shared" si="32"/>
        <v>21544501.739810724</v>
      </c>
      <c r="W38" s="175">
        <f t="shared" si="32"/>
        <v>19756226.227165021</v>
      </c>
      <c r="X38" s="175">
        <f t="shared" si="32"/>
        <v>9041216.383601414</v>
      </c>
      <c r="Y38" s="175">
        <f t="shared" si="32"/>
        <v>0</v>
      </c>
      <c r="Z38" s="196">
        <f t="shared" si="31"/>
        <v>143823166.78615806</v>
      </c>
      <c r="AA38" s="176">
        <f t="shared" si="24"/>
        <v>163431572.72789508</v>
      </c>
      <c r="AB38" s="176">
        <f>'Collections and ACP'!K46</f>
        <v>150699620.50638735</v>
      </c>
      <c r="AC38" s="176">
        <f t="shared" si="20"/>
        <v>314131193.23428243</v>
      </c>
      <c r="AD38" s="176">
        <f t="shared" si="25"/>
        <v>232614207.55787</v>
      </c>
      <c r="AE38" s="18">
        <f t="shared" si="21"/>
        <v>81516985.676412433</v>
      </c>
      <c r="AF38" s="19"/>
    </row>
    <row r="39" spans="1:32" x14ac:dyDescent="0.35">
      <c r="A39" s="174" t="s">
        <v>26</v>
      </c>
      <c r="B39" s="16">
        <f t="shared" si="15"/>
        <v>0</v>
      </c>
      <c r="C39" s="16">
        <f t="shared" si="15"/>
        <v>9221567.5732786935</v>
      </c>
      <c r="D39" s="16">
        <f t="shared" si="15"/>
        <v>19518711.981465809</v>
      </c>
      <c r="E39" s="16">
        <f t="shared" si="15"/>
        <v>319813.54366230645</v>
      </c>
      <c r="F39" s="16">
        <f t="shared" si="15"/>
        <v>2220008.6012605685</v>
      </c>
      <c r="G39" s="16">
        <f t="shared" si="15"/>
        <v>0</v>
      </c>
      <c r="H39" s="17">
        <v>202999.99999999997</v>
      </c>
      <c r="I39" s="17">
        <v>6627071.8807588778</v>
      </c>
      <c r="J39" s="17">
        <f t="shared" si="16"/>
        <v>11225527.828406135</v>
      </c>
      <c r="K39" s="17">
        <f t="shared" si="16"/>
        <v>12383845.715449389</v>
      </c>
      <c r="L39" s="17">
        <f t="shared" si="16"/>
        <v>2316187.0719171101</v>
      </c>
      <c r="M39" s="17">
        <f t="shared" si="17"/>
        <v>4896343.0445534475</v>
      </c>
      <c r="N39" s="17"/>
      <c r="O39" s="17">
        <f t="shared" si="18"/>
        <v>14480715.097082175</v>
      </c>
      <c r="P39" s="17">
        <f t="shared" si="22"/>
        <v>83412792.337834507</v>
      </c>
      <c r="Q39" s="175">
        <f t="shared" ref="Q39:Y39" si="33">$B$29*Q12</f>
        <v>38287520.633955523</v>
      </c>
      <c r="R39" s="175">
        <f t="shared" si="33"/>
        <v>24233689.367837682</v>
      </c>
      <c r="S39" s="175">
        <f t="shared" si="33"/>
        <v>17016197.732903257</v>
      </c>
      <c r="T39" s="175">
        <f t="shared" si="33"/>
        <v>15797962.196639219</v>
      </c>
      <c r="U39" s="175">
        <f t="shared" si="33"/>
        <v>6899083.4317236189</v>
      </c>
      <c r="V39" s="175">
        <f t="shared" si="33"/>
        <v>25658427.655756045</v>
      </c>
      <c r="W39" s="175">
        <f t="shared" si="33"/>
        <v>26569722.885154769</v>
      </c>
      <c r="X39" s="175">
        <f t="shared" si="33"/>
        <v>17287173.982416604</v>
      </c>
      <c r="Y39" s="175">
        <f t="shared" si="33"/>
        <v>1217916.4358249153</v>
      </c>
      <c r="Z39" s="196">
        <f t="shared" si="31"/>
        <v>172967694.32221162</v>
      </c>
      <c r="AA39" s="176">
        <f t="shared" si="24"/>
        <v>81516985.676412433</v>
      </c>
      <c r="AB39" s="176">
        <f>'Collections and ACP'!K47</f>
        <v>150699620.50638735</v>
      </c>
      <c r="AC39" s="176">
        <f t="shared" si="20"/>
        <v>232216606.18279979</v>
      </c>
      <c r="AD39" s="176">
        <f t="shared" si="25"/>
        <v>256380486.66004613</v>
      </c>
      <c r="AE39" s="18">
        <f t="shared" si="21"/>
        <v>-24163880.477246344</v>
      </c>
      <c r="AF39" s="19"/>
    </row>
    <row r="40" spans="1:32" x14ac:dyDescent="0.35">
      <c r="A40" s="174" t="s">
        <v>27</v>
      </c>
      <c r="B40" s="16">
        <f t="shared" si="15"/>
        <v>0</v>
      </c>
      <c r="C40" s="16">
        <f t="shared" si="15"/>
        <v>6864911.7040045094</v>
      </c>
      <c r="D40" s="16">
        <f t="shared" si="15"/>
        <v>19491306.938530281</v>
      </c>
      <c r="E40" s="16">
        <f t="shared" si="15"/>
        <v>319529.7216464036</v>
      </c>
      <c r="F40" s="16">
        <f t="shared" si="15"/>
        <v>2210164.9007518739</v>
      </c>
      <c r="G40" s="16">
        <f t="shared" si="15"/>
        <v>0</v>
      </c>
      <c r="H40" s="17">
        <v>202999.99999999997</v>
      </c>
      <c r="I40" s="17">
        <v>6627071.8807588778</v>
      </c>
      <c r="J40" s="17">
        <f t="shared" si="16"/>
        <v>7371988.1706738109</v>
      </c>
      <c r="K40" s="17">
        <f t="shared" si="16"/>
        <v>10548162.741422309</v>
      </c>
      <c r="L40" s="17">
        <f t="shared" si="16"/>
        <v>2186117.9160108133</v>
      </c>
      <c r="M40" s="17">
        <f t="shared" si="17"/>
        <v>4900389.0022009388</v>
      </c>
      <c r="N40" s="17"/>
      <c r="O40" s="17">
        <f t="shared" si="18"/>
        <v>14480715.097082175</v>
      </c>
      <c r="P40" s="17">
        <f t="shared" si="22"/>
        <v>75203358.073082</v>
      </c>
      <c r="Q40" s="175">
        <f t="shared" ref="Q40:Y40" si="34">$B$29*Q13</f>
        <v>36756019.808597296</v>
      </c>
      <c r="R40" s="175">
        <f t="shared" si="34"/>
        <v>27788121.359214444</v>
      </c>
      <c r="S40" s="175">
        <f t="shared" si="34"/>
        <v>20235199.491208561</v>
      </c>
      <c r="T40" s="175">
        <f t="shared" si="34"/>
        <v>17661457.165997479</v>
      </c>
      <c r="U40" s="175">
        <f t="shared" si="34"/>
        <v>8164621.232818542</v>
      </c>
      <c r="V40" s="175">
        <f t="shared" si="34"/>
        <v>29607796.535063565</v>
      </c>
      <c r="W40" s="175">
        <f t="shared" si="34"/>
        <v>25699468.471625764</v>
      </c>
      <c r="X40" s="175">
        <f t="shared" si="34"/>
        <v>22731402.761761572</v>
      </c>
      <c r="Y40" s="175">
        <f t="shared" si="34"/>
        <v>2327826.2029317692</v>
      </c>
      <c r="Z40" s="196">
        <f t="shared" si="31"/>
        <v>190971913.029219</v>
      </c>
      <c r="AA40" s="176">
        <f t="shared" si="24"/>
        <v>-24163880.477246344</v>
      </c>
      <c r="AB40" s="176">
        <f>'Collections and ACP'!K48</f>
        <v>150699620.50638735</v>
      </c>
      <c r="AC40" s="176">
        <f t="shared" si="20"/>
        <v>126535740.02914101</v>
      </c>
      <c r="AD40" s="176">
        <f t="shared" si="25"/>
        <v>266175271.102301</v>
      </c>
      <c r="AE40" s="18">
        <f t="shared" si="21"/>
        <v>-139639531.07315999</v>
      </c>
      <c r="AF40" s="19"/>
    </row>
    <row r="41" spans="1:32" x14ac:dyDescent="0.35">
      <c r="A41" s="174" t="s">
        <v>28</v>
      </c>
      <c r="B41" s="16">
        <f t="shared" ref="B41:G50" si="35">B14*$B$29</f>
        <v>0</v>
      </c>
      <c r="C41" s="16">
        <f t="shared" si="35"/>
        <v>597571.32569676102</v>
      </c>
      <c r="D41" s="16">
        <f t="shared" si="35"/>
        <v>19464196.722954128</v>
      </c>
      <c r="E41" s="16">
        <f t="shared" si="35"/>
        <v>319205.93285683286</v>
      </c>
      <c r="F41" s="16">
        <f t="shared" si="35"/>
        <v>1960248.9000202771</v>
      </c>
      <c r="G41" s="16">
        <f t="shared" si="35"/>
        <v>0</v>
      </c>
      <c r="H41" s="17">
        <v>202999.99999999997</v>
      </c>
      <c r="I41" s="17">
        <v>6627071.8807588778</v>
      </c>
      <c r="J41" s="17">
        <f t="shared" si="16"/>
        <v>6800373.2705957554</v>
      </c>
      <c r="K41" s="17">
        <f t="shared" si="16"/>
        <v>10233626.195274115</v>
      </c>
      <c r="L41" s="17">
        <f t="shared" si="16"/>
        <v>2157699.2530820728</v>
      </c>
      <c r="M41" s="17">
        <f t="shared" si="17"/>
        <v>4930216.322261163</v>
      </c>
      <c r="N41" s="17"/>
      <c r="O41" s="17">
        <f t="shared" si="18"/>
        <v>14480715.097082175</v>
      </c>
      <c r="P41" s="17">
        <f t="shared" si="22"/>
        <v>67773924.900582165</v>
      </c>
      <c r="Q41" s="175">
        <f t="shared" ref="Q41:Y41" si="36">$B$29*Q14</f>
        <v>35285779.016253404</v>
      </c>
      <c r="R41" s="175">
        <f t="shared" si="36"/>
        <v>27355474.561262462</v>
      </c>
      <c r="S41" s="175">
        <f t="shared" si="36"/>
        <v>23305942.930843543</v>
      </c>
      <c r="T41" s="175">
        <f t="shared" si="36"/>
        <v>19437935.26929529</v>
      </c>
      <c r="U41" s="175">
        <f t="shared" si="36"/>
        <v>8183869.5685023004</v>
      </c>
      <c r="V41" s="175">
        <f t="shared" si="36"/>
        <v>30394971.734736066</v>
      </c>
      <c r="W41" s="175">
        <f t="shared" si="36"/>
        <v>20252714.754598379</v>
      </c>
      <c r="X41" s="175">
        <f t="shared" si="36"/>
        <v>25729207.726764411</v>
      </c>
      <c r="Y41" s="175">
        <f t="shared" si="36"/>
        <v>3303942.6080871872</v>
      </c>
      <c r="Z41" s="196">
        <f t="shared" si="31"/>
        <v>193249838.17034304</v>
      </c>
      <c r="AA41" s="176">
        <f t="shared" si="24"/>
        <v>-139639531.07315999</v>
      </c>
      <c r="AB41" s="176">
        <f>'Collections and ACP'!K49</f>
        <v>150699620.50638735</v>
      </c>
      <c r="AC41" s="176">
        <f t="shared" si="20"/>
        <v>11060089.43322736</v>
      </c>
      <c r="AD41" s="176">
        <f t="shared" si="25"/>
        <v>261023763.07092521</v>
      </c>
      <c r="AE41" s="18">
        <f t="shared" si="21"/>
        <v>-249963673.63769785</v>
      </c>
      <c r="AF41" s="19"/>
    </row>
    <row r="42" spans="1:32" x14ac:dyDescent="0.35">
      <c r="A42" s="174" t="s">
        <v>29</v>
      </c>
      <c r="B42" s="16">
        <f t="shared" si="35"/>
        <v>0</v>
      </c>
      <c r="C42" s="16">
        <f t="shared" si="35"/>
        <v>0</v>
      </c>
      <c r="D42" s="16">
        <f t="shared" si="35"/>
        <v>19437225.232628603</v>
      </c>
      <c r="E42" s="16">
        <f t="shared" si="35"/>
        <v>318940.93577055627</v>
      </c>
      <c r="F42" s="16">
        <f t="shared" si="35"/>
        <v>0</v>
      </c>
      <c r="G42" s="16">
        <f t="shared" si="35"/>
        <v>0</v>
      </c>
      <c r="H42" s="17">
        <v>202999.99999999997</v>
      </c>
      <c r="I42" s="17">
        <v>6627071.8807588778</v>
      </c>
      <c r="J42" s="17">
        <f t="shared" si="16"/>
        <v>5596642.320523899</v>
      </c>
      <c r="K42" s="17">
        <f t="shared" si="16"/>
        <v>9633913.9875695705</v>
      </c>
      <c r="L42" s="17">
        <f t="shared" si="16"/>
        <v>2110267.7643608227</v>
      </c>
      <c r="M42" s="17">
        <f t="shared" si="17"/>
        <v>4958327.5396205718</v>
      </c>
      <c r="N42" s="17"/>
      <c r="O42" s="17">
        <f t="shared" si="18"/>
        <v>14480715.097082175</v>
      </c>
      <c r="P42" s="17">
        <f t="shared" si="22"/>
        <v>63366104.758315079</v>
      </c>
      <c r="Q42" s="175">
        <f t="shared" ref="Q42:Y42" si="37">$B$29*Q15</f>
        <v>33874347.85560327</v>
      </c>
      <c r="R42" s="175">
        <f t="shared" si="37"/>
        <v>26261255.578811962</v>
      </c>
      <c r="S42" s="175">
        <f t="shared" si="37"/>
        <v>26234455.875796709</v>
      </c>
      <c r="T42" s="175">
        <f t="shared" si="37"/>
        <v>21130939.566511489</v>
      </c>
      <c r="U42" s="175">
        <f t="shared" si="37"/>
        <v>9350189.2059913818</v>
      </c>
      <c r="V42" s="175">
        <f t="shared" si="37"/>
        <v>29179172.865346625</v>
      </c>
      <c r="W42" s="175">
        <f t="shared" si="37"/>
        <v>21796068.1749864</v>
      </c>
      <c r="X42" s="175">
        <f t="shared" si="37"/>
        <v>29066745.34423716</v>
      </c>
      <c r="Y42" s="175">
        <f t="shared" si="37"/>
        <v>4358933.0771578681</v>
      </c>
      <c r="Z42" s="196">
        <f t="shared" si="31"/>
        <v>201252107.54444286</v>
      </c>
      <c r="AA42" s="176">
        <f t="shared" si="24"/>
        <v>-249963673.63769785</v>
      </c>
      <c r="AB42" s="176">
        <f>'Collections and ACP'!K50</f>
        <v>150699620.50638735</v>
      </c>
      <c r="AC42" s="176">
        <f t="shared" si="20"/>
        <v>-99264053.131310493</v>
      </c>
      <c r="AD42" s="176">
        <f t="shared" si="25"/>
        <v>264618212.30275795</v>
      </c>
      <c r="AE42" s="18">
        <f t="shared" si="21"/>
        <v>-363882265.43406844</v>
      </c>
      <c r="AF42" s="19"/>
    </row>
    <row r="43" spans="1:32" x14ac:dyDescent="0.35">
      <c r="A43" s="174" t="s">
        <v>30</v>
      </c>
      <c r="B43" s="16">
        <f t="shared" si="35"/>
        <v>0</v>
      </c>
      <c r="C43" s="16">
        <f t="shared" si="35"/>
        <v>0</v>
      </c>
      <c r="D43" s="16">
        <f t="shared" si="35"/>
        <v>19410340.336979359</v>
      </c>
      <c r="E43" s="16">
        <f t="shared" si="35"/>
        <v>318638.28882502724</v>
      </c>
      <c r="F43" s="16">
        <f t="shared" si="35"/>
        <v>0</v>
      </c>
      <c r="G43" s="16">
        <f t="shared" si="35"/>
        <v>0</v>
      </c>
      <c r="H43" s="17">
        <v>202999.99999999997</v>
      </c>
      <c r="I43" s="17">
        <v>6627071.8807588778</v>
      </c>
      <c r="J43" s="17">
        <f t="shared" si="16"/>
        <v>3587920.2019054149</v>
      </c>
      <c r="K43" s="17">
        <f t="shared" si="16"/>
        <v>8674940.1745441984</v>
      </c>
      <c r="L43" s="17">
        <f t="shared" si="16"/>
        <v>2038874.2901043098</v>
      </c>
      <c r="M43" s="17">
        <f t="shared" si="17"/>
        <v>4991329.4793066774</v>
      </c>
      <c r="N43" s="17"/>
      <c r="O43" s="17">
        <f t="shared" si="18"/>
        <v>14480715.097082175</v>
      </c>
      <c r="P43" s="17">
        <f t="shared" si="22"/>
        <v>60332829.749506034</v>
      </c>
      <c r="Q43" s="175">
        <f t="shared" ref="Q43:Y43" si="38">$B$29*Q16</f>
        <v>32519373.941379137</v>
      </c>
      <c r="R43" s="175">
        <f t="shared" si="38"/>
        <v>25210805.355659485</v>
      </c>
      <c r="S43" s="175">
        <f t="shared" si="38"/>
        <v>29026524.549640816</v>
      </c>
      <c r="T43" s="175">
        <f t="shared" si="38"/>
        <v>22743871.083299108</v>
      </c>
      <c r="U43" s="175">
        <f t="shared" si="38"/>
        <v>8976181.6377517264</v>
      </c>
      <c r="V43" s="175">
        <f t="shared" si="38"/>
        <v>28012005.950732756</v>
      </c>
      <c r="W43" s="175">
        <f t="shared" si="38"/>
        <v>20500521.320600364</v>
      </c>
      <c r="X43" s="175">
        <f t="shared" si="38"/>
        <v>31261869.394907534</v>
      </c>
      <c r="Y43" s="175">
        <f t="shared" si="38"/>
        <v>5342314.1106481738</v>
      </c>
      <c r="Z43" s="196">
        <f t="shared" si="31"/>
        <v>203593467.34461913</v>
      </c>
      <c r="AA43" s="176">
        <f t="shared" si="24"/>
        <v>-363882265.43406844</v>
      </c>
      <c r="AB43" s="176">
        <f>'Collections and ACP'!K51</f>
        <v>150699620.50638735</v>
      </c>
      <c r="AC43" s="176">
        <f t="shared" si="20"/>
        <v>-213182644.92768109</v>
      </c>
      <c r="AD43" s="176">
        <f t="shared" si="25"/>
        <v>263926297.09412515</v>
      </c>
      <c r="AE43" s="18">
        <f t="shared" si="21"/>
        <v>-477108942.02180624</v>
      </c>
      <c r="AF43" s="19"/>
    </row>
    <row r="44" spans="1:32" x14ac:dyDescent="0.35">
      <c r="A44" s="174" t="s">
        <v>31</v>
      </c>
      <c r="B44" s="16">
        <f t="shared" si="35"/>
        <v>0</v>
      </c>
      <c r="C44" s="16">
        <f t="shared" si="35"/>
        <v>0</v>
      </c>
      <c r="D44" s="16">
        <f t="shared" si="35"/>
        <v>19383559.702478819</v>
      </c>
      <c r="E44" s="16">
        <f t="shared" si="35"/>
        <v>318333.32496508269</v>
      </c>
      <c r="F44" s="16">
        <f t="shared" si="35"/>
        <v>0</v>
      </c>
      <c r="G44" s="16">
        <f t="shared" si="35"/>
        <v>0</v>
      </c>
      <c r="H44" s="17">
        <v>202999.99999999997</v>
      </c>
      <c r="I44" s="17">
        <v>6142006.5088935578</v>
      </c>
      <c r="J44" s="17">
        <f t="shared" si="16"/>
        <v>1789744.1020924991</v>
      </c>
      <c r="K44" s="17">
        <f t="shared" si="16"/>
        <v>7820304.6853742292</v>
      </c>
      <c r="L44" s="17">
        <f t="shared" si="16"/>
        <v>1974487.3310269134</v>
      </c>
      <c r="M44" s="17">
        <f t="shared" si="17"/>
        <v>5007256.3669591239</v>
      </c>
      <c r="N44" s="17"/>
      <c r="O44" s="17">
        <f t="shared" si="18"/>
        <v>14480715.097082175</v>
      </c>
      <c r="P44" s="17">
        <f t="shared" si="22"/>
        <v>57119407.118872397</v>
      </c>
      <c r="Q44" s="175">
        <f t="shared" ref="Q44:Y44" si="39">$B$29*Q17</f>
        <v>15609299.491861986</v>
      </c>
      <c r="R44" s="175">
        <f t="shared" si="39"/>
        <v>22600181.420843326</v>
      </c>
      <c r="S44" s="175">
        <f t="shared" si="39"/>
        <v>31687703.241986778</v>
      </c>
      <c r="T44" s="175">
        <f t="shared" si="39"/>
        <v>23455073.110900294</v>
      </c>
      <c r="U44" s="175">
        <f t="shared" si="39"/>
        <v>8617134.3722416572</v>
      </c>
      <c r="V44" s="175">
        <f t="shared" si="39"/>
        <v>25111312.689825926</v>
      </c>
      <c r="W44" s="175">
        <f t="shared" si="39"/>
        <v>12814000.721090768</v>
      </c>
      <c r="X44" s="175">
        <f t="shared" si="39"/>
        <v>30824660.500455111</v>
      </c>
      <c r="Y44" s="175">
        <f t="shared" si="39"/>
        <v>5778004.9669320537</v>
      </c>
      <c r="Z44" s="196">
        <f t="shared" si="31"/>
        <v>176497370.5161379</v>
      </c>
      <c r="AA44" s="176">
        <f t="shared" si="24"/>
        <v>-477108942.02180624</v>
      </c>
      <c r="AB44" s="176">
        <f>'Collections and ACP'!K52</f>
        <v>150699620.50638735</v>
      </c>
      <c r="AC44" s="176">
        <f t="shared" si="20"/>
        <v>-326409321.51541889</v>
      </c>
      <c r="AD44" s="176">
        <f t="shared" si="25"/>
        <v>233616777.6350103</v>
      </c>
      <c r="AE44" s="18">
        <f t="shared" si="21"/>
        <v>-560026099.15042925</v>
      </c>
      <c r="AF44" s="19"/>
    </row>
    <row r="45" spans="1:32" x14ac:dyDescent="0.35">
      <c r="A45" s="174" t="s">
        <v>32</v>
      </c>
      <c r="B45" s="16">
        <f t="shared" si="35"/>
        <v>0</v>
      </c>
      <c r="C45" s="16">
        <f t="shared" si="35"/>
        <v>0</v>
      </c>
      <c r="D45" s="16">
        <f t="shared" si="35"/>
        <v>19356987.30066137</v>
      </c>
      <c r="E45" s="16">
        <f t="shared" si="35"/>
        <v>318049.50294917991</v>
      </c>
      <c r="F45" s="16">
        <f t="shared" si="35"/>
        <v>0</v>
      </c>
      <c r="G45" s="16">
        <f t="shared" si="35"/>
        <v>0</v>
      </c>
      <c r="H45" s="17">
        <v>202999.99999999997</v>
      </c>
      <c r="I45" s="17">
        <v>6142006.5088935578</v>
      </c>
      <c r="J45" s="17">
        <f t="shared" si="16"/>
        <v>-638964.38168448349</v>
      </c>
      <c r="K45" s="17">
        <f t="shared" si="16"/>
        <v>6690951.5567226931</v>
      </c>
      <c r="L45" s="17">
        <f t="shared" si="16"/>
        <v>1891785.5939744445</v>
      </c>
      <c r="M45" s="17">
        <f t="shared" si="17"/>
        <v>5033118.2732591704</v>
      </c>
      <c r="N45" s="17"/>
      <c r="O45" s="17">
        <f t="shared" si="18"/>
        <v>14480715.097082175</v>
      </c>
      <c r="P45" s="17">
        <f t="shared" si="22"/>
        <v>53477649.451858103</v>
      </c>
      <c r="Q45" s="175">
        <f t="shared" ref="Q45:Y45" si="40">$B$29*Q18</f>
        <v>14984927.512187505</v>
      </c>
      <c r="R45" s="175">
        <f t="shared" si="40"/>
        <v>20182993.094563697</v>
      </c>
      <c r="S45" s="175">
        <f t="shared" si="40"/>
        <v>32876294.15702204</v>
      </c>
      <c r="T45" s="175">
        <f t="shared" si="40"/>
        <v>24129722.273042779</v>
      </c>
      <c r="U45" s="175">
        <f t="shared" si="40"/>
        <v>7724814.7130979253</v>
      </c>
      <c r="V45" s="175">
        <f t="shared" si="40"/>
        <v>22425547.882848553</v>
      </c>
      <c r="W45" s="175">
        <f t="shared" si="40"/>
        <v>6719735.1818491258</v>
      </c>
      <c r="X45" s="175">
        <f t="shared" si="40"/>
        <v>30214790.187646974</v>
      </c>
      <c r="Y45" s="175">
        <f t="shared" si="40"/>
        <v>6195499.9447430307</v>
      </c>
      <c r="Z45" s="196">
        <f t="shared" si="31"/>
        <v>165454324.94700167</v>
      </c>
      <c r="AA45" s="176">
        <f t="shared" si="24"/>
        <v>-560026099.15042925</v>
      </c>
      <c r="AB45" s="176">
        <f>'Collections and ACP'!K53</f>
        <v>150699620.50638735</v>
      </c>
      <c r="AC45" s="176">
        <f t="shared" si="20"/>
        <v>-409326478.6440419</v>
      </c>
      <c r="AD45" s="176">
        <f t="shared" si="25"/>
        <v>218931974.39885977</v>
      </c>
      <c r="AE45" s="18">
        <f t="shared" si="21"/>
        <v>-628258453.04290164</v>
      </c>
      <c r="AF45" s="19"/>
    </row>
    <row r="46" spans="1:32" x14ac:dyDescent="0.35">
      <c r="A46" s="174" t="s">
        <v>33</v>
      </c>
      <c r="B46" s="16">
        <f t="shared" si="35"/>
        <v>0</v>
      </c>
      <c r="C46" s="16">
        <f t="shared" si="35"/>
        <v>0</v>
      </c>
      <c r="D46" s="16">
        <f t="shared" si="35"/>
        <v>19330535.957622133</v>
      </c>
      <c r="E46" s="16">
        <f t="shared" si="35"/>
        <v>317746.56638934894</v>
      </c>
      <c r="F46" s="16">
        <f t="shared" si="35"/>
        <v>0</v>
      </c>
      <c r="G46" s="16">
        <f t="shared" si="35"/>
        <v>0</v>
      </c>
      <c r="H46" s="17">
        <v>202999.99999999997</v>
      </c>
      <c r="I46" s="17">
        <v>5130841.8801888945</v>
      </c>
      <c r="J46" s="17">
        <f t="shared" si="16"/>
        <v>-3045349.9740068046</v>
      </c>
      <c r="K46" s="17">
        <f t="shared" si="16"/>
        <v>5582667.1339209042</v>
      </c>
      <c r="L46" s="17">
        <f t="shared" si="16"/>
        <v>1810527.5581890475</v>
      </c>
      <c r="M46" s="17">
        <f t="shared" si="17"/>
        <v>5052092.9450712204</v>
      </c>
      <c r="N46" s="17"/>
      <c r="O46" s="17">
        <f t="shared" si="18"/>
        <v>14480715.097082175</v>
      </c>
      <c r="P46" s="17">
        <f t="shared" si="22"/>
        <v>48862777.164456919</v>
      </c>
      <c r="Q46" s="175">
        <f t="shared" ref="Q46:Y46" si="41">$B$29*Q19</f>
        <v>14385530.411700005</v>
      </c>
      <c r="R46" s="175">
        <f t="shared" si="41"/>
        <v>17862492.301335257</v>
      </c>
      <c r="S46" s="175">
        <f t="shared" si="41"/>
        <v>34005060.940232322</v>
      </c>
      <c r="T46" s="175">
        <f t="shared" si="41"/>
        <v>24769321.208266664</v>
      </c>
      <c r="U46" s="175">
        <f t="shared" si="41"/>
        <v>6898611.9672229467</v>
      </c>
      <c r="V46" s="175">
        <f t="shared" si="41"/>
        <v>19847213.668150283</v>
      </c>
      <c r="W46" s="175">
        <f t="shared" si="41"/>
        <v>-2691608.2012350042</v>
      </c>
      <c r="X46" s="175">
        <f t="shared" si="41"/>
        <v>27966849.837083917</v>
      </c>
      <c r="Y46" s="175">
        <f t="shared" si="41"/>
        <v>6513721.8740344271</v>
      </c>
      <c r="Z46" s="196">
        <f t="shared" si="31"/>
        <v>149557194.00679082</v>
      </c>
      <c r="AA46" s="176">
        <f t="shared" si="24"/>
        <v>-628258453.04290164</v>
      </c>
      <c r="AB46" s="176">
        <f>'Collections and ACP'!K54</f>
        <v>150699620.50638735</v>
      </c>
      <c r="AC46" s="176">
        <f t="shared" si="20"/>
        <v>-477558832.53651428</v>
      </c>
      <c r="AD46" s="176">
        <f t="shared" si="25"/>
        <v>198419971.17124772</v>
      </c>
      <c r="AE46" s="18">
        <f t="shared" si="21"/>
        <v>-675978803.707762</v>
      </c>
      <c r="AF46" s="19"/>
    </row>
    <row r="47" spans="1:32" x14ac:dyDescent="0.35">
      <c r="A47" s="174" t="s">
        <v>34</v>
      </c>
      <c r="B47" s="16">
        <f t="shared" si="35"/>
        <v>0</v>
      </c>
      <c r="C47" s="16">
        <f t="shared" si="35"/>
        <v>0</v>
      </c>
      <c r="D47" s="16">
        <f t="shared" si="35"/>
        <v>19304119.657913432</v>
      </c>
      <c r="E47" s="16">
        <f t="shared" si="35"/>
        <v>317462.7443734461</v>
      </c>
      <c r="F47" s="16">
        <f t="shared" si="35"/>
        <v>0</v>
      </c>
      <c r="G47" s="16">
        <f t="shared" si="35"/>
        <v>0</v>
      </c>
      <c r="H47" s="17">
        <v>202999.99999999997</v>
      </c>
      <c r="I47" s="17">
        <v>1724725.2635890711</v>
      </c>
      <c r="J47" s="17">
        <f t="shared" si="16"/>
        <v>-5394791.0788903814</v>
      </c>
      <c r="K47" s="17">
        <f t="shared" si="16"/>
        <v>4510605.7785906605</v>
      </c>
      <c r="L47" s="17">
        <f t="shared" si="16"/>
        <v>1731725.3603711063</v>
      </c>
      <c r="M47" s="17">
        <f t="shared" si="17"/>
        <v>5074670.9351125583</v>
      </c>
      <c r="N47" s="17"/>
      <c r="O47" s="17">
        <f t="shared" si="18"/>
        <v>14480715.097082175</v>
      </c>
      <c r="P47" s="17">
        <f t="shared" si="22"/>
        <v>41952233.758142069</v>
      </c>
      <c r="Q47" s="175">
        <f t="shared" ref="Q47:Y47" si="42">$B$29*Q20</f>
        <v>13810109.195232004</v>
      </c>
      <c r="R47" s="175">
        <f t="shared" si="42"/>
        <v>15634811.539835947</v>
      </c>
      <c r="S47" s="175">
        <f t="shared" si="42"/>
        <v>35076457.959366739</v>
      </c>
      <c r="T47" s="175">
        <f t="shared" si="42"/>
        <v>25375312.246950857</v>
      </c>
      <c r="U47" s="175">
        <f t="shared" si="42"/>
        <v>6105457.3311829679</v>
      </c>
      <c r="V47" s="175">
        <f t="shared" si="42"/>
        <v>17372012.822039943</v>
      </c>
      <c r="W47" s="175">
        <f t="shared" si="42"/>
        <v>-12549519.123654408</v>
      </c>
      <c r="X47" s="175">
        <f t="shared" si="42"/>
        <v>25129329.05426294</v>
      </c>
      <c r="Y47" s="175">
        <f t="shared" si="42"/>
        <v>6789622.394046057</v>
      </c>
      <c r="Z47" s="196">
        <f t="shared" si="31"/>
        <v>132743593.41926304</v>
      </c>
      <c r="AA47" s="176">
        <f t="shared" si="24"/>
        <v>-675978803.707762</v>
      </c>
      <c r="AB47" s="176">
        <f>'Collections and ACP'!K55</f>
        <v>150699620.50638735</v>
      </c>
      <c r="AC47" s="176">
        <f t="shared" si="20"/>
        <v>-525279183.20137465</v>
      </c>
      <c r="AD47" s="176">
        <f t="shared" si="25"/>
        <v>174695827.17740512</v>
      </c>
      <c r="AE47" s="18">
        <f t="shared" si="21"/>
        <v>-699975010.37877977</v>
      </c>
      <c r="AF47" s="19"/>
    </row>
    <row r="48" spans="1:32" x14ac:dyDescent="0.35">
      <c r="A48" s="174" t="s">
        <v>35</v>
      </c>
      <c r="B48" s="16">
        <f t="shared" si="35"/>
        <v>0</v>
      </c>
      <c r="C48" s="16">
        <f t="shared" si="35"/>
        <v>0</v>
      </c>
      <c r="D48" s="16">
        <f t="shared" si="35"/>
        <v>19278032.649666037</v>
      </c>
      <c r="E48" s="16">
        <f t="shared" si="35"/>
        <v>317178.92235754331</v>
      </c>
      <c r="F48" s="16">
        <f t="shared" si="35"/>
        <v>0</v>
      </c>
      <c r="G48" s="16">
        <f t="shared" si="35"/>
        <v>0</v>
      </c>
      <c r="H48" s="17">
        <v>202999.99999999997</v>
      </c>
      <c r="I48" s="17"/>
      <c r="J48" s="17">
        <f t="shared" si="16"/>
        <v>-7743893.8026519399</v>
      </c>
      <c r="K48" s="17">
        <f t="shared" si="16"/>
        <v>3449275.1029045549</v>
      </c>
      <c r="L48" s="17">
        <f t="shared" si="16"/>
        <v>1653675.916879057</v>
      </c>
      <c r="M48" s="17">
        <f t="shared" si="17"/>
        <v>5085539.8992882883</v>
      </c>
      <c r="N48" s="17"/>
      <c r="O48" s="17">
        <f t="shared" si="18"/>
        <v>14480715.097082175</v>
      </c>
      <c r="P48" s="17">
        <f t="shared" si="22"/>
        <v>36723523.785525717</v>
      </c>
      <c r="Q48" s="175">
        <f t="shared" ref="Q48:Y48" si="43">$B$29*Q21</f>
        <v>13257704.827422723</v>
      </c>
      <c r="R48" s="175">
        <f t="shared" si="43"/>
        <v>13496238.008796614</v>
      </c>
      <c r="S48" s="175">
        <f t="shared" si="43"/>
        <v>36092841.100452051</v>
      </c>
      <c r="T48" s="175">
        <f t="shared" si="43"/>
        <v>25949079.824652608</v>
      </c>
      <c r="U48" s="175">
        <f t="shared" si="43"/>
        <v>5344028.8805845855</v>
      </c>
      <c r="V48" s="175">
        <f t="shared" si="43"/>
        <v>14995820.009774018</v>
      </c>
      <c r="W48" s="175">
        <f t="shared" si="43"/>
        <v>-23219338.892660059</v>
      </c>
      <c r="X48" s="175">
        <f t="shared" si="43"/>
        <v>21788174.596486103</v>
      </c>
      <c r="Y48" s="175">
        <f t="shared" si="43"/>
        <v>7028277.852201405</v>
      </c>
      <c r="Z48" s="196">
        <f t="shared" si="31"/>
        <v>114732826.20771004</v>
      </c>
      <c r="AA48" s="176">
        <f t="shared" si="24"/>
        <v>-699975010.37877977</v>
      </c>
      <c r="AB48" s="176">
        <f>'Collections and ACP'!K56</f>
        <v>150699620.50638735</v>
      </c>
      <c r="AC48" s="176">
        <f t="shared" si="20"/>
        <v>-549275389.87239242</v>
      </c>
      <c r="AD48" s="176">
        <f t="shared" si="25"/>
        <v>151456349.99323577</v>
      </c>
      <c r="AE48" s="18">
        <f t="shared" si="21"/>
        <v>-700731739.86562824</v>
      </c>
      <c r="AF48" s="19"/>
    </row>
    <row r="49" spans="1:34" x14ac:dyDescent="0.35">
      <c r="A49" s="174" t="s">
        <v>36</v>
      </c>
      <c r="B49" s="16">
        <f t="shared" si="35"/>
        <v>0</v>
      </c>
      <c r="C49" s="16">
        <f t="shared" si="35"/>
        <v>0</v>
      </c>
      <c r="D49" s="16">
        <f t="shared" si="35"/>
        <v>19251945.931032948</v>
      </c>
      <c r="E49" s="16">
        <f t="shared" si="35"/>
        <v>316914.21488556865</v>
      </c>
      <c r="F49" s="16">
        <f t="shared" si="35"/>
        <v>0</v>
      </c>
      <c r="G49" s="16">
        <f t="shared" si="35"/>
        <v>0</v>
      </c>
      <c r="H49" s="17">
        <v>202999.99999999997</v>
      </c>
      <c r="I49" s="17"/>
      <c r="J49" s="17">
        <f t="shared" si="16"/>
        <v>-10007087.712347982</v>
      </c>
      <c r="K49" s="17">
        <f t="shared" si="16"/>
        <v>2436244.0629432625</v>
      </c>
      <c r="L49" s="17">
        <f t="shared" si="16"/>
        <v>1578888.6712728061</v>
      </c>
      <c r="M49" s="17">
        <f t="shared" si="17"/>
        <v>5109593.1792917056</v>
      </c>
      <c r="N49" s="17"/>
      <c r="O49" s="17">
        <f t="shared" si="18"/>
        <v>14480715.097082175</v>
      </c>
      <c r="P49" s="17">
        <f t="shared" si="22"/>
        <v>33370213.444160488</v>
      </c>
      <c r="Q49" s="175">
        <f t="shared" ref="Q49:Y49" si="44">$B$29*Q22</f>
        <v>12727396.634325815</v>
      </c>
      <c r="R49" s="175">
        <f t="shared" si="44"/>
        <v>11443207.418998854</v>
      </c>
      <c r="S49" s="175">
        <f t="shared" si="44"/>
        <v>37056471.708596662</v>
      </c>
      <c r="T49" s="175">
        <f t="shared" si="44"/>
        <v>26491952.798908409</v>
      </c>
      <c r="U49" s="175">
        <f t="shared" si="44"/>
        <v>4613057.5680101421</v>
      </c>
      <c r="V49" s="175">
        <f t="shared" si="44"/>
        <v>12714674.90999873</v>
      </c>
      <c r="W49" s="175">
        <f t="shared" si="44"/>
        <v>-34748241.42215614</v>
      </c>
      <c r="X49" s="175">
        <f t="shared" si="44"/>
        <v>17843690.237613007</v>
      </c>
      <c r="Y49" s="175">
        <f t="shared" si="44"/>
        <v>7224169.0493606189</v>
      </c>
      <c r="Z49" s="196">
        <f t="shared" si="31"/>
        <v>95366378.903656095</v>
      </c>
      <c r="AA49" s="176">
        <f t="shared" si="24"/>
        <v>-700731739.86562824</v>
      </c>
      <c r="AB49" s="176">
        <f>'Collections and ACP'!K57</f>
        <v>150699620.50638735</v>
      </c>
      <c r="AC49" s="176">
        <f t="shared" si="20"/>
        <v>-550032119.35924089</v>
      </c>
      <c r="AD49" s="176">
        <f t="shared" si="25"/>
        <v>128736592.34781659</v>
      </c>
      <c r="AE49" s="18">
        <f t="shared" si="21"/>
        <v>-678768711.70705748</v>
      </c>
      <c r="AF49" s="19"/>
    </row>
    <row r="50" spans="1:34" x14ac:dyDescent="0.35">
      <c r="A50" s="174" t="s">
        <v>37</v>
      </c>
      <c r="B50" s="16">
        <f t="shared" si="35"/>
        <v>0</v>
      </c>
      <c r="C50" s="16">
        <f t="shared" si="35"/>
        <v>0</v>
      </c>
      <c r="D50" s="16">
        <f t="shared" si="35"/>
        <v>18793747.143931072</v>
      </c>
      <c r="E50" s="16">
        <f t="shared" si="35"/>
        <v>316611.27832573769</v>
      </c>
      <c r="F50" s="16">
        <f t="shared" si="35"/>
        <v>0</v>
      </c>
      <c r="G50" s="16">
        <f t="shared" si="35"/>
        <v>0</v>
      </c>
      <c r="H50" s="17">
        <v>202999.99999999997</v>
      </c>
      <c r="I50" s="17"/>
      <c r="J50" s="17">
        <f t="shared" si="16"/>
        <v>-12178099.703638418</v>
      </c>
      <c r="K50" s="17">
        <f t="shared" si="16"/>
        <v>1473613.5082585765</v>
      </c>
      <c r="L50" s="17">
        <f t="shared" si="16"/>
        <v>1507503.7824508627</v>
      </c>
      <c r="M50" s="17">
        <f t="shared" si="17"/>
        <v>5129138.4250386506</v>
      </c>
      <c r="N50" s="17"/>
      <c r="O50" s="17">
        <f t="shared" si="18"/>
        <v>14480715.097082175</v>
      </c>
      <c r="P50" s="17">
        <f t="shared" si="22"/>
        <v>29726229.531448655</v>
      </c>
      <c r="Q50" s="175">
        <f t="shared" ref="Q50:Y50" si="45">$B$29*Q23</f>
        <v>12218300.768952783</v>
      </c>
      <c r="R50" s="175">
        <f t="shared" si="45"/>
        <v>9472298.0527930036</v>
      </c>
      <c r="S50" s="175">
        <f t="shared" si="45"/>
        <v>37969520.371154666</v>
      </c>
      <c r="T50" s="175">
        <f t="shared" si="45"/>
        <v>27005206.673357755</v>
      </c>
      <c r="U50" s="175">
        <f t="shared" si="45"/>
        <v>3911325.1079386752</v>
      </c>
      <c r="V50" s="175">
        <f t="shared" si="45"/>
        <v>10524775.61421445</v>
      </c>
      <c r="W50" s="175">
        <f t="shared" si="45"/>
        <v>-46736398.656570256</v>
      </c>
      <c r="X50" s="175">
        <f t="shared" si="45"/>
        <v>13501817.424740076</v>
      </c>
      <c r="Y50" s="175">
        <f t="shared" si="45"/>
        <v>7389389.907391347</v>
      </c>
      <c r="Z50" s="196">
        <f t="shared" si="31"/>
        <v>75256235.263972491</v>
      </c>
      <c r="AA50" s="176">
        <f t="shared" si="24"/>
        <v>-678768711.70705748</v>
      </c>
      <c r="AB50" s="176">
        <f>'Collections and ACP'!K58</f>
        <v>150699620.50638735</v>
      </c>
      <c r="AC50" s="176">
        <f t="shared" si="20"/>
        <v>-528069091.20067012</v>
      </c>
      <c r="AD50" s="176">
        <f t="shared" si="25"/>
        <v>104982464.79542115</v>
      </c>
      <c r="AE50" s="18">
        <f t="shared" si="21"/>
        <v>-633051555.99609125</v>
      </c>
      <c r="AF50" s="19"/>
    </row>
    <row r="51" spans="1:34" x14ac:dyDescent="0.35">
      <c r="A51" s="174" t="s">
        <v>38</v>
      </c>
      <c r="B51" s="16">
        <f t="shared" ref="B51:G54" si="46">B24*$B$29</f>
        <v>0</v>
      </c>
      <c r="C51" s="16">
        <f t="shared" si="46"/>
        <v>0</v>
      </c>
      <c r="D51" s="16">
        <f t="shared" si="46"/>
        <v>18767920.498941123</v>
      </c>
      <c r="E51" s="16">
        <f t="shared" si="46"/>
        <v>316327.4563098349</v>
      </c>
      <c r="F51" s="16">
        <f t="shared" si="46"/>
        <v>0</v>
      </c>
      <c r="G51" s="16">
        <f t="shared" si="46"/>
        <v>0</v>
      </c>
      <c r="H51" s="17">
        <v>202999.99999999997</v>
      </c>
      <c r="I51" s="17"/>
      <c r="J51" s="17">
        <f t="shared" si="16"/>
        <v>-14414822.781917136</v>
      </c>
      <c r="K51" s="17">
        <f t="shared" si="16"/>
        <v>491924.47445764416</v>
      </c>
      <c r="L51" s="17">
        <f t="shared" si="16"/>
        <v>1434881.18226462</v>
      </c>
      <c r="M51" s="17">
        <f t="shared" si="17"/>
        <v>5152477.8589922888</v>
      </c>
      <c r="N51" s="17"/>
      <c r="O51" s="17">
        <f t="shared" si="18"/>
        <v>14480715.097082175</v>
      </c>
      <c r="P51" s="17">
        <f t="shared" si="22"/>
        <v>26432423.786130551</v>
      </c>
      <c r="Q51" s="175">
        <f t="shared" ref="Q51:Y51" si="47">$B$29*Q24</f>
        <v>11729568.738194671</v>
      </c>
      <c r="R51" s="175">
        <f t="shared" si="47"/>
        <v>9093406.1306812838</v>
      </c>
      <c r="S51" s="175">
        <f t="shared" si="47"/>
        <v>38834070.549555846</v>
      </c>
      <c r="T51" s="175">
        <f t="shared" si="47"/>
        <v>27490065.732897107</v>
      </c>
      <c r="U51" s="175">
        <f t="shared" si="47"/>
        <v>3237661.9462700668</v>
      </c>
      <c r="V51" s="175">
        <f t="shared" si="47"/>
        <v>10103784.589645872</v>
      </c>
      <c r="W51" s="175">
        <f t="shared" si="47"/>
        <v>-59106161.565278061</v>
      </c>
      <c r="X51" s="175">
        <f t="shared" si="47"/>
        <v>8814951.9946670756</v>
      </c>
      <c r="Y51" s="175">
        <f t="shared" si="47"/>
        <v>7527351.7544000335</v>
      </c>
      <c r="Z51" s="196">
        <f t="shared" si="31"/>
        <v>57724699.871033892</v>
      </c>
      <c r="AA51" s="176">
        <f t="shared" si="24"/>
        <v>-633051555.99609125</v>
      </c>
      <c r="AB51" s="176">
        <f>'Collections and ACP'!K59</f>
        <v>150699620.50638735</v>
      </c>
      <c r="AC51" s="176">
        <f t="shared" si="20"/>
        <v>-482351935.48970389</v>
      </c>
      <c r="AD51" s="176">
        <f t="shared" si="25"/>
        <v>84157123.65716444</v>
      </c>
      <c r="AE51" s="18">
        <f t="shared" si="21"/>
        <v>-566509059.14686835</v>
      </c>
      <c r="AF51" s="19"/>
    </row>
    <row r="52" spans="1:34" x14ac:dyDescent="0.35">
      <c r="A52" s="174" t="s">
        <v>39</v>
      </c>
      <c r="B52" s="16">
        <f t="shared" si="46"/>
        <v>0</v>
      </c>
      <c r="C52" s="16">
        <f t="shared" si="46"/>
        <v>0</v>
      </c>
      <c r="D52" s="16">
        <f t="shared" si="46"/>
        <v>16070781.602889361</v>
      </c>
      <c r="E52" s="16">
        <f t="shared" si="46"/>
        <v>316062.45922355825</v>
      </c>
      <c r="F52" s="16">
        <f t="shared" si="46"/>
        <v>0</v>
      </c>
      <c r="G52" s="16">
        <f t="shared" si="46"/>
        <v>0</v>
      </c>
      <c r="H52" s="17">
        <v>202999.99999999997</v>
      </c>
      <c r="I52" s="20"/>
      <c r="J52" s="17">
        <f t="shared" si="16"/>
        <v>-16609728.458958102</v>
      </c>
      <c r="K52" s="17">
        <f t="shared" si="16"/>
        <v>-461859.84593685059</v>
      </c>
      <c r="L52" s="17">
        <f t="shared" si="16"/>
        <v>1364157.8561997828</v>
      </c>
      <c r="M52" s="17">
        <f t="shared" si="17"/>
        <v>5168541.9969354467</v>
      </c>
      <c r="N52" s="17"/>
      <c r="O52" s="17">
        <f t="shared" si="18"/>
        <v>14480715.097082175</v>
      </c>
      <c r="P52" s="17">
        <f t="shared" si="22"/>
        <v>20531670.707435369</v>
      </c>
      <c r="Q52" s="175">
        <f t="shared" ref="Q52:Y52" si="48">$B$29*Q25</f>
        <v>0</v>
      </c>
      <c r="R52" s="175">
        <f t="shared" si="48"/>
        <v>7573865.4746863926</v>
      </c>
      <c r="S52" s="175">
        <f t="shared" si="48"/>
        <v>39652122.065854743</v>
      </c>
      <c r="T52" s="175">
        <f t="shared" si="48"/>
        <v>27352615.404232614</v>
      </c>
      <c r="U52" s="175">
        <f t="shared" si="48"/>
        <v>3108155.4684192641</v>
      </c>
      <c r="V52" s="175">
        <f t="shared" si="48"/>
        <v>8415406.0829848796</v>
      </c>
      <c r="W52" s="175">
        <f t="shared" si="48"/>
        <v>-76562245.544981107</v>
      </c>
      <c r="X52" s="175">
        <f t="shared" si="48"/>
        <v>3410939.4306889474</v>
      </c>
      <c r="Y52" s="175">
        <f t="shared" si="48"/>
        <v>7616297.4936763393</v>
      </c>
      <c r="Z52" s="196">
        <f t="shared" si="31"/>
        <v>20567155.875562076</v>
      </c>
      <c r="AA52" s="176">
        <f t="shared" si="24"/>
        <v>-566509059.14686835</v>
      </c>
      <c r="AB52" s="176">
        <f>'Collections and ACP'!K60</f>
        <v>150699620.50638735</v>
      </c>
      <c r="AC52" s="176">
        <f t="shared" si="20"/>
        <v>-415809438.640481</v>
      </c>
      <c r="AD52" s="176">
        <f t="shared" si="25"/>
        <v>41098826.582997441</v>
      </c>
      <c r="AE52" s="18">
        <f t="shared" si="21"/>
        <v>-456908265.22347844</v>
      </c>
      <c r="AF52" s="19"/>
    </row>
    <row r="53" spans="1:34" x14ac:dyDescent="0.35">
      <c r="A53" s="174" t="s">
        <v>40</v>
      </c>
      <c r="B53" s="16">
        <f t="shared" si="46"/>
        <v>0</v>
      </c>
      <c r="C53" s="16">
        <f t="shared" si="46"/>
        <v>0</v>
      </c>
      <c r="D53" s="16">
        <f t="shared" si="46"/>
        <v>15003585.626650523</v>
      </c>
      <c r="E53" s="16">
        <f t="shared" si="46"/>
        <v>315759.81227802928</v>
      </c>
      <c r="F53" s="16">
        <f t="shared" si="46"/>
        <v>0</v>
      </c>
      <c r="G53" s="16">
        <f t="shared" si="46"/>
        <v>0</v>
      </c>
      <c r="H53" s="17">
        <v>202999.99999999997</v>
      </c>
      <c r="I53" s="20"/>
      <c r="J53" s="17">
        <f t="shared" si="16"/>
        <v>-18883035.281990737</v>
      </c>
      <c r="K53" s="17">
        <f t="shared" si="16"/>
        <v>-8143438.0234016795</v>
      </c>
      <c r="L53" s="17">
        <f t="shared" si="16"/>
        <v>-543985.34359523351</v>
      </c>
      <c r="M53" s="17">
        <f t="shared" si="17"/>
        <v>5184904.7404116467</v>
      </c>
      <c r="N53" s="17"/>
      <c r="O53" s="17">
        <f t="shared" si="18"/>
        <v>14480715.097082175</v>
      </c>
      <c r="P53" s="17">
        <f t="shared" si="22"/>
        <v>7617506.6274347249</v>
      </c>
      <c r="Q53" s="175">
        <f t="shared" ref="Q53:Y53" si="49">$B$29*Q26</f>
        <v>0</v>
      </c>
      <c r="R53" s="175">
        <f t="shared" si="49"/>
        <v>6179317.8010850558</v>
      </c>
      <c r="S53" s="175">
        <f t="shared" si="49"/>
        <v>39453861.455525458</v>
      </c>
      <c r="T53" s="175">
        <f t="shared" si="49"/>
        <v>27215852.327211443</v>
      </c>
      <c r="U53" s="175">
        <f t="shared" si="49"/>
        <v>2588771.5839273399</v>
      </c>
      <c r="V53" s="175">
        <f t="shared" si="49"/>
        <v>6865908.6678722836</v>
      </c>
      <c r="W53" s="175">
        <f t="shared" si="49"/>
        <v>-86699132.065990075</v>
      </c>
      <c r="X53" s="175">
        <f t="shared" si="49"/>
        <v>-2437373.2200138341</v>
      </c>
      <c r="Y53" s="175">
        <f t="shared" si="49"/>
        <v>7672369.7110946374</v>
      </c>
      <c r="Z53" s="196">
        <f t="shared" si="31"/>
        <v>839576.26071229298</v>
      </c>
      <c r="AA53" s="176">
        <f t="shared" si="24"/>
        <v>-456908265.22347844</v>
      </c>
      <c r="AB53" s="176">
        <f>'Collections and ACP'!K61</f>
        <v>150699620.50638735</v>
      </c>
      <c r="AC53" s="176">
        <f t="shared" si="20"/>
        <v>-306208644.71709108</v>
      </c>
      <c r="AD53" s="176">
        <f t="shared" si="25"/>
        <v>8457082.8881470188</v>
      </c>
      <c r="AE53" s="18">
        <f t="shared" si="21"/>
        <v>-314665727.60523808</v>
      </c>
      <c r="AF53" s="19"/>
    </row>
    <row r="54" spans="1:34" x14ac:dyDescent="0.35">
      <c r="A54" s="174" t="s">
        <v>165</v>
      </c>
      <c r="B54" s="16">
        <f t="shared" si="46"/>
        <v>0</v>
      </c>
      <c r="C54" s="16">
        <f t="shared" si="46"/>
        <v>0</v>
      </c>
      <c r="D54" s="16">
        <f t="shared" si="46"/>
        <v>10717024.037384791</v>
      </c>
      <c r="E54" s="16">
        <f t="shared" si="46"/>
        <v>299099.45994453429</v>
      </c>
      <c r="F54" s="16">
        <f t="shared" si="46"/>
        <v>0</v>
      </c>
      <c r="G54" s="16">
        <f t="shared" si="46"/>
        <v>0</v>
      </c>
      <c r="H54" s="17">
        <v>203001</v>
      </c>
      <c r="I54" s="20"/>
      <c r="J54" s="17">
        <f t="shared" si="16"/>
        <v>0</v>
      </c>
      <c r="K54" s="17">
        <f t="shared" si="16"/>
        <v>0</v>
      </c>
      <c r="L54" s="17">
        <f t="shared" si="16"/>
        <v>0</v>
      </c>
      <c r="M54" s="17">
        <f t="shared" si="17"/>
        <v>5184904.7404116467</v>
      </c>
      <c r="N54" s="17"/>
      <c r="O54" s="17">
        <f t="shared" si="18"/>
        <v>14480715.097082175</v>
      </c>
      <c r="P54" s="17">
        <f t="shared" ref="P54" si="50">SUM(B54:O54)</f>
        <v>30884744.334823146</v>
      </c>
      <c r="Q54" s="175">
        <f t="shared" ref="Q54:Y54" si="51">$B$29*Q27</f>
        <v>0</v>
      </c>
      <c r="R54" s="175">
        <f t="shared" si="51"/>
        <v>0</v>
      </c>
      <c r="S54" s="175">
        <f t="shared" si="51"/>
        <v>0</v>
      </c>
      <c r="T54" s="175">
        <f t="shared" si="51"/>
        <v>0</v>
      </c>
      <c r="U54" s="175">
        <f t="shared" si="51"/>
        <v>0</v>
      </c>
      <c r="V54" s="175">
        <f t="shared" si="51"/>
        <v>0</v>
      </c>
      <c r="W54" s="175">
        <f t="shared" si="51"/>
        <v>-102023725.42467526</v>
      </c>
      <c r="X54" s="175">
        <f t="shared" si="51"/>
        <v>-53851763.130203135</v>
      </c>
      <c r="Y54" s="175">
        <f t="shared" si="51"/>
        <v>-3232433.0865648198</v>
      </c>
      <c r="Z54" s="196">
        <f t="shared" ref="Z54" si="52">SUM(Q54:Y54)</f>
        <v>-159107921.64144319</v>
      </c>
      <c r="AA54" s="176">
        <f t="shared" si="24"/>
        <v>-314665727.60523808</v>
      </c>
      <c r="AB54" s="176">
        <f>AB53</f>
        <v>150699620.50638735</v>
      </c>
      <c r="AC54" s="176">
        <f t="shared" si="20"/>
        <v>-163966107.09885073</v>
      </c>
      <c r="AD54" s="176">
        <f t="shared" si="25"/>
        <v>-128223177.30662005</v>
      </c>
      <c r="AE54" s="18">
        <f t="shared" si="21"/>
        <v>-35742929.792230681</v>
      </c>
      <c r="AF54" s="45"/>
      <c r="AG54" s="75">
        <f>AE54-AF54</f>
        <v>-35742929.792230681</v>
      </c>
      <c r="AH54" s="181">
        <v>2556726061.8057499</v>
      </c>
    </row>
    <row r="56" spans="1:34" x14ac:dyDescent="0.35">
      <c r="A56" s="177" t="s">
        <v>43</v>
      </c>
      <c r="B56" s="22">
        <v>0.70538159360122976</v>
      </c>
    </row>
    <row r="57" spans="1:34" ht="58" x14ac:dyDescent="0.35">
      <c r="A57" s="173" t="s">
        <v>1</v>
      </c>
      <c r="B57" s="173" t="s">
        <v>208</v>
      </c>
      <c r="C57" s="173" t="s">
        <v>209</v>
      </c>
      <c r="D57" s="173" t="s">
        <v>237</v>
      </c>
      <c r="E57" s="173" t="s">
        <v>151</v>
      </c>
      <c r="F57" s="173" t="s">
        <v>238</v>
      </c>
      <c r="G57" s="173" t="s">
        <v>239</v>
      </c>
      <c r="H57" s="173" t="s">
        <v>240</v>
      </c>
      <c r="I57" s="15" t="s">
        <v>241</v>
      </c>
      <c r="J57" s="15" t="s">
        <v>242</v>
      </c>
      <c r="K57" s="15" t="s">
        <v>243</v>
      </c>
      <c r="L57" s="15" t="s">
        <v>244</v>
      </c>
      <c r="M57" s="173" t="s">
        <v>245</v>
      </c>
      <c r="N57" s="173" t="s">
        <v>246</v>
      </c>
      <c r="O57" s="173" t="s">
        <v>226</v>
      </c>
      <c r="P57" s="15" t="s">
        <v>224</v>
      </c>
      <c r="Q57" s="198" t="s">
        <v>208</v>
      </c>
      <c r="R57" s="198" t="s">
        <v>209</v>
      </c>
      <c r="S57" s="198" t="s">
        <v>146</v>
      </c>
      <c r="T57" s="198" t="s">
        <v>151</v>
      </c>
      <c r="U57" s="198" t="s">
        <v>155</v>
      </c>
      <c r="V57" s="198" t="s">
        <v>158</v>
      </c>
      <c r="W57" s="198" t="s">
        <v>87</v>
      </c>
      <c r="X57" s="198" t="s">
        <v>88</v>
      </c>
      <c r="Y57" s="198" t="s">
        <v>83</v>
      </c>
      <c r="Z57" s="198" t="s">
        <v>247</v>
      </c>
      <c r="AA57" s="15" t="s">
        <v>248</v>
      </c>
      <c r="AB57" s="15" t="s">
        <v>249</v>
      </c>
      <c r="AC57" s="15" t="s">
        <v>250</v>
      </c>
      <c r="AD57" s="173" t="s">
        <v>172</v>
      </c>
      <c r="AE57" s="173" t="s">
        <v>251</v>
      </c>
    </row>
    <row r="58" spans="1:34" x14ac:dyDescent="0.35">
      <c r="A58" s="174" t="s">
        <v>17</v>
      </c>
      <c r="B58" s="16">
        <f t="shared" ref="B58:G67" si="53">B4*$B$56</f>
        <v>97349277.80708088</v>
      </c>
      <c r="C58" s="16">
        <f t="shared" si="53"/>
        <v>34302115.081670769</v>
      </c>
      <c r="D58" s="16">
        <f t="shared" si="53"/>
        <v>21153728.817258116</v>
      </c>
      <c r="E58" s="16">
        <f t="shared" si="53"/>
        <v>0</v>
      </c>
      <c r="F58" s="16">
        <f t="shared" si="53"/>
        <v>0</v>
      </c>
      <c r="G58" s="16">
        <f t="shared" si="53"/>
        <v>0</v>
      </c>
      <c r="H58" s="17">
        <v>23095359.600711424</v>
      </c>
      <c r="I58" s="17">
        <v>4022753.2299999995</v>
      </c>
      <c r="J58" s="16">
        <f t="shared" ref="J58:L81" si="54">J4*$B$56</f>
        <v>0</v>
      </c>
      <c r="K58" s="16">
        <f t="shared" si="54"/>
        <v>0</v>
      </c>
      <c r="L58" s="16">
        <f t="shared" si="54"/>
        <v>0</v>
      </c>
      <c r="M58" s="17">
        <f t="shared" ref="M58:M81" si="55">$B$56*M4</f>
        <v>4766319.8739403263</v>
      </c>
      <c r="N58" s="17"/>
      <c r="O58" s="17">
        <f t="shared" ref="O58:O81" si="56">$B$56*O4</f>
        <v>7943866.4565672111</v>
      </c>
      <c r="P58" s="17">
        <f>SUM(B58:O58)</f>
        <v>192633420.86722872</v>
      </c>
      <c r="Q58" s="175">
        <f t="shared" ref="Q58:Y58" si="57">$B$56*Q4</f>
        <v>0</v>
      </c>
      <c r="R58" s="175">
        <f t="shared" si="57"/>
        <v>0</v>
      </c>
      <c r="S58" s="175">
        <f t="shared" si="57"/>
        <v>0</v>
      </c>
      <c r="T58" s="175">
        <f t="shared" si="57"/>
        <v>0</v>
      </c>
      <c r="U58" s="175">
        <f t="shared" si="57"/>
        <v>0</v>
      </c>
      <c r="V58" s="175">
        <f t="shared" si="57"/>
        <v>0</v>
      </c>
      <c r="W58" s="175">
        <f t="shared" si="57"/>
        <v>0</v>
      </c>
      <c r="X58" s="175">
        <f t="shared" si="57"/>
        <v>0</v>
      </c>
      <c r="Y58" s="175">
        <f t="shared" si="57"/>
        <v>0</v>
      </c>
      <c r="Z58" s="196">
        <f>SUM(Q58:Y58)</f>
        <v>0</v>
      </c>
      <c r="AA58" s="176">
        <f>'Collections and ACP'!C149+'Collections and ACP'!C141</f>
        <v>204555086.45917991</v>
      </c>
      <c r="AB58" s="176">
        <f>'Collections and ACP'!K72</f>
        <v>160340838.45917991</v>
      </c>
      <c r="AC58" s="176">
        <f t="shared" ref="AC58:AC81" si="58">AA58+AB58</f>
        <v>364895924.91835982</v>
      </c>
      <c r="AD58" s="176">
        <f>P58+Z58</f>
        <v>192633420.86722872</v>
      </c>
      <c r="AE58" s="18">
        <f t="shared" ref="AE58:AE81" si="59">AC58-AD58</f>
        <v>172262504.0511311</v>
      </c>
    </row>
    <row r="59" spans="1:34" x14ac:dyDescent="0.35">
      <c r="A59" s="174" t="s">
        <v>18</v>
      </c>
      <c r="B59" s="16">
        <f t="shared" si="53"/>
        <v>43769066.843130246</v>
      </c>
      <c r="C59" s="16">
        <f t="shared" si="53"/>
        <v>42820673.53133586</v>
      </c>
      <c r="D59" s="16">
        <f t="shared" si="53"/>
        <v>59387707.207531936</v>
      </c>
      <c r="E59" s="16">
        <f t="shared" si="53"/>
        <v>0</v>
      </c>
      <c r="F59" s="16">
        <f t="shared" si="53"/>
        <v>0</v>
      </c>
      <c r="G59" s="16">
        <f t="shared" si="53"/>
        <v>0</v>
      </c>
      <c r="H59" s="17">
        <v>18588255.383493654</v>
      </c>
      <c r="I59" s="17">
        <v>13774212.278173922</v>
      </c>
      <c r="J59" s="16">
        <f t="shared" si="54"/>
        <v>0</v>
      </c>
      <c r="K59" s="16">
        <f t="shared" si="54"/>
        <v>0</v>
      </c>
      <c r="L59" s="16">
        <f t="shared" si="54"/>
        <v>0</v>
      </c>
      <c r="M59" s="17">
        <f t="shared" si="55"/>
        <v>9834525.4696835726</v>
      </c>
      <c r="N59" s="17">
        <v>10000000</v>
      </c>
      <c r="O59" s="17">
        <f t="shared" si="56"/>
        <v>35269079.680061489</v>
      </c>
      <c r="P59" s="17">
        <f t="shared" ref="P59:P81" si="60">SUM(B59:O59)</f>
        <v>233443520.39341071</v>
      </c>
      <c r="Q59" s="175">
        <f t="shared" ref="Q59:Y59" si="61">$B$56*Q5</f>
        <v>0</v>
      </c>
      <c r="R59" s="175">
        <f t="shared" si="61"/>
        <v>0</v>
      </c>
      <c r="S59" s="175">
        <f t="shared" si="61"/>
        <v>0</v>
      </c>
      <c r="T59" s="175">
        <f t="shared" si="61"/>
        <v>0</v>
      </c>
      <c r="U59" s="175">
        <f t="shared" si="61"/>
        <v>0</v>
      </c>
      <c r="V59" s="175">
        <f t="shared" si="61"/>
        <v>0</v>
      </c>
      <c r="W59" s="175">
        <f t="shared" si="61"/>
        <v>0</v>
      </c>
      <c r="X59" s="175">
        <f t="shared" si="61"/>
        <v>0</v>
      </c>
      <c r="Y59" s="175">
        <f t="shared" si="61"/>
        <v>0</v>
      </c>
      <c r="Z59" s="196">
        <f t="shared" ref="Z59:Z81" si="62">SUM(Q59:Y59)</f>
        <v>0</v>
      </c>
      <c r="AA59" s="176">
        <f t="shared" ref="AA59:AA81" si="63">AE58</f>
        <v>172262504.0511311</v>
      </c>
      <c r="AB59" s="176">
        <f>'Collections and ACP'!K73</f>
        <v>334084827.7045005</v>
      </c>
      <c r="AC59" s="176">
        <f t="shared" si="58"/>
        <v>506347331.75563157</v>
      </c>
      <c r="AD59" s="176">
        <f t="shared" ref="AD59:AD81" si="64">P59+Z59</f>
        <v>233443520.39341071</v>
      </c>
      <c r="AE59" s="18">
        <f t="shared" si="59"/>
        <v>272903811.36222088</v>
      </c>
    </row>
    <row r="60" spans="1:34" x14ac:dyDescent="0.35">
      <c r="A60" s="174" t="s">
        <v>19</v>
      </c>
      <c r="B60" s="16">
        <f t="shared" si="53"/>
        <v>46730717.271104053</v>
      </c>
      <c r="C60" s="16">
        <f t="shared" si="53"/>
        <v>52605779.196010046</v>
      </c>
      <c r="D60" s="16">
        <f t="shared" si="53"/>
        <v>80228547.089789987</v>
      </c>
      <c r="E60" s="16">
        <f t="shared" si="53"/>
        <v>0</v>
      </c>
      <c r="F60" s="16">
        <f t="shared" si="53"/>
        <v>0</v>
      </c>
      <c r="G60" s="16">
        <f t="shared" si="53"/>
        <v>0</v>
      </c>
      <c r="H60" s="17">
        <v>17220344.595163539</v>
      </c>
      <c r="I60" s="17">
        <v>16234169.923732867</v>
      </c>
      <c r="J60" s="16">
        <f t="shared" si="54"/>
        <v>0</v>
      </c>
      <c r="K60" s="16">
        <f t="shared" si="54"/>
        <v>0</v>
      </c>
      <c r="L60" s="16">
        <f t="shared" si="54"/>
        <v>0</v>
      </c>
      <c r="M60" s="17">
        <f t="shared" si="55"/>
        <v>12431567.473247776</v>
      </c>
      <c r="N60" s="17"/>
      <c r="O60" s="17">
        <f t="shared" si="56"/>
        <v>35269079.680061489</v>
      </c>
      <c r="P60" s="17">
        <f t="shared" si="60"/>
        <v>260720205.22910973</v>
      </c>
      <c r="Q60" s="175">
        <f t="shared" ref="Q60:Y60" si="65">$B$56*Q6</f>
        <v>0</v>
      </c>
      <c r="R60" s="175">
        <f t="shared" si="65"/>
        <v>0</v>
      </c>
      <c r="S60" s="175">
        <f t="shared" si="65"/>
        <v>0</v>
      </c>
      <c r="T60" s="175">
        <f t="shared" si="65"/>
        <v>0</v>
      </c>
      <c r="U60" s="175">
        <f t="shared" si="65"/>
        <v>0</v>
      </c>
      <c r="V60" s="175">
        <f t="shared" si="65"/>
        <v>0</v>
      </c>
      <c r="W60" s="175">
        <f t="shared" si="65"/>
        <v>0</v>
      </c>
      <c r="X60" s="175">
        <f t="shared" si="65"/>
        <v>0</v>
      </c>
      <c r="Y60" s="175">
        <f t="shared" si="65"/>
        <v>0</v>
      </c>
      <c r="Z60" s="196">
        <f t="shared" si="62"/>
        <v>0</v>
      </c>
      <c r="AA60" s="176">
        <f t="shared" si="63"/>
        <v>272903811.36222088</v>
      </c>
      <c r="AB60" s="176">
        <f>'Collections and ACP'!K74</f>
        <v>425587002.41775018</v>
      </c>
      <c r="AC60" s="176">
        <f t="shared" si="58"/>
        <v>698490813.77997112</v>
      </c>
      <c r="AD60" s="176">
        <f t="shared" si="64"/>
        <v>260720205.22910973</v>
      </c>
      <c r="AE60" s="18">
        <f t="shared" si="59"/>
        <v>437770608.55086136</v>
      </c>
      <c r="AF60" s="19"/>
    </row>
    <row r="61" spans="1:34" x14ac:dyDescent="0.35">
      <c r="A61" s="174" t="s">
        <v>20</v>
      </c>
      <c r="B61" s="16">
        <f t="shared" si="53"/>
        <v>170098664.56529862</v>
      </c>
      <c r="C61" s="16">
        <f t="shared" si="53"/>
        <v>63855261.28128995</v>
      </c>
      <c r="D61" s="16">
        <f t="shared" si="53"/>
        <v>93051349.666662529</v>
      </c>
      <c r="E61" s="16">
        <f t="shared" si="53"/>
        <v>0</v>
      </c>
      <c r="F61" s="16">
        <f t="shared" si="53"/>
        <v>0</v>
      </c>
      <c r="G61" s="16">
        <f t="shared" si="53"/>
        <v>0</v>
      </c>
      <c r="H61" s="17">
        <v>14320007.415898787</v>
      </c>
      <c r="I61" s="17">
        <v>15893275.783732867</v>
      </c>
      <c r="J61" s="16">
        <f t="shared" si="54"/>
        <v>0</v>
      </c>
      <c r="K61" s="16">
        <f t="shared" si="54"/>
        <v>0</v>
      </c>
      <c r="L61" s="16">
        <f t="shared" si="54"/>
        <v>0</v>
      </c>
      <c r="M61" s="17">
        <f t="shared" si="55"/>
        <v>12207796.425872406</v>
      </c>
      <c r="N61" s="17"/>
      <c r="O61" s="17">
        <f t="shared" si="56"/>
        <v>35269079.680061489</v>
      </c>
      <c r="P61" s="17">
        <f t="shared" si="60"/>
        <v>404695434.81881666</v>
      </c>
      <c r="Q61" s="175">
        <f t="shared" ref="Q61:Y61" si="66">$B$56*Q7</f>
        <v>0</v>
      </c>
      <c r="R61" s="175">
        <f t="shared" si="66"/>
        <v>0</v>
      </c>
      <c r="S61" s="175">
        <f t="shared" si="66"/>
        <v>0</v>
      </c>
      <c r="T61" s="175">
        <f t="shared" si="66"/>
        <v>0</v>
      </c>
      <c r="U61" s="175">
        <f t="shared" si="66"/>
        <v>0</v>
      </c>
      <c r="V61" s="175">
        <f t="shared" si="66"/>
        <v>0</v>
      </c>
      <c r="W61" s="175">
        <f t="shared" si="66"/>
        <v>0</v>
      </c>
      <c r="X61" s="175">
        <f t="shared" si="66"/>
        <v>0</v>
      </c>
      <c r="Y61" s="175">
        <f t="shared" si="66"/>
        <v>0</v>
      </c>
      <c r="Z61" s="196">
        <f t="shared" si="62"/>
        <v>0</v>
      </c>
      <c r="AA61" s="176">
        <f>AE60</f>
        <v>437770608.55086136</v>
      </c>
      <c r="AB61" s="176">
        <f>'Collections and ACP'!K75</f>
        <v>418637876.44009328</v>
      </c>
      <c r="AC61" s="176">
        <f t="shared" si="58"/>
        <v>856408484.99095464</v>
      </c>
      <c r="AD61" s="176">
        <f t="shared" si="64"/>
        <v>404695434.81881666</v>
      </c>
      <c r="AE61" s="18">
        <f t="shared" si="59"/>
        <v>451713050.17213798</v>
      </c>
      <c r="AF61" s="19"/>
    </row>
    <row r="62" spans="1:34" x14ac:dyDescent="0.35">
      <c r="A62" s="174" t="s">
        <v>22</v>
      </c>
      <c r="B62" s="16">
        <f t="shared" si="53"/>
        <v>21216476.036916912</v>
      </c>
      <c r="C62" s="16">
        <f t="shared" si="53"/>
        <v>44825930.209480658</v>
      </c>
      <c r="D62" s="16">
        <f t="shared" si="53"/>
        <v>99607904.732120857</v>
      </c>
      <c r="E62" s="16">
        <f t="shared" si="53"/>
        <v>617227.23432250973</v>
      </c>
      <c r="F62" s="16">
        <f t="shared" si="53"/>
        <v>4454784.5507690469</v>
      </c>
      <c r="G62" s="16">
        <f t="shared" si="53"/>
        <v>0</v>
      </c>
      <c r="H62" s="17">
        <v>14162541.685608782</v>
      </c>
      <c r="I62" s="17">
        <v>15893275.783732867</v>
      </c>
      <c r="J62" s="16">
        <f t="shared" si="54"/>
        <v>3114288.1607936593</v>
      </c>
      <c r="K62" s="16">
        <f t="shared" si="54"/>
        <v>0</v>
      </c>
      <c r="L62" s="16">
        <f t="shared" si="54"/>
        <v>0</v>
      </c>
      <c r="M62" s="17">
        <f t="shared" si="55"/>
        <v>12138791.617203886</v>
      </c>
      <c r="N62" s="17">
        <v>10000000</v>
      </c>
      <c r="O62" s="17">
        <f t="shared" si="56"/>
        <v>35269079.680061489</v>
      </c>
      <c r="P62" s="17">
        <f t="shared" si="60"/>
        <v>261300299.69101068</v>
      </c>
      <c r="Q62" s="175">
        <f t="shared" ref="Q62:Y62" si="67">$B$56*Q8</f>
        <v>109793449.47638761</v>
      </c>
      <c r="R62" s="175">
        <f t="shared" si="67"/>
        <v>20634176.287307918</v>
      </c>
      <c r="S62" s="175">
        <f t="shared" si="67"/>
        <v>6157217.5042378232</v>
      </c>
      <c r="T62" s="175">
        <f t="shared" si="67"/>
        <v>18017622.080281988</v>
      </c>
      <c r="U62" s="175">
        <f t="shared" si="67"/>
        <v>2912156.4809121094</v>
      </c>
      <c r="V62" s="175">
        <f t="shared" si="67"/>
        <v>19838793.380660862</v>
      </c>
      <c r="W62" s="175">
        <f t="shared" si="67"/>
        <v>0</v>
      </c>
      <c r="X62" s="175">
        <f t="shared" si="67"/>
        <v>0</v>
      </c>
      <c r="Y62" s="175">
        <f t="shared" si="67"/>
        <v>0</v>
      </c>
      <c r="Z62" s="196">
        <f t="shared" si="62"/>
        <v>177353415.20978832</v>
      </c>
      <c r="AA62" s="176">
        <f t="shared" si="63"/>
        <v>451713050.17213798</v>
      </c>
      <c r="AB62" s="176">
        <f>'Collections and ACP'!K76</f>
        <v>416841690.5059967</v>
      </c>
      <c r="AC62" s="176">
        <f t="shared" si="58"/>
        <v>868554740.67813468</v>
      </c>
      <c r="AD62" s="176">
        <f t="shared" si="64"/>
        <v>438653714.90079904</v>
      </c>
      <c r="AE62" s="18">
        <f t="shared" si="59"/>
        <v>429901025.77733564</v>
      </c>
      <c r="AF62" s="19"/>
    </row>
    <row r="63" spans="1:34" x14ac:dyDescent="0.35">
      <c r="A63" s="174" t="s">
        <v>23</v>
      </c>
      <c r="B63" s="16">
        <f t="shared" si="53"/>
        <v>0</v>
      </c>
      <c r="C63" s="16">
        <f t="shared" si="53"/>
        <v>31891694.269977365</v>
      </c>
      <c r="D63" s="16">
        <f t="shared" si="53"/>
        <v>71241996.873415813</v>
      </c>
      <c r="E63" s="16">
        <f t="shared" si="53"/>
        <v>781157.21129384183</v>
      </c>
      <c r="F63" s="16">
        <f t="shared" si="53"/>
        <v>5480232.3370852405</v>
      </c>
      <c r="G63" s="16">
        <f t="shared" si="53"/>
        <v>0</v>
      </c>
      <c r="H63" s="17">
        <v>10125431.694168944</v>
      </c>
      <c r="I63" s="17">
        <v>15893275.783732867</v>
      </c>
      <c r="J63" s="16">
        <f t="shared" si="54"/>
        <v>3020326.9350360446</v>
      </c>
      <c r="K63" s="16">
        <f t="shared" si="54"/>
        <v>14263514.521724612</v>
      </c>
      <c r="L63" s="16">
        <f t="shared" si="54"/>
        <v>0</v>
      </c>
      <c r="M63" s="17">
        <f t="shared" si="55"/>
        <v>11989718.975085922</v>
      </c>
      <c r="N63" s="17"/>
      <c r="O63" s="17">
        <f t="shared" si="56"/>
        <v>35269079.680061489</v>
      </c>
      <c r="P63" s="17">
        <f t="shared" si="60"/>
        <v>199956428.28158212</v>
      </c>
      <c r="Q63" s="175">
        <f t="shared" ref="Q63:Y63" si="68">$B$56*Q9</f>
        <v>105401711.49733211</v>
      </c>
      <c r="R63" s="175">
        <f t="shared" si="68"/>
        <v>30826879.88369545</v>
      </c>
      <c r="S63" s="175">
        <f t="shared" si="68"/>
        <v>15601232.50434603</v>
      </c>
      <c r="T63" s="175">
        <f t="shared" si="68"/>
        <v>23497811.205328662</v>
      </c>
      <c r="U63" s="175">
        <f t="shared" si="68"/>
        <v>6764133.1279829023</v>
      </c>
      <c r="V63" s="175">
        <f t="shared" si="68"/>
        <v>31164019.598869231</v>
      </c>
      <c r="W63" s="175">
        <f t="shared" si="68"/>
        <v>0</v>
      </c>
      <c r="X63" s="175">
        <f t="shared" si="68"/>
        <v>2036854.4337257878</v>
      </c>
      <c r="Y63" s="175">
        <f t="shared" si="68"/>
        <v>0</v>
      </c>
      <c r="Z63" s="196">
        <f t="shared" si="62"/>
        <v>215292642.25128019</v>
      </c>
      <c r="AA63" s="176">
        <f t="shared" si="63"/>
        <v>429901025.77733564</v>
      </c>
      <c r="AB63" s="176">
        <f>'Collections and ACP'!K77</f>
        <v>411704590.86891198</v>
      </c>
      <c r="AC63" s="176">
        <f t="shared" si="58"/>
        <v>841605616.64624763</v>
      </c>
      <c r="AD63" s="176">
        <f t="shared" si="64"/>
        <v>415249070.53286231</v>
      </c>
      <c r="AE63" s="18">
        <f t="shared" si="59"/>
        <v>426356546.11338532</v>
      </c>
      <c r="AF63" s="19"/>
    </row>
    <row r="64" spans="1:34" x14ac:dyDescent="0.35">
      <c r="A64" s="174" t="s">
        <v>24</v>
      </c>
      <c r="B64" s="16">
        <f t="shared" si="53"/>
        <v>0</v>
      </c>
      <c r="C64" s="16">
        <f t="shared" si="53"/>
        <v>26298478.141518641</v>
      </c>
      <c r="D64" s="16">
        <f t="shared" si="53"/>
        <v>51349119.314798459</v>
      </c>
      <c r="E64" s="16">
        <f t="shared" si="53"/>
        <v>780368.59467219573</v>
      </c>
      <c r="F64" s="16">
        <f t="shared" si="53"/>
        <v>5455746.4258265607</v>
      </c>
      <c r="G64" s="16">
        <f t="shared" si="53"/>
        <v>0</v>
      </c>
      <c r="H64" s="17">
        <v>8012431.7104763286</v>
      </c>
      <c r="I64" s="17">
        <v>15893275.783732867</v>
      </c>
      <c r="J64" s="16">
        <f t="shared" si="54"/>
        <v>35029947.634698205</v>
      </c>
      <c r="K64" s="16">
        <f t="shared" si="54"/>
        <v>34058771.087050252</v>
      </c>
      <c r="L64" s="16">
        <f t="shared" si="54"/>
        <v>2961622.661509098</v>
      </c>
      <c r="M64" s="17">
        <f t="shared" si="55"/>
        <v>11913056.699079983</v>
      </c>
      <c r="N64" s="17"/>
      <c r="O64" s="17">
        <f t="shared" si="56"/>
        <v>35269079.680061489</v>
      </c>
      <c r="P64" s="17">
        <f t="shared" si="60"/>
        <v>227021897.7334241</v>
      </c>
      <c r="Q64" s="175">
        <f t="shared" ref="Q64:Y64" si="69">$B$56*Q10</f>
        <v>101185643.03743881</v>
      </c>
      <c r="R64" s="175">
        <f t="shared" si="69"/>
        <v>40611875.336227477</v>
      </c>
      <c r="S64" s="175">
        <f t="shared" si="69"/>
        <v>24619035.38594852</v>
      </c>
      <c r="T64" s="175">
        <f t="shared" si="69"/>
        <v>28727788.295332182</v>
      </c>
      <c r="U64" s="175">
        <f t="shared" si="69"/>
        <v>10248032.00655582</v>
      </c>
      <c r="V64" s="175">
        <f t="shared" si="69"/>
        <v>42036236.76834926</v>
      </c>
      <c r="W64" s="175">
        <f t="shared" si="69"/>
        <v>0</v>
      </c>
      <c r="X64" s="175">
        <f t="shared" si="69"/>
        <v>2014908.534483419</v>
      </c>
      <c r="Y64" s="175">
        <f t="shared" si="69"/>
        <v>0</v>
      </c>
      <c r="Z64" s="196">
        <f t="shared" si="62"/>
        <v>249443519.36433551</v>
      </c>
      <c r="AA64" s="176">
        <f t="shared" si="63"/>
        <v>426356546.11338532</v>
      </c>
      <c r="AB64" s="176">
        <f>'Collections and ACP'!K78</f>
        <v>409825345.05896723</v>
      </c>
      <c r="AC64" s="176">
        <f t="shared" si="58"/>
        <v>836181891.17235255</v>
      </c>
      <c r="AD64" s="176">
        <f t="shared" si="64"/>
        <v>476465417.0977596</v>
      </c>
      <c r="AE64" s="18">
        <f t="shared" si="59"/>
        <v>359716474.07459295</v>
      </c>
      <c r="AF64" s="19"/>
    </row>
    <row r="65" spans="1:32" x14ac:dyDescent="0.35">
      <c r="A65" s="174" t="s">
        <v>25</v>
      </c>
      <c r="B65" s="16">
        <f t="shared" si="53"/>
        <v>0</v>
      </c>
      <c r="C65" s="16">
        <f t="shared" si="53"/>
        <v>23362047.927042458</v>
      </c>
      <c r="D65" s="16">
        <f t="shared" si="53"/>
        <v>47606066.908117838</v>
      </c>
      <c r="E65" s="16">
        <f t="shared" si="53"/>
        <v>779676.61532887293</v>
      </c>
      <c r="F65" s="16">
        <f t="shared" si="53"/>
        <v>5431362.0895173606</v>
      </c>
      <c r="G65" s="16">
        <f t="shared" si="53"/>
        <v>0</v>
      </c>
      <c r="H65" s="17">
        <v>4480482.7749063233</v>
      </c>
      <c r="I65" s="17">
        <v>15893275.783732867</v>
      </c>
      <c r="J65" s="16">
        <f t="shared" si="54"/>
        <v>35333266.230862021</v>
      </c>
      <c r="K65" s="16">
        <f t="shared" si="54"/>
        <v>34029499.86395292</v>
      </c>
      <c r="L65" s="16">
        <f t="shared" si="54"/>
        <v>5917857.5853415076</v>
      </c>
      <c r="M65" s="17">
        <f t="shared" si="55"/>
        <v>11894429.870504905</v>
      </c>
      <c r="N65" s="17">
        <v>10000000</v>
      </c>
      <c r="O65" s="17">
        <f t="shared" si="56"/>
        <v>35269079.680061489</v>
      </c>
      <c r="P65" s="17">
        <f t="shared" si="60"/>
        <v>229997045.32936856</v>
      </c>
      <c r="Q65" s="175">
        <f t="shared" ref="Q65:Y65" si="70">$B$56*Q11</f>
        <v>97138217.315941244</v>
      </c>
      <c r="R65" s="175">
        <f t="shared" si="70"/>
        <v>50005470.970658228</v>
      </c>
      <c r="S65" s="175">
        <f t="shared" si="70"/>
        <v>33227916.89137803</v>
      </c>
      <c r="T65" s="175">
        <f t="shared" si="70"/>
        <v>33717716.854044475</v>
      </c>
      <c r="U65" s="175">
        <f t="shared" si="70"/>
        <v>13592574.929985818</v>
      </c>
      <c r="V65" s="175">
        <f t="shared" si="70"/>
        <v>52473565.2510501</v>
      </c>
      <c r="W65" s="175">
        <f t="shared" si="70"/>
        <v>48118059.937772252</v>
      </c>
      <c r="X65" s="175">
        <f t="shared" si="70"/>
        <v>22020692.963026956</v>
      </c>
      <c r="Y65" s="175">
        <f t="shared" si="70"/>
        <v>0</v>
      </c>
      <c r="Z65" s="196">
        <f t="shared" si="62"/>
        <v>350294215.11385709</v>
      </c>
      <c r="AA65" s="176">
        <f t="shared" si="63"/>
        <v>359716474.07459295</v>
      </c>
      <c r="AB65" s="176">
        <f>'Collections and ACP'!K79</f>
        <v>409988158.14116162</v>
      </c>
      <c r="AC65" s="176">
        <f t="shared" si="58"/>
        <v>769704632.21575451</v>
      </c>
      <c r="AD65" s="176">
        <f t="shared" si="64"/>
        <v>580291260.44322562</v>
      </c>
      <c r="AE65" s="18">
        <f t="shared" si="59"/>
        <v>189413371.77252889</v>
      </c>
      <c r="AF65" s="19"/>
    </row>
    <row r="66" spans="1:32" x14ac:dyDescent="0.35">
      <c r="A66" s="174" t="s">
        <v>26</v>
      </c>
      <c r="B66" s="16">
        <f t="shared" si="53"/>
        <v>0</v>
      </c>
      <c r="C66" s="16">
        <f t="shared" si="53"/>
        <v>22459954.452288873</v>
      </c>
      <c r="D66" s="16">
        <f t="shared" si="53"/>
        <v>47539572.70143383</v>
      </c>
      <c r="E66" s="16">
        <f t="shared" si="53"/>
        <v>778934.55389240442</v>
      </c>
      <c r="F66" s="16">
        <f t="shared" si="53"/>
        <v>5407029.9514460862</v>
      </c>
      <c r="G66" s="16">
        <f t="shared" si="53"/>
        <v>0</v>
      </c>
      <c r="H66" s="17">
        <v>4478132.259204451</v>
      </c>
      <c r="I66" s="17">
        <v>15893275.783732867</v>
      </c>
      <c r="J66" s="16">
        <f t="shared" si="54"/>
        <v>27340779.29000752</v>
      </c>
      <c r="K66" s="16">
        <f t="shared" si="54"/>
        <v>30161966.33630199</v>
      </c>
      <c r="L66" s="16">
        <f t="shared" si="54"/>
        <v>5641281.2382334033</v>
      </c>
      <c r="M66" s="17">
        <f t="shared" si="55"/>
        <v>11925482.396519691</v>
      </c>
      <c r="N66" s="17"/>
      <c r="O66" s="17">
        <f t="shared" si="56"/>
        <v>35269079.680061489</v>
      </c>
      <c r="P66" s="17">
        <f t="shared" si="60"/>
        <v>206895488.64312261</v>
      </c>
      <c r="Q66" s="175">
        <f t="shared" ref="Q66:Y66" si="71">$B$56*Q12</f>
        <v>93252688.623303592</v>
      </c>
      <c r="R66" s="175">
        <f t="shared" si="71"/>
        <v>59023322.779711746</v>
      </c>
      <c r="S66" s="175">
        <f t="shared" si="71"/>
        <v>41444474.921986021</v>
      </c>
      <c r="T66" s="175">
        <f t="shared" si="71"/>
        <v>38477353.06995564</v>
      </c>
      <c r="U66" s="175">
        <f t="shared" si="71"/>
        <v>16803336.136478618</v>
      </c>
      <c r="V66" s="175">
        <f t="shared" si="71"/>
        <v>62493400.594442889</v>
      </c>
      <c r="W66" s="175">
        <f t="shared" si="71"/>
        <v>64712941.81476561</v>
      </c>
      <c r="X66" s="175">
        <f t="shared" si="71"/>
        <v>42104461.868170477</v>
      </c>
      <c r="Y66" s="175">
        <f t="shared" si="71"/>
        <v>2966344.6543065202</v>
      </c>
      <c r="Z66" s="196">
        <f t="shared" si="62"/>
        <v>421278324.46312118</v>
      </c>
      <c r="AA66" s="176">
        <f t="shared" si="63"/>
        <v>189413371.77252889</v>
      </c>
      <c r="AB66" s="176">
        <f>'Collections and ACP'!K80</f>
        <v>411453110.88446397</v>
      </c>
      <c r="AC66" s="176">
        <f>AA66+AB66</f>
        <v>600866482.65699291</v>
      </c>
      <c r="AD66" s="176">
        <f t="shared" si="64"/>
        <v>628173813.10624385</v>
      </c>
      <c r="AE66" s="18">
        <f t="shared" si="59"/>
        <v>-27307330.449250937</v>
      </c>
      <c r="AF66" s="19"/>
    </row>
    <row r="67" spans="1:32" x14ac:dyDescent="0.35">
      <c r="A67" s="174" t="s">
        <v>27</v>
      </c>
      <c r="B67" s="16">
        <f t="shared" si="53"/>
        <v>0</v>
      </c>
      <c r="C67" s="16">
        <f t="shared" si="53"/>
        <v>16720107.830441887</v>
      </c>
      <c r="D67" s="16">
        <f t="shared" si="53"/>
        <v>47472825.262757719</v>
      </c>
      <c r="E67" s="16">
        <f t="shared" si="53"/>
        <v>778243.27993067517</v>
      </c>
      <c r="F67" s="16">
        <f t="shared" si="53"/>
        <v>5383054.7364611737</v>
      </c>
      <c r="G67" s="16">
        <f t="shared" si="53"/>
        <v>0</v>
      </c>
      <c r="H67" s="17">
        <v>4338008.6485485407</v>
      </c>
      <c r="I67" s="17">
        <v>15893275.783732867</v>
      </c>
      <c r="J67" s="16">
        <f t="shared" si="54"/>
        <v>17955138.019693192</v>
      </c>
      <c r="K67" s="16">
        <f t="shared" si="54"/>
        <v>25690995.901192825</v>
      </c>
      <c r="L67" s="16">
        <f t="shared" si="54"/>
        <v>5324486.149536307</v>
      </c>
      <c r="M67" s="17">
        <f t="shared" si="55"/>
        <v>11935336.689052543</v>
      </c>
      <c r="N67" s="17"/>
      <c r="O67" s="17">
        <f t="shared" si="56"/>
        <v>35269079.680061489</v>
      </c>
      <c r="P67" s="17">
        <f t="shared" si="60"/>
        <v>186760551.98140922</v>
      </c>
      <c r="Q67" s="175">
        <f t="shared" ref="Q67:Y67" si="72">$B$56*Q13</f>
        <v>89522581.07837145</v>
      </c>
      <c r="R67" s="175">
        <f t="shared" si="72"/>
        <v>67680460.516403124</v>
      </c>
      <c r="S67" s="175">
        <f t="shared" si="72"/>
        <v>49284642.257838383</v>
      </c>
      <c r="T67" s="175">
        <f t="shared" si="72"/>
        <v>43016062.112780012</v>
      </c>
      <c r="U67" s="175">
        <f t="shared" si="72"/>
        <v>19885666.894711707</v>
      </c>
      <c r="V67" s="175">
        <f t="shared" si="72"/>
        <v>72112442.524099976</v>
      </c>
      <c r="W67" s="175">
        <f t="shared" si="72"/>
        <v>62593359.180420138</v>
      </c>
      <c r="X67" s="175">
        <f t="shared" si="72"/>
        <v>55364369.084623605</v>
      </c>
      <c r="Y67" s="175">
        <f t="shared" si="72"/>
        <v>5669629.3851591991</v>
      </c>
      <c r="Z67" s="196">
        <f t="shared" si="62"/>
        <v>465129213.03440756</v>
      </c>
      <c r="AA67" s="176">
        <f t="shared" si="63"/>
        <v>-27307330.449250937</v>
      </c>
      <c r="AB67" s="176">
        <f>'Collections and ACP'!K81</f>
        <v>411918354.75480801</v>
      </c>
      <c r="AC67" s="176">
        <f t="shared" si="58"/>
        <v>384611024.30555707</v>
      </c>
      <c r="AD67" s="176">
        <f t="shared" si="64"/>
        <v>651889765.01581681</v>
      </c>
      <c r="AE67" s="18">
        <f t="shared" si="59"/>
        <v>-267278740.71025974</v>
      </c>
      <c r="AF67" s="19"/>
    </row>
    <row r="68" spans="1:32" x14ac:dyDescent="0.35">
      <c r="A68" s="174" t="s">
        <v>28</v>
      </c>
      <c r="B68" s="16">
        <f t="shared" ref="B68:G77" si="73">B14*$B$56</f>
        <v>0</v>
      </c>
      <c r="C68" s="16">
        <f t="shared" si="73"/>
        <v>1455438.5304331933</v>
      </c>
      <c r="D68" s="16">
        <f t="shared" si="73"/>
        <v>47406795.902543895</v>
      </c>
      <c r="E68" s="16">
        <f t="shared" si="73"/>
        <v>777454.66330902907</v>
      </c>
      <c r="F68" s="16">
        <f t="shared" si="73"/>
        <v>4774361.9140396453</v>
      </c>
      <c r="G68" s="16">
        <f t="shared" si="73"/>
        <v>0</v>
      </c>
      <c r="H68" s="17">
        <v>4303453.6786395097</v>
      </c>
      <c r="I68" s="17">
        <v>15893275.783732867</v>
      </c>
      <c r="J68" s="16">
        <f t="shared" si="54"/>
        <v>16562918.690605946</v>
      </c>
      <c r="K68" s="16">
        <f t="shared" si="54"/>
        <v>24924913.947779678</v>
      </c>
      <c r="L68" s="16">
        <f t="shared" si="54"/>
        <v>5255269.9485051492</v>
      </c>
      <c r="M68" s="17">
        <f t="shared" si="55"/>
        <v>12007983.800800409</v>
      </c>
      <c r="N68" s="17">
        <v>10000000</v>
      </c>
      <c r="O68" s="17">
        <f t="shared" si="56"/>
        <v>35269079.680061489</v>
      </c>
      <c r="P68" s="17">
        <f t="shared" si="60"/>
        <v>178630946.54045084</v>
      </c>
      <c r="Q68" s="175">
        <f t="shared" ref="Q68:Y68" si="74">$B$56*Q14</f>
        <v>85941677.835236579</v>
      </c>
      <c r="R68" s="175">
        <f t="shared" si="74"/>
        <v>66626710.457238808</v>
      </c>
      <c r="S68" s="175">
        <f t="shared" si="74"/>
        <v>56763713.168592982</v>
      </c>
      <c r="T68" s="175">
        <f t="shared" si="74"/>
        <v>47342833.77806329</v>
      </c>
      <c r="U68" s="175">
        <f t="shared" si="74"/>
        <v>19932547.941703357</v>
      </c>
      <c r="V68" s="175">
        <f t="shared" si="74"/>
        <v>74029678.285820901</v>
      </c>
      <c r="W68" s="175">
        <f t="shared" si="74"/>
        <v>49327302.251904368</v>
      </c>
      <c r="X68" s="175">
        <f t="shared" si="74"/>
        <v>62665791.802157305</v>
      </c>
      <c r="Y68" s="175">
        <f t="shared" si="74"/>
        <v>8047048.3896514922</v>
      </c>
      <c r="Z68" s="196">
        <f t="shared" si="62"/>
        <v>470677303.9103691</v>
      </c>
      <c r="AA68" s="176">
        <f t="shared" si="63"/>
        <v>-267278740.71025974</v>
      </c>
      <c r="AB68" s="176">
        <f>'Collections and ACP'!K82</f>
        <v>415348992.70139438</v>
      </c>
      <c r="AC68" s="176">
        <f t="shared" si="58"/>
        <v>148070251.99113464</v>
      </c>
      <c r="AD68" s="176">
        <f t="shared" si="64"/>
        <v>649308250.45081997</v>
      </c>
      <c r="AE68" s="18">
        <f t="shared" si="59"/>
        <v>-501237998.45968533</v>
      </c>
      <c r="AF68" s="19"/>
    </row>
    <row r="69" spans="1:32" x14ac:dyDescent="0.35">
      <c r="A69" s="174" t="s">
        <v>29</v>
      </c>
      <c r="B69" s="16">
        <f t="shared" si="73"/>
        <v>0</v>
      </c>
      <c r="C69" s="16">
        <f t="shared" si="73"/>
        <v>0</v>
      </c>
      <c r="D69" s="16">
        <f t="shared" si="73"/>
        <v>47341104.420113407</v>
      </c>
      <c r="E69" s="16">
        <f t="shared" si="73"/>
        <v>776809.23915088386</v>
      </c>
      <c r="F69" s="16">
        <f t="shared" si="73"/>
        <v>0</v>
      </c>
      <c r="G69" s="16">
        <f t="shared" si="73"/>
        <v>0</v>
      </c>
      <c r="H69" s="17">
        <v>4261079.6921323007</v>
      </c>
      <c r="I69" s="17">
        <v>15893275.783732867</v>
      </c>
      <c r="J69" s="16">
        <f t="shared" si="54"/>
        <v>13631124.058447558</v>
      </c>
      <c r="K69" s="16">
        <f t="shared" si="54"/>
        <v>23464261.107306413</v>
      </c>
      <c r="L69" s="16">
        <f t="shared" si="54"/>
        <v>5139746.3059337428</v>
      </c>
      <c r="M69" s="17">
        <f t="shared" si="55"/>
        <v>12076451.190587828</v>
      </c>
      <c r="N69" s="17"/>
      <c r="O69" s="17">
        <f t="shared" si="56"/>
        <v>35269079.680061489</v>
      </c>
      <c r="P69" s="17">
        <f t="shared" si="60"/>
        <v>157852931.47746646</v>
      </c>
      <c r="Q69" s="175">
        <f t="shared" ref="Q69:Y69" si="75">$B$56*Q15</f>
        <v>82504010.72182712</v>
      </c>
      <c r="R69" s="175">
        <f t="shared" si="75"/>
        <v>63961642.038949251</v>
      </c>
      <c r="S69" s="175">
        <f t="shared" si="75"/>
        <v>63896368.959912054</v>
      </c>
      <c r="T69" s="175">
        <f t="shared" si="75"/>
        <v>51466297.505986243</v>
      </c>
      <c r="U69" s="175">
        <f t="shared" si="75"/>
        <v>22773223.968490973</v>
      </c>
      <c r="V69" s="175">
        <f t="shared" si="75"/>
        <v>71068491.154388055</v>
      </c>
      <c r="W69" s="175">
        <f t="shared" si="75"/>
        <v>53086277.854506239</v>
      </c>
      <c r="X69" s="175">
        <f t="shared" si="75"/>
        <v>70794663.848646745</v>
      </c>
      <c r="Y69" s="175">
        <f t="shared" si="75"/>
        <v>10616572.247133967</v>
      </c>
      <c r="Z69" s="196">
        <f t="shared" si="62"/>
        <v>490167548.29984069</v>
      </c>
      <c r="AA69" s="176">
        <f t="shared" si="63"/>
        <v>-501237998.45968533</v>
      </c>
      <c r="AB69" s="176">
        <f>'Collections and ACP'!K83</f>
        <v>418582949.03196639</v>
      </c>
      <c r="AC69" s="176">
        <f t="shared" si="58"/>
        <v>-82655049.427718937</v>
      </c>
      <c r="AD69" s="176">
        <f t="shared" si="64"/>
        <v>648020479.77730715</v>
      </c>
      <c r="AE69" s="18">
        <f t="shared" si="59"/>
        <v>-730675529.20502615</v>
      </c>
      <c r="AF69" s="19"/>
    </row>
    <row r="70" spans="1:32" x14ac:dyDescent="0.35">
      <c r="A70" s="174" t="s">
        <v>30</v>
      </c>
      <c r="B70" s="16">
        <f t="shared" si="73"/>
        <v>0</v>
      </c>
      <c r="C70" s="16">
        <f t="shared" si="73"/>
        <v>0</v>
      </c>
      <c r="D70" s="16">
        <f t="shared" si="73"/>
        <v>47275623.846779406</v>
      </c>
      <c r="E70" s="16">
        <f t="shared" si="73"/>
        <v>776072.11538557056</v>
      </c>
      <c r="F70" s="16">
        <f t="shared" si="73"/>
        <v>0</v>
      </c>
      <c r="G70" s="16">
        <f t="shared" si="73"/>
        <v>0</v>
      </c>
      <c r="H70" s="17">
        <v>4261079.6921323007</v>
      </c>
      <c r="I70" s="17">
        <v>15893275.783732867</v>
      </c>
      <c r="J70" s="16">
        <f t="shared" si="54"/>
        <v>8738701.2753398065</v>
      </c>
      <c r="K70" s="16">
        <f t="shared" si="54"/>
        <v>21128594.422620423</v>
      </c>
      <c r="L70" s="16">
        <f t="shared" si="54"/>
        <v>4965861.0996225737</v>
      </c>
      <c r="M70" s="17">
        <f t="shared" si="55"/>
        <v>12156830.373009583</v>
      </c>
      <c r="N70" s="17"/>
      <c r="O70" s="17">
        <f t="shared" si="56"/>
        <v>35269079.680061489</v>
      </c>
      <c r="P70" s="17">
        <f t="shared" si="60"/>
        <v>150465118.28868401</v>
      </c>
      <c r="Q70" s="175">
        <f t="shared" ref="Q70:Y70" si="76">$B$56*Q16</f>
        <v>79203850.292954043</v>
      </c>
      <c r="R70" s="175">
        <f t="shared" si="76"/>
        <v>61403176.357391283</v>
      </c>
      <c r="S70" s="175">
        <f t="shared" si="76"/>
        <v>70696702.49798806</v>
      </c>
      <c r="T70" s="175">
        <f t="shared" si="76"/>
        <v>55394736.799397066</v>
      </c>
      <c r="U70" s="175">
        <f t="shared" si="76"/>
        <v>21862295.009751335</v>
      </c>
      <c r="V70" s="175">
        <f t="shared" si="76"/>
        <v>68225751.508212537</v>
      </c>
      <c r="W70" s="175">
        <f t="shared" si="76"/>
        <v>49930857.356950767</v>
      </c>
      <c r="X70" s="175">
        <f t="shared" si="76"/>
        <v>76141085.246462435</v>
      </c>
      <c r="Y70" s="175">
        <f t="shared" si="76"/>
        <v>13011684.905142087</v>
      </c>
      <c r="Z70" s="196">
        <f t="shared" si="62"/>
        <v>495870139.9742496</v>
      </c>
      <c r="AA70" s="176">
        <f t="shared" si="63"/>
        <v>-730675529.20502615</v>
      </c>
      <c r="AB70" s="176">
        <f>'Collections and ACP'!K84</f>
        <v>422379359.92819607</v>
      </c>
      <c r="AC70" s="176">
        <f t="shared" si="58"/>
        <v>-308296169.27683008</v>
      </c>
      <c r="AD70" s="176">
        <f>P70+Z70</f>
        <v>646335258.26293361</v>
      </c>
      <c r="AE70" s="18">
        <f t="shared" si="59"/>
        <v>-954631427.53976369</v>
      </c>
      <c r="AF70" s="19"/>
    </row>
    <row r="71" spans="1:32" x14ac:dyDescent="0.35">
      <c r="A71" s="174" t="s">
        <v>31</v>
      </c>
      <c r="B71" s="16">
        <f t="shared" si="73"/>
        <v>0</v>
      </c>
      <c r="C71" s="16">
        <f t="shared" si="73"/>
        <v>0</v>
      </c>
      <c r="D71" s="16">
        <f t="shared" si="73"/>
        <v>47210397.210819103</v>
      </c>
      <c r="E71" s="16">
        <f t="shared" si="73"/>
        <v>775329.34856750851</v>
      </c>
      <c r="F71" s="16">
        <f t="shared" si="73"/>
        <v>0</v>
      </c>
      <c r="G71" s="16">
        <f t="shared" si="73"/>
        <v>0</v>
      </c>
      <c r="H71" s="17">
        <v>4261079.6921323007</v>
      </c>
      <c r="I71" s="17">
        <v>14729978.877595581</v>
      </c>
      <c r="J71" s="16">
        <f t="shared" si="54"/>
        <v>4359082.1945208693</v>
      </c>
      <c r="K71" s="16">
        <f t="shared" si="54"/>
        <v>19047053.078642357</v>
      </c>
      <c r="L71" s="16">
        <f t="shared" si="54"/>
        <v>4809040.8890989153</v>
      </c>
      <c r="M71" s="17">
        <f t="shared" si="55"/>
        <v>12195621.735584125</v>
      </c>
      <c r="N71" s="17"/>
      <c r="O71" s="17">
        <f t="shared" si="56"/>
        <v>35269079.680061489</v>
      </c>
      <c r="P71" s="17">
        <f t="shared" si="60"/>
        <v>142656662.70702225</v>
      </c>
      <c r="Q71" s="175">
        <f t="shared" ref="Q71:Y71" si="77">$B$56*Q17</f>
        <v>38017848.140617937</v>
      </c>
      <c r="R71" s="175">
        <f t="shared" si="77"/>
        <v>55044767.746047258</v>
      </c>
      <c r="S71" s="175">
        <f t="shared" si="77"/>
        <v>77178241.753058657</v>
      </c>
      <c r="T71" s="175">
        <f t="shared" si="77"/>
        <v>57126933.090251639</v>
      </c>
      <c r="U71" s="175">
        <f t="shared" si="77"/>
        <v>20987803.209361281</v>
      </c>
      <c r="V71" s="175">
        <f t="shared" si="77"/>
        <v>61160853.051163636</v>
      </c>
      <c r="W71" s="175">
        <f t="shared" si="77"/>
        <v>31209647.411927879</v>
      </c>
      <c r="X71" s="175">
        <f t="shared" si="77"/>
        <v>75076223.792321876</v>
      </c>
      <c r="Y71" s="175">
        <f t="shared" si="77"/>
        <v>14072849.04124519</v>
      </c>
      <c r="Z71" s="196">
        <f t="shared" si="62"/>
        <v>429875167.23599529</v>
      </c>
      <c r="AA71" s="176">
        <f t="shared" si="63"/>
        <v>-954631427.53976369</v>
      </c>
      <c r="AB71" s="176">
        <f>'Collections and ACP'!K85</f>
        <v>424212020.72689438</v>
      </c>
      <c r="AC71" s="176">
        <f t="shared" si="58"/>
        <v>-530419406.81286931</v>
      </c>
      <c r="AD71" s="176">
        <f t="shared" si="64"/>
        <v>572531829.94301748</v>
      </c>
      <c r="AE71" s="18">
        <f t="shared" si="59"/>
        <v>-1102951236.7558868</v>
      </c>
      <c r="AF71" s="19"/>
    </row>
    <row r="72" spans="1:32" x14ac:dyDescent="0.35">
      <c r="A72" s="174" t="s">
        <v>32</v>
      </c>
      <c r="B72" s="16">
        <f t="shared" si="73"/>
        <v>0</v>
      </c>
      <c r="C72" s="16">
        <f t="shared" si="73"/>
        <v>0</v>
      </c>
      <c r="D72" s="16">
        <f t="shared" si="73"/>
        <v>47145677.744224593</v>
      </c>
      <c r="E72" s="16">
        <f t="shared" si="73"/>
        <v>774638.07460577926</v>
      </c>
      <c r="F72" s="16">
        <f t="shared" si="73"/>
        <v>0</v>
      </c>
      <c r="G72" s="16">
        <f t="shared" si="73"/>
        <v>0</v>
      </c>
      <c r="H72" s="17">
        <v>4261079.6921323007</v>
      </c>
      <c r="I72" s="17">
        <v>14729978.877595581</v>
      </c>
      <c r="J72" s="16">
        <f t="shared" si="54"/>
        <v>-1556255.0287928907</v>
      </c>
      <c r="K72" s="16">
        <f t="shared" si="54"/>
        <v>16296412.297831494</v>
      </c>
      <c r="L72" s="16">
        <f t="shared" si="54"/>
        <v>4607613.3950678548</v>
      </c>
      <c r="M72" s="17">
        <f t="shared" si="55"/>
        <v>12258610.726656701</v>
      </c>
      <c r="N72" s="17"/>
      <c r="O72" s="17">
        <f t="shared" si="56"/>
        <v>35269079.680061489</v>
      </c>
      <c r="P72" s="17">
        <f t="shared" si="60"/>
        <v>133786835.45938291</v>
      </c>
      <c r="Q72" s="175">
        <f t="shared" ref="Q72:Y72" si="78">$B$56*Q18</f>
        <v>36497134.214993216</v>
      </c>
      <c r="R72" s="175">
        <f t="shared" si="78"/>
        <v>49157488.898993038</v>
      </c>
      <c r="S72" s="175">
        <f t="shared" si="78"/>
        <v>80073161.472722411</v>
      </c>
      <c r="T72" s="175">
        <f t="shared" si="78"/>
        <v>58770101.600657895</v>
      </c>
      <c r="U72" s="175">
        <f t="shared" si="78"/>
        <v>18814478.691377569</v>
      </c>
      <c r="V72" s="175">
        <f t="shared" si="78"/>
        <v>54619432.109992258</v>
      </c>
      <c r="W72" s="175">
        <f t="shared" si="78"/>
        <v>16366517.397010589</v>
      </c>
      <c r="X72" s="175">
        <f t="shared" si="78"/>
        <v>73590829.976289377</v>
      </c>
      <c r="Y72" s="175">
        <f t="shared" si="78"/>
        <v>15089695.484236658</v>
      </c>
      <c r="Z72" s="196">
        <f t="shared" si="62"/>
        <v>402978839.84627301</v>
      </c>
      <c r="AA72" s="176">
        <f t="shared" si="63"/>
        <v>-1102951236.7558868</v>
      </c>
      <c r="AB72" s="176">
        <f>'Collections and ACP'!K86</f>
        <v>427187635.13579118</v>
      </c>
      <c r="AC72" s="176">
        <f t="shared" si="58"/>
        <v>-675763601.62009561</v>
      </c>
      <c r="AD72" s="176">
        <f t="shared" si="64"/>
        <v>536765675.3056559</v>
      </c>
      <c r="AE72" s="18">
        <f t="shared" si="59"/>
        <v>-1212529276.9257514</v>
      </c>
      <c r="AF72" s="19"/>
    </row>
    <row r="73" spans="1:32" x14ac:dyDescent="0.35">
      <c r="A73" s="174" t="s">
        <v>33</v>
      </c>
      <c r="B73" s="16">
        <f t="shared" si="73"/>
        <v>0</v>
      </c>
      <c r="C73" s="16">
        <f t="shared" si="73"/>
        <v>0</v>
      </c>
      <c r="D73" s="16">
        <f t="shared" si="73"/>
        <v>47081253.127136216</v>
      </c>
      <c r="E73" s="16">
        <f t="shared" si="73"/>
        <v>773900.24545887241</v>
      </c>
      <c r="F73" s="16">
        <f t="shared" si="73"/>
        <v>0</v>
      </c>
      <c r="G73" s="16">
        <f t="shared" si="73"/>
        <v>0</v>
      </c>
      <c r="H73" s="17">
        <v>4261079.6921323007</v>
      </c>
      <c r="I73" s="17">
        <v>12304968.635004908</v>
      </c>
      <c r="J73" s="16">
        <f t="shared" si="54"/>
        <v>-7417222.8489297004</v>
      </c>
      <c r="K73" s="16">
        <f t="shared" si="54"/>
        <v>13597086.238730764</v>
      </c>
      <c r="L73" s="16">
        <f t="shared" si="54"/>
        <v>4409702.164887107</v>
      </c>
      <c r="M73" s="17">
        <f t="shared" si="55"/>
        <v>12304825.240757391</v>
      </c>
      <c r="N73" s="17"/>
      <c r="O73" s="17">
        <f t="shared" si="56"/>
        <v>35269079.680061489</v>
      </c>
      <c r="P73" s="17">
        <f t="shared" si="60"/>
        <v>122584672.17523934</v>
      </c>
      <c r="Q73" s="175">
        <f t="shared" ref="Q73:Y73" si="79">$B$56*Q19</f>
        <v>35037248.846393488</v>
      </c>
      <c r="R73" s="175">
        <f t="shared" si="79"/>
        <v>43505701.205820985</v>
      </c>
      <c r="S73" s="175">
        <f t="shared" si="79"/>
        <v>82822374.156650707</v>
      </c>
      <c r="T73" s="175">
        <f t="shared" si="79"/>
        <v>60327902.141477816</v>
      </c>
      <c r="U73" s="175">
        <f t="shared" si="79"/>
        <v>16802187.842424832</v>
      </c>
      <c r="V73" s="175">
        <f t="shared" si="79"/>
        <v>48339668.006467752</v>
      </c>
      <c r="W73" s="175">
        <f t="shared" si="79"/>
        <v>-6555653.0516916662</v>
      </c>
      <c r="X73" s="175">
        <f t="shared" si="79"/>
        <v>68115769.745596141</v>
      </c>
      <c r="Y73" s="175">
        <f t="shared" si="79"/>
        <v>15864753.518655321</v>
      </c>
      <c r="Z73" s="196">
        <f t="shared" si="62"/>
        <v>364259952.41179538</v>
      </c>
      <c r="AA73" s="176">
        <f t="shared" si="63"/>
        <v>-1212529276.9257514</v>
      </c>
      <c r="AB73" s="176">
        <f>'Collections and ACP'!K87</f>
        <v>429370630.38209999</v>
      </c>
      <c r="AC73" s="176">
        <f t="shared" si="58"/>
        <v>-783158646.54365146</v>
      </c>
      <c r="AD73" s="176">
        <f t="shared" si="64"/>
        <v>486844624.5870347</v>
      </c>
      <c r="AE73" s="18">
        <f t="shared" si="59"/>
        <v>-1270003271.1306863</v>
      </c>
      <c r="AF73" s="19"/>
    </row>
    <row r="74" spans="1:32" x14ac:dyDescent="0.35">
      <c r="A74" s="174" t="s">
        <v>34</v>
      </c>
      <c r="B74" s="16">
        <f t="shared" si="73"/>
        <v>0</v>
      </c>
      <c r="C74" s="16">
        <f t="shared" si="73"/>
        <v>0</v>
      </c>
      <c r="D74" s="16">
        <f t="shared" si="73"/>
        <v>47016913.861220658</v>
      </c>
      <c r="E74" s="16">
        <f t="shared" si="73"/>
        <v>773208.97149714327</v>
      </c>
      <c r="F74" s="16">
        <f t="shared" si="73"/>
        <v>0</v>
      </c>
      <c r="G74" s="16">
        <f t="shared" si="73"/>
        <v>0</v>
      </c>
      <c r="H74" s="17">
        <v>4261079.6921323007</v>
      </c>
      <c r="I74" s="17">
        <v>4136282.6555589437</v>
      </c>
      <c r="J74" s="16">
        <f t="shared" si="54"/>
        <v>-13139497.26536699</v>
      </c>
      <c r="K74" s="16">
        <f t="shared" si="54"/>
        <v>10985984.707517309</v>
      </c>
      <c r="L74" s="16">
        <f t="shared" si="54"/>
        <v>4217772.348219078</v>
      </c>
      <c r="M74" s="17">
        <f t="shared" si="55"/>
        <v>12359815.959409403</v>
      </c>
      <c r="N74" s="17"/>
      <c r="O74" s="17">
        <f t="shared" si="56"/>
        <v>35269079.680061489</v>
      </c>
      <c r="P74" s="17">
        <f t="shared" si="60"/>
        <v>105880640.61024934</v>
      </c>
      <c r="Q74" s="175">
        <f t="shared" ref="Q74:Y74" si="80">$B$56*Q20</f>
        <v>33635758.89253775</v>
      </c>
      <c r="R74" s="175">
        <f t="shared" si="80"/>
        <v>38079985.020375796</v>
      </c>
      <c r="S74" s="175">
        <f t="shared" si="80"/>
        <v>85431857.637507662</v>
      </c>
      <c r="T74" s="175">
        <f t="shared" si="80"/>
        <v>61803847.637640677</v>
      </c>
      <c r="U74" s="175">
        <f t="shared" si="80"/>
        <v>14870388.627430204</v>
      </c>
      <c r="V74" s="175">
        <f t="shared" si="80"/>
        <v>42311094.467084222</v>
      </c>
      <c r="W74" s="175">
        <f t="shared" si="80"/>
        <v>-30565478.773061939</v>
      </c>
      <c r="X74" s="175">
        <f t="shared" si="80"/>
        <v>61204733.521749109</v>
      </c>
      <c r="Y74" s="175">
        <f t="shared" si="80"/>
        <v>16536733.967053292</v>
      </c>
      <c r="Z74" s="196">
        <f t="shared" si="62"/>
        <v>323308920.99831676</v>
      </c>
      <c r="AA74" s="176">
        <f t="shared" si="63"/>
        <v>-1270003271.1306863</v>
      </c>
      <c r="AB74" s="176">
        <f>'Collections and ACP'!K88</f>
        <v>431968420.40625679</v>
      </c>
      <c r="AC74" s="176">
        <f t="shared" si="58"/>
        <v>-838034850.72442949</v>
      </c>
      <c r="AD74" s="176">
        <f t="shared" si="64"/>
        <v>429189561.60856611</v>
      </c>
      <c r="AE74" s="18">
        <f t="shared" si="59"/>
        <v>-1267224412.3329957</v>
      </c>
      <c r="AF74" s="19"/>
    </row>
    <row r="75" spans="1:32" x14ac:dyDescent="0.35">
      <c r="A75" s="174" t="s">
        <v>35</v>
      </c>
      <c r="B75" s="16">
        <f t="shared" si="73"/>
        <v>0</v>
      </c>
      <c r="C75" s="16">
        <f t="shared" si="73"/>
        <v>0</v>
      </c>
      <c r="D75" s="16">
        <f t="shared" si="73"/>
        <v>46953376.614177026</v>
      </c>
      <c r="E75" s="16">
        <f t="shared" si="73"/>
        <v>772517.69753541402</v>
      </c>
      <c r="F75" s="16">
        <f t="shared" si="73"/>
        <v>0</v>
      </c>
      <c r="G75" s="16">
        <f t="shared" si="73"/>
        <v>0</v>
      </c>
      <c r="H75" s="17">
        <v>4261079.6921323007</v>
      </c>
      <c r="I75" s="17"/>
      <c r="J75" s="16">
        <f t="shared" si="54"/>
        <v>-18860947.524248894</v>
      </c>
      <c r="K75" s="16">
        <f t="shared" si="54"/>
        <v>8401018.7084825486</v>
      </c>
      <c r="L75" s="16">
        <f t="shared" si="54"/>
        <v>4027675.9321891675</v>
      </c>
      <c r="M75" s="17">
        <f t="shared" si="55"/>
        <v>12386288.295960709</v>
      </c>
      <c r="N75" s="17"/>
      <c r="O75" s="17">
        <f t="shared" si="56"/>
        <v>35269079.680061489</v>
      </c>
      <c r="P75" s="17">
        <f t="shared" si="60"/>
        <v>93210089.096289754</v>
      </c>
      <c r="Q75" s="175">
        <f t="shared" ref="Q75:Y75" si="81">$B$56*Q21</f>
        <v>32290328.536836237</v>
      </c>
      <c r="R75" s="175">
        <f t="shared" si="81"/>
        <v>32871297.482348427</v>
      </c>
      <c r="S75" s="175">
        <f t="shared" si="81"/>
        <v>87907349.886894733</v>
      </c>
      <c r="T75" s="175">
        <f t="shared" si="81"/>
        <v>63201310.006047919</v>
      </c>
      <c r="U75" s="175">
        <f t="shared" si="81"/>
        <v>13015861.381035358</v>
      </c>
      <c r="V75" s="175">
        <f t="shared" si="81"/>
        <v>36523663.869276032</v>
      </c>
      <c r="W75" s="175">
        <f t="shared" si="81"/>
        <v>-56552781.270352416</v>
      </c>
      <c r="X75" s="175">
        <f t="shared" si="81"/>
        <v>53067052.336483039</v>
      </c>
      <c r="Y75" s="175">
        <f t="shared" si="81"/>
        <v>17118000.728627697</v>
      </c>
      <c r="Z75" s="196">
        <f t="shared" si="62"/>
        <v>279442082.95719701</v>
      </c>
      <c r="AA75" s="176">
        <f t="shared" si="63"/>
        <v>-1267224412.3329957</v>
      </c>
      <c r="AB75" s="176">
        <f>'Collections and ACP'!K89</f>
        <v>433218617.73495358</v>
      </c>
      <c r="AC75" s="176">
        <f t="shared" si="58"/>
        <v>-834005794.59804201</v>
      </c>
      <c r="AD75" s="176">
        <f t="shared" si="64"/>
        <v>372652172.05348676</v>
      </c>
      <c r="AE75" s="18">
        <f t="shared" si="59"/>
        <v>-1206657966.6515288</v>
      </c>
      <c r="AF75" s="19"/>
    </row>
    <row r="76" spans="1:32" x14ac:dyDescent="0.35">
      <c r="A76" s="174" t="s">
        <v>36</v>
      </c>
      <c r="B76" s="16">
        <f t="shared" si="73"/>
        <v>0</v>
      </c>
      <c r="C76" s="16">
        <f t="shared" si="73"/>
        <v>0</v>
      </c>
      <c r="D76" s="16">
        <f t="shared" si="73"/>
        <v>46889840.072514988</v>
      </c>
      <c r="E76" s="16">
        <f t="shared" si="73"/>
        <v>771872.97875886247</v>
      </c>
      <c r="F76" s="16">
        <f t="shared" si="73"/>
        <v>0</v>
      </c>
      <c r="G76" s="16">
        <f t="shared" si="73"/>
        <v>0</v>
      </c>
      <c r="H76" s="17">
        <v>4261079.6921323007</v>
      </c>
      <c r="I76" s="17"/>
      <c r="J76" s="16">
        <f t="shared" si="54"/>
        <v>-24373159.1655499</v>
      </c>
      <c r="K76" s="16">
        <f t="shared" si="54"/>
        <v>5933690.8018676601</v>
      </c>
      <c r="L76" s="16">
        <f t="shared" si="54"/>
        <v>3845524.8915357487</v>
      </c>
      <c r="M76" s="17">
        <f t="shared" si="55"/>
        <v>12444872.21556136</v>
      </c>
      <c r="N76" s="17"/>
      <c r="O76" s="17">
        <f t="shared" si="56"/>
        <v>35269079.680061489</v>
      </c>
      <c r="P76" s="17">
        <f t="shared" si="60"/>
        <v>85042801.166882515</v>
      </c>
      <c r="Q76" s="175">
        <f t="shared" ref="Q76:Y76" si="82">$B$56*Q22</f>
        <v>30998715.395362787</v>
      </c>
      <c r="R76" s="175">
        <f t="shared" si="82"/>
        <v>27870957.445842154</v>
      </c>
      <c r="S76" s="175">
        <f t="shared" si="82"/>
        <v>90254358.613531888</v>
      </c>
      <c r="T76" s="175">
        <f t="shared" si="82"/>
        <v>64523525.798349351</v>
      </c>
      <c r="U76" s="175">
        <f t="shared" si="82"/>
        <v>11235515.224496311</v>
      </c>
      <c r="V76" s="175">
        <f t="shared" si="82"/>
        <v>30967730.495380182</v>
      </c>
      <c r="W76" s="175">
        <f t="shared" si="82"/>
        <v>-84632456.83957836</v>
      </c>
      <c r="X76" s="175">
        <f t="shared" si="82"/>
        <v>43459907.094195701</v>
      </c>
      <c r="Y76" s="175">
        <f t="shared" si="82"/>
        <v>17595111.29912867</v>
      </c>
      <c r="Z76" s="196">
        <f t="shared" si="62"/>
        <v>232273364.52670869</v>
      </c>
      <c r="AA76" s="176">
        <f t="shared" si="63"/>
        <v>-1206657966.6515288</v>
      </c>
      <c r="AB76" s="176">
        <f>'Collections and ACP'!K90</f>
        <v>435986334.71697921</v>
      </c>
      <c r="AC76" s="176">
        <f t="shared" si="58"/>
        <v>-770671631.93454957</v>
      </c>
      <c r="AD76" s="176">
        <f t="shared" si="64"/>
        <v>317316165.69359124</v>
      </c>
      <c r="AE76" s="18">
        <f t="shared" si="59"/>
        <v>-1087987797.6281409</v>
      </c>
      <c r="AF76" s="19"/>
    </row>
    <row r="77" spans="1:32" x14ac:dyDescent="0.35">
      <c r="A77" s="174" t="s">
        <v>37</v>
      </c>
      <c r="B77" s="16">
        <f t="shared" si="73"/>
        <v>0</v>
      </c>
      <c r="C77" s="16">
        <f t="shared" si="73"/>
        <v>0</v>
      </c>
      <c r="D77" s="16">
        <f t="shared" si="73"/>
        <v>45773855.85327848</v>
      </c>
      <c r="E77" s="16">
        <f t="shared" si="73"/>
        <v>771135.14961195563</v>
      </c>
      <c r="F77" s="16">
        <f t="shared" si="73"/>
        <v>0</v>
      </c>
      <c r="G77" s="16">
        <f t="shared" si="73"/>
        <v>0</v>
      </c>
      <c r="H77" s="17">
        <v>4261079.6921323007</v>
      </c>
      <c r="I77" s="17"/>
      <c r="J77" s="16">
        <f t="shared" si="54"/>
        <v>-29660853.481324393</v>
      </c>
      <c r="K77" s="16">
        <f t="shared" si="54"/>
        <v>3589117.7950776131</v>
      </c>
      <c r="L77" s="16">
        <f t="shared" si="54"/>
        <v>3671660.5958200791</v>
      </c>
      <c r="M77" s="17">
        <f t="shared" si="55"/>
        <v>12492476.413627123</v>
      </c>
      <c r="N77" s="17"/>
      <c r="O77" s="17">
        <f t="shared" si="56"/>
        <v>35269079.680061489</v>
      </c>
      <c r="P77" s="17">
        <f t="shared" si="60"/>
        <v>76167551.698284656</v>
      </c>
      <c r="Q77" s="175">
        <f t="shared" ref="Q77:Y77" si="83">$B$56*Q23</f>
        <v>29758766.779548276</v>
      </c>
      <c r="R77" s="175">
        <f t="shared" si="83"/>
        <v>23070631.01079613</v>
      </c>
      <c r="S77" s="175">
        <f t="shared" si="83"/>
        <v>92478170.477492988</v>
      </c>
      <c r="T77" s="175">
        <f t="shared" si="83"/>
        <v>65773601.617995977</v>
      </c>
      <c r="U77" s="175">
        <f t="shared" si="83"/>
        <v>9526382.9142188262</v>
      </c>
      <c r="V77" s="175">
        <f t="shared" si="83"/>
        <v>25634034.456440147</v>
      </c>
      <c r="W77" s="175">
        <f t="shared" si="83"/>
        <v>-113830688.41053526</v>
      </c>
      <c r="X77" s="175">
        <f t="shared" si="83"/>
        <v>32884886.650021359</v>
      </c>
      <c r="Y77" s="175">
        <f t="shared" si="83"/>
        <v>17997521.509372227</v>
      </c>
      <c r="Z77" s="196">
        <f t="shared" si="62"/>
        <v>183293307.00535068</v>
      </c>
      <c r="AA77" s="176">
        <f t="shared" si="63"/>
        <v>-1087987797.6281409</v>
      </c>
      <c r="AB77" s="176">
        <f>'Collections and ACP'!K91</f>
        <v>438235256.99747199</v>
      </c>
      <c r="AC77" s="176">
        <f t="shared" si="58"/>
        <v>-649752540.63066888</v>
      </c>
      <c r="AD77" s="176">
        <f t="shared" si="64"/>
        <v>259460858.70363533</v>
      </c>
      <c r="AE77" s="18">
        <f t="shared" si="59"/>
        <v>-909213399.33430421</v>
      </c>
      <c r="AF77" s="19"/>
    </row>
    <row r="78" spans="1:32" x14ac:dyDescent="0.35">
      <c r="A78" s="174" t="s">
        <v>38</v>
      </c>
      <c r="B78" s="16">
        <f t="shared" ref="B78:G81" si="84">B24*$B$56</f>
        <v>0</v>
      </c>
      <c r="C78" s="16">
        <f t="shared" si="84"/>
        <v>0</v>
      </c>
      <c r="D78" s="16">
        <f t="shared" si="84"/>
        <v>45710952.744287498</v>
      </c>
      <c r="E78" s="16">
        <f t="shared" si="84"/>
        <v>770443.87565022637</v>
      </c>
      <c r="F78" s="16">
        <f t="shared" si="84"/>
        <v>0</v>
      </c>
      <c r="G78" s="16">
        <f t="shared" si="84"/>
        <v>0</v>
      </c>
      <c r="H78" s="17">
        <v>4261079.6921323007</v>
      </c>
      <c r="I78" s="17"/>
      <c r="J78" s="16">
        <f t="shared" si="54"/>
        <v>-35108593.039845236</v>
      </c>
      <c r="K78" s="16">
        <f t="shared" si="54"/>
        <v>1198126.1539849609</v>
      </c>
      <c r="L78" s="16">
        <f t="shared" si="54"/>
        <v>3494781.743127373</v>
      </c>
      <c r="M78" s="17">
        <f t="shared" si="55"/>
        <v>12549321.69718389</v>
      </c>
      <c r="N78" s="17"/>
      <c r="O78" s="17">
        <f t="shared" si="56"/>
        <v>35269079.680061489</v>
      </c>
      <c r="P78" s="17">
        <f t="shared" si="60"/>
        <v>68145192.546582505</v>
      </c>
      <c r="Q78" s="175">
        <f t="shared" ref="Q78:Y78" si="85">$B$56*Q24</f>
        <v>28568416.108366344</v>
      </c>
      <c r="R78" s="175">
        <f t="shared" si="85"/>
        <v>22147805.770364285</v>
      </c>
      <c r="S78" s="175">
        <f t="shared" si="85"/>
        <v>94583859.935853139</v>
      </c>
      <c r="T78" s="175">
        <f t="shared" si="85"/>
        <v>66954519.320598848</v>
      </c>
      <c r="U78" s="175">
        <f t="shared" si="85"/>
        <v>7885615.8963524383</v>
      </c>
      <c r="V78" s="175">
        <f t="shared" si="85"/>
        <v>24608673.078182541</v>
      </c>
      <c r="W78" s="175">
        <f t="shared" si="85"/>
        <v>-143958354.80862579</v>
      </c>
      <c r="X78" s="175">
        <f t="shared" si="85"/>
        <v>21469605.761284161</v>
      </c>
      <c r="Y78" s="175">
        <f t="shared" si="85"/>
        <v>18333539.954755373</v>
      </c>
      <c r="Z78" s="196">
        <f t="shared" si="62"/>
        <v>140593681.01713136</v>
      </c>
      <c r="AA78" s="176">
        <f t="shared" si="63"/>
        <v>-909213399.33430421</v>
      </c>
      <c r="AB78" s="176">
        <f>'Collections and ACP'!K92</f>
        <v>440920931.13038957</v>
      </c>
      <c r="AC78" s="176">
        <f t="shared" si="58"/>
        <v>-468292468.20391464</v>
      </c>
      <c r="AD78" s="176">
        <f t="shared" si="64"/>
        <v>208738873.56371385</v>
      </c>
      <c r="AE78" s="18">
        <f t="shared" si="59"/>
        <v>-677031341.76762843</v>
      </c>
      <c r="AF78" s="19"/>
    </row>
    <row r="79" spans="1:32" x14ac:dyDescent="0.35">
      <c r="A79" s="174" t="s">
        <v>39</v>
      </c>
      <c r="B79" s="16">
        <f t="shared" si="84"/>
        <v>0</v>
      </c>
      <c r="C79" s="16">
        <f t="shared" si="84"/>
        <v>0</v>
      </c>
      <c r="D79" s="16">
        <f t="shared" si="84"/>
        <v>39141829.189594381</v>
      </c>
      <c r="E79" s="16">
        <f t="shared" si="84"/>
        <v>769798.45149208128</v>
      </c>
      <c r="F79" s="16">
        <f t="shared" si="84"/>
        <v>0</v>
      </c>
      <c r="G79" s="16">
        <f t="shared" si="84"/>
        <v>0</v>
      </c>
      <c r="H79" s="17">
        <v>4261079.6921323007</v>
      </c>
      <c r="I79" s="20"/>
      <c r="J79" s="16">
        <f t="shared" si="54"/>
        <v>-40454482.569111332</v>
      </c>
      <c r="K79" s="16">
        <f t="shared" si="54"/>
        <v>-1124901.0562088864</v>
      </c>
      <c r="L79" s="16">
        <f t="shared" si="54"/>
        <v>3322528.7428095699</v>
      </c>
      <c r="M79" s="17">
        <f t="shared" si="55"/>
        <v>12588447.345144667</v>
      </c>
      <c r="N79" s="17"/>
      <c r="O79" s="17">
        <f t="shared" si="56"/>
        <v>35269079.680061489</v>
      </c>
      <c r="P79" s="17">
        <f t="shared" si="60"/>
        <v>53773379.47591427</v>
      </c>
      <c r="Q79" s="175">
        <f t="shared" ref="Q79:Y79" si="86">$B$56*Q25</f>
        <v>0</v>
      </c>
      <c r="R79" s="175">
        <f t="shared" si="86"/>
        <v>18446828.29003422</v>
      </c>
      <c r="S79" s="175">
        <f t="shared" si="86"/>
        <v>96576297.734491572</v>
      </c>
      <c r="T79" s="175">
        <f t="shared" si="86"/>
        <v>66619746.723995835</v>
      </c>
      <c r="U79" s="175">
        <f t="shared" si="86"/>
        <v>7570191.2604983402</v>
      </c>
      <c r="V79" s="175">
        <f t="shared" si="86"/>
        <v>20496475.877815802</v>
      </c>
      <c r="W79" s="175">
        <f t="shared" si="86"/>
        <v>-186474212.11639407</v>
      </c>
      <c r="X79" s="175">
        <f t="shared" si="86"/>
        <v>8307648.7423657905</v>
      </c>
      <c r="Y79" s="175">
        <f t="shared" si="86"/>
        <v>18550175.27591918</v>
      </c>
      <c r="Z79" s="196">
        <f t="shared" si="62"/>
        <v>50093151.788726687</v>
      </c>
      <c r="AA79" s="176">
        <f t="shared" si="63"/>
        <v>-677031341.76762843</v>
      </c>
      <c r="AB79" s="176">
        <f>'Collections and ACP'!K93</f>
        <v>442769305.46354878</v>
      </c>
      <c r="AC79" s="176">
        <f t="shared" si="58"/>
        <v>-234262036.30407965</v>
      </c>
      <c r="AD79" s="176">
        <f t="shared" si="64"/>
        <v>103866531.26464096</v>
      </c>
      <c r="AE79" s="18">
        <f t="shared" si="59"/>
        <v>-338128567.56872058</v>
      </c>
      <c r="AF79" s="19"/>
    </row>
    <row r="80" spans="1:32" x14ac:dyDescent="0.35">
      <c r="A80" s="174" t="s">
        <v>40</v>
      </c>
      <c r="B80" s="16">
        <f t="shared" si="84"/>
        <v>0</v>
      </c>
      <c r="C80" s="16">
        <f t="shared" si="84"/>
        <v>0</v>
      </c>
      <c r="D80" s="16">
        <f t="shared" si="84"/>
        <v>36542577.725293927</v>
      </c>
      <c r="E80" s="16">
        <f t="shared" si="84"/>
        <v>769061.32772676798</v>
      </c>
      <c r="F80" s="16">
        <f t="shared" si="84"/>
        <v>0</v>
      </c>
      <c r="G80" s="16">
        <f t="shared" si="84"/>
        <v>0</v>
      </c>
      <c r="H80" s="17">
        <v>4261079.6921323007</v>
      </c>
      <c r="I80" s="20"/>
      <c r="J80" s="16">
        <f t="shared" si="54"/>
        <v>-45991325.117372014</v>
      </c>
      <c r="K80" s="16">
        <f t="shared" si="54"/>
        <v>-19834073.289299686</v>
      </c>
      <c r="L80" s="16">
        <f t="shared" si="54"/>
        <v>-1324925.0675411613</v>
      </c>
      <c r="M80" s="17">
        <f t="shared" si="55"/>
        <v>12628300.273648368</v>
      </c>
      <c r="N80" s="17"/>
      <c r="O80" s="17">
        <f t="shared" si="56"/>
        <v>35269079.680061489</v>
      </c>
      <c r="P80" s="17">
        <f t="shared" si="60"/>
        <v>22319775.224649996</v>
      </c>
      <c r="Q80" s="175">
        <f t="shared" ref="Q80:Y80" si="87">$B$56*Q26</f>
        <v>0</v>
      </c>
      <c r="R80" s="175">
        <f t="shared" si="87"/>
        <v>15050282.422779331</v>
      </c>
      <c r="S80" s="175">
        <f t="shared" si="87"/>
        <v>96093416.245819092</v>
      </c>
      <c r="T80" s="175">
        <f t="shared" si="87"/>
        <v>66286647.990375847</v>
      </c>
      <c r="U80" s="175">
        <f t="shared" si="87"/>
        <v>6305185.2518947609</v>
      </c>
      <c r="V80" s="175">
        <f t="shared" si="87"/>
        <v>16722536.025310369</v>
      </c>
      <c r="W80" s="175">
        <f t="shared" si="87"/>
        <v>-211163507.91569099</v>
      </c>
      <c r="X80" s="175">
        <f t="shared" si="87"/>
        <v>-5936440.9651314421</v>
      </c>
      <c r="Y80" s="175">
        <f t="shared" si="87"/>
        <v>18686744.187793028</v>
      </c>
      <c r="Z80" s="196">
        <f t="shared" si="62"/>
        <v>2044863.2431500256</v>
      </c>
      <c r="AA80" s="176">
        <f t="shared" si="63"/>
        <v>-338128567.56872058</v>
      </c>
      <c r="AB80" s="176">
        <f>'Collections and ACP'!K94</f>
        <v>444652102.27955437</v>
      </c>
      <c r="AC80" s="176">
        <f t="shared" si="58"/>
        <v>106523534.71083379</v>
      </c>
      <c r="AD80" s="176">
        <f t="shared" si="64"/>
        <v>24364638.467800021</v>
      </c>
      <c r="AE80" s="18">
        <f t="shared" si="59"/>
        <v>82158896.243033767</v>
      </c>
      <c r="AF80" s="19"/>
    </row>
    <row r="81" spans="1:34" x14ac:dyDescent="0.35">
      <c r="A81" s="174" t="s">
        <v>165</v>
      </c>
      <c r="B81" s="16">
        <f t="shared" si="84"/>
        <v>0</v>
      </c>
      <c r="C81" s="16">
        <f t="shared" si="84"/>
        <v>0</v>
      </c>
      <c r="D81" s="16">
        <f t="shared" si="84"/>
        <v>26102272.724350493</v>
      </c>
      <c r="E81" s="16">
        <f t="shared" si="84"/>
        <v>728483.54617326369</v>
      </c>
      <c r="F81" s="16">
        <f t="shared" si="84"/>
        <v>0</v>
      </c>
      <c r="G81" s="16">
        <f t="shared" si="84"/>
        <v>0</v>
      </c>
      <c r="H81" s="17">
        <v>4261079.6921323007</v>
      </c>
      <c r="I81" s="20"/>
      <c r="J81" s="16">
        <f t="shared" si="54"/>
        <v>0</v>
      </c>
      <c r="K81" s="16">
        <f t="shared" si="54"/>
        <v>0</v>
      </c>
      <c r="L81" s="16">
        <f t="shared" si="54"/>
        <v>0</v>
      </c>
      <c r="M81" s="17">
        <f t="shared" si="55"/>
        <v>12628300.273648368</v>
      </c>
      <c r="N81" s="17"/>
      <c r="O81" s="17">
        <f t="shared" si="56"/>
        <v>35269079.680061489</v>
      </c>
      <c r="P81" s="17">
        <f t="shared" si="60"/>
        <v>78989215.916365921</v>
      </c>
      <c r="Q81" s="175">
        <f t="shared" ref="Q81:Y81" si="88">$B$56*Q27</f>
        <v>0</v>
      </c>
      <c r="R81" s="175">
        <f t="shared" si="88"/>
        <v>0</v>
      </c>
      <c r="S81" s="175">
        <f t="shared" si="88"/>
        <v>0</v>
      </c>
      <c r="T81" s="175">
        <f t="shared" si="88"/>
        <v>0</v>
      </c>
      <c r="U81" s="175">
        <f t="shared" si="88"/>
        <v>0</v>
      </c>
      <c r="V81" s="175">
        <f t="shared" si="88"/>
        <v>0</v>
      </c>
      <c r="W81" s="175">
        <f t="shared" si="88"/>
        <v>-248487928.74770606</v>
      </c>
      <c r="X81" s="175">
        <f t="shared" si="88"/>
        <v>-131160796.41216311</v>
      </c>
      <c r="Y81" s="175">
        <f t="shared" si="88"/>
        <v>-7872880.5398217812</v>
      </c>
      <c r="Z81" s="196">
        <f t="shared" si="62"/>
        <v>-387521605.699691</v>
      </c>
      <c r="AA81" s="176">
        <f t="shared" si="63"/>
        <v>82158896.243033767</v>
      </c>
      <c r="AB81" s="176">
        <f>AB80</f>
        <v>444652102.27955437</v>
      </c>
      <c r="AC81" s="176">
        <f t="shared" si="58"/>
        <v>526810998.52258813</v>
      </c>
      <c r="AD81" s="176">
        <f t="shared" si="64"/>
        <v>-308532389.78332508</v>
      </c>
      <c r="AE81" s="18">
        <f t="shared" si="59"/>
        <v>835343388.30591321</v>
      </c>
      <c r="AF81" s="45"/>
      <c r="AG81" s="75">
        <f>AE81-AF81</f>
        <v>835343388.30591321</v>
      </c>
      <c r="AH81" s="181">
        <v>2556726061.8057499</v>
      </c>
    </row>
    <row r="83" spans="1:34" x14ac:dyDescent="0.35">
      <c r="A83" s="177" t="s">
        <v>236</v>
      </c>
      <c r="B83" s="22">
        <v>5.0041044571267233E-3</v>
      </c>
    </row>
    <row r="84" spans="1:34" ht="58" x14ac:dyDescent="0.35">
      <c r="A84" s="173" t="s">
        <v>1</v>
      </c>
      <c r="B84" s="173" t="s">
        <v>208</v>
      </c>
      <c r="C84" s="173" t="s">
        <v>209</v>
      </c>
      <c r="D84" s="173" t="s">
        <v>237</v>
      </c>
      <c r="E84" s="173" t="s">
        <v>151</v>
      </c>
      <c r="F84" s="173" t="s">
        <v>238</v>
      </c>
      <c r="G84" s="173" t="s">
        <v>239</v>
      </c>
      <c r="H84" s="173" t="s">
        <v>240</v>
      </c>
      <c r="I84" s="15" t="s">
        <v>241</v>
      </c>
      <c r="J84" s="15" t="s">
        <v>242</v>
      </c>
      <c r="K84" s="15" t="s">
        <v>243</v>
      </c>
      <c r="L84" s="15" t="s">
        <v>244</v>
      </c>
      <c r="M84" s="173" t="s">
        <v>245</v>
      </c>
      <c r="N84" s="173" t="s">
        <v>246</v>
      </c>
      <c r="O84" s="173" t="s">
        <v>226</v>
      </c>
      <c r="P84" s="15" t="s">
        <v>224</v>
      </c>
      <c r="Q84" s="198" t="s">
        <v>208</v>
      </c>
      <c r="R84" s="198" t="s">
        <v>209</v>
      </c>
      <c r="S84" s="198" t="s">
        <v>146</v>
      </c>
      <c r="T84" s="198" t="s">
        <v>151</v>
      </c>
      <c r="U84" s="198" t="s">
        <v>155</v>
      </c>
      <c r="V84" s="198" t="s">
        <v>158</v>
      </c>
      <c r="W84" s="198" t="s">
        <v>87</v>
      </c>
      <c r="X84" s="198" t="s">
        <v>88</v>
      </c>
      <c r="Y84" s="198" t="s">
        <v>83</v>
      </c>
      <c r="Z84" s="198" t="s">
        <v>247</v>
      </c>
      <c r="AA84" s="15" t="s">
        <v>248</v>
      </c>
      <c r="AB84" s="15" t="s">
        <v>249</v>
      </c>
      <c r="AC84" s="15" t="s">
        <v>250</v>
      </c>
      <c r="AD84" s="173" t="s">
        <v>172</v>
      </c>
      <c r="AE84" s="173" t="s">
        <v>251</v>
      </c>
    </row>
    <row r="85" spans="1:34" x14ac:dyDescent="0.35">
      <c r="A85" s="174" t="s">
        <v>17</v>
      </c>
      <c r="B85" s="17">
        <f t="shared" ref="B85:G94" si="89">B4*$B$83</f>
        <v>690613.36359150463</v>
      </c>
      <c r="C85" s="17">
        <f t="shared" si="89"/>
        <v>243345.40130643302</v>
      </c>
      <c r="D85" s="17">
        <f t="shared" si="89"/>
        <v>150068.37379872735</v>
      </c>
      <c r="E85" s="17">
        <f t="shared" si="89"/>
        <v>0</v>
      </c>
      <c r="F85" s="17">
        <f t="shared" si="89"/>
        <v>0</v>
      </c>
      <c r="G85" s="17">
        <f t="shared" si="89"/>
        <v>0</v>
      </c>
      <c r="H85" s="17"/>
      <c r="I85" s="17">
        <v>9408.9599999999991</v>
      </c>
      <c r="J85" s="17">
        <f t="shared" ref="J85:L108" si="90">J4*$B$83</f>
        <v>0</v>
      </c>
      <c r="K85" s="17">
        <f t="shared" si="90"/>
        <v>0</v>
      </c>
      <c r="L85" s="17">
        <f t="shared" si="90"/>
        <v>0</v>
      </c>
      <c r="M85" s="17">
        <f t="shared" ref="M85:M108" si="91">$B$83*M4</f>
        <v>33813.134254762168</v>
      </c>
      <c r="N85" s="17"/>
      <c r="O85" s="17">
        <f t="shared" ref="O85:O108" si="92">$B$83*O4</f>
        <v>56355.223757936954</v>
      </c>
      <c r="P85" s="17">
        <f t="shared" ref="P85:P108" si="93">SUM(B85:O85)</f>
        <v>1183604.456709364</v>
      </c>
      <c r="Q85" s="175">
        <f t="shared" ref="Q85:Y85" si="94">$B$83*Q4</f>
        <v>0</v>
      </c>
      <c r="R85" s="175">
        <f t="shared" si="94"/>
        <v>0</v>
      </c>
      <c r="S85" s="175">
        <f t="shared" si="94"/>
        <v>0</v>
      </c>
      <c r="T85" s="175">
        <f t="shared" si="94"/>
        <v>0</v>
      </c>
      <c r="U85" s="175">
        <f t="shared" si="94"/>
        <v>0</v>
      </c>
      <c r="V85" s="175">
        <f t="shared" si="94"/>
        <v>0</v>
      </c>
      <c r="W85" s="175">
        <f t="shared" si="94"/>
        <v>0</v>
      </c>
      <c r="X85" s="175">
        <f t="shared" si="94"/>
        <v>0</v>
      </c>
      <c r="Y85" s="175">
        <f t="shared" si="94"/>
        <v>0</v>
      </c>
      <c r="Z85" s="196">
        <f t="shared" ref="Z85:Z108" si="95">SUM(Q85:Y85)</f>
        <v>0</v>
      </c>
      <c r="AA85" s="176">
        <f>'Collections and ACP'!D149++'Collections and ACP'!D141</f>
        <v>1406204.2258068149</v>
      </c>
      <c r="AB85" s="176">
        <f>'Collections and ACP'!K105</f>
        <v>585306.97492689674</v>
      </c>
      <c r="AC85" s="176">
        <f t="shared" ref="AC85:AC105" si="96">AA85+AB85</f>
        <v>1991511.2007337115</v>
      </c>
      <c r="AD85" s="176">
        <f t="shared" ref="AD85:AD104" si="97">P85+Z85</f>
        <v>1183604.456709364</v>
      </c>
      <c r="AE85" s="18">
        <f t="shared" ref="AE85:AE104" si="98">AC85-AD85</f>
        <v>807906.74402434751</v>
      </c>
    </row>
    <row r="86" spans="1:34" x14ac:dyDescent="0.35">
      <c r="A86" s="174" t="s">
        <v>18</v>
      </c>
      <c r="B86" s="17">
        <f t="shared" si="89"/>
        <v>310505.66737329122</v>
      </c>
      <c r="C86" s="17">
        <f t="shared" si="89"/>
        <v>303777.59388553532</v>
      </c>
      <c r="D86" s="17">
        <f t="shared" si="89"/>
        <v>421307.1237350037</v>
      </c>
      <c r="E86" s="17">
        <f t="shared" si="89"/>
        <v>0</v>
      </c>
      <c r="F86" s="17">
        <f t="shared" si="89"/>
        <v>0</v>
      </c>
      <c r="G86" s="17">
        <f t="shared" si="89"/>
        <v>0</v>
      </c>
      <c r="H86" s="17"/>
      <c r="I86" s="17">
        <v>55160.941677111034</v>
      </c>
      <c r="J86" s="17">
        <f t="shared" si="90"/>
        <v>0</v>
      </c>
      <c r="K86" s="17">
        <f t="shared" si="90"/>
        <v>0</v>
      </c>
      <c r="L86" s="17">
        <f t="shared" si="90"/>
        <v>0</v>
      </c>
      <c r="M86" s="17">
        <f t="shared" si="91"/>
        <v>69767.900357761828</v>
      </c>
      <c r="N86" s="17"/>
      <c r="O86" s="17">
        <f t="shared" si="92"/>
        <v>250205.22285633616</v>
      </c>
      <c r="P86" s="17">
        <f t="shared" si="93"/>
        <v>1410724.4498850391</v>
      </c>
      <c r="Q86" s="175">
        <f t="shared" ref="Q86:Y86" si="99">$B$83*Q5</f>
        <v>0</v>
      </c>
      <c r="R86" s="175">
        <f t="shared" si="99"/>
        <v>0</v>
      </c>
      <c r="S86" s="175">
        <f t="shared" si="99"/>
        <v>0</v>
      </c>
      <c r="T86" s="175">
        <f t="shared" si="99"/>
        <v>0</v>
      </c>
      <c r="U86" s="175">
        <f t="shared" si="99"/>
        <v>0</v>
      </c>
      <c r="V86" s="175">
        <f t="shared" si="99"/>
        <v>0</v>
      </c>
      <c r="W86" s="175">
        <f t="shared" si="99"/>
        <v>0</v>
      </c>
      <c r="X86" s="175">
        <f t="shared" si="99"/>
        <v>0</v>
      </c>
      <c r="Y86" s="175">
        <f t="shared" si="99"/>
        <v>0</v>
      </c>
      <c r="Z86" s="196">
        <f t="shared" si="95"/>
        <v>0</v>
      </c>
      <c r="AA86" s="176">
        <f t="shared" ref="AA86:AA106" si="100">AE85</f>
        <v>807906.74402434751</v>
      </c>
      <c r="AB86" s="176">
        <f>'Collections and ACP'!K106</f>
        <v>1153433.5221666666</v>
      </c>
      <c r="AC86" s="176">
        <f t="shared" si="96"/>
        <v>1961340.2661910141</v>
      </c>
      <c r="AD86" s="176">
        <f t="shared" si="97"/>
        <v>1410724.4498850391</v>
      </c>
      <c r="AE86" s="18">
        <f t="shared" si="98"/>
        <v>550615.81630597496</v>
      </c>
      <c r="AF86" s="19"/>
    </row>
    <row r="87" spans="1:34" x14ac:dyDescent="0.35">
      <c r="A87" s="174" t="s">
        <v>19</v>
      </c>
      <c r="B87" s="17">
        <f t="shared" si="89"/>
        <v>331516.15055220632</v>
      </c>
      <c r="C87" s="17">
        <f t="shared" si="89"/>
        <v>373194.90121852705</v>
      </c>
      <c r="D87" s="17">
        <f t="shared" si="89"/>
        <v>569155.80690326553</v>
      </c>
      <c r="E87" s="17">
        <f t="shared" si="89"/>
        <v>0</v>
      </c>
      <c r="F87" s="17">
        <f t="shared" si="89"/>
        <v>0</v>
      </c>
      <c r="G87" s="17">
        <f t="shared" si="89"/>
        <v>0</v>
      </c>
      <c r="H87" s="17"/>
      <c r="I87" s="17">
        <v>74567.941677111041</v>
      </c>
      <c r="J87" s="17">
        <f t="shared" si="90"/>
        <v>0</v>
      </c>
      <c r="K87" s="17">
        <f t="shared" si="90"/>
        <v>0</v>
      </c>
      <c r="L87" s="17">
        <f t="shared" si="90"/>
        <v>0</v>
      </c>
      <c r="M87" s="17">
        <f t="shared" si="91"/>
        <v>88191.78550485264</v>
      </c>
      <c r="N87" s="17"/>
      <c r="O87" s="17">
        <f t="shared" si="92"/>
        <v>250205.22285633616</v>
      </c>
      <c r="P87" s="17">
        <f t="shared" si="93"/>
        <v>1686831.808712299</v>
      </c>
      <c r="Q87" s="175">
        <f t="shared" ref="Q87:Y87" si="101">$B$83*Q6</f>
        <v>0</v>
      </c>
      <c r="R87" s="175">
        <f t="shared" si="101"/>
        <v>0</v>
      </c>
      <c r="S87" s="175">
        <f t="shared" si="101"/>
        <v>0</v>
      </c>
      <c r="T87" s="175">
        <f t="shared" si="101"/>
        <v>0</v>
      </c>
      <c r="U87" s="175">
        <f t="shared" si="101"/>
        <v>0</v>
      </c>
      <c r="V87" s="175">
        <f t="shared" si="101"/>
        <v>0</v>
      </c>
      <c r="W87" s="175">
        <f t="shared" si="101"/>
        <v>0</v>
      </c>
      <c r="X87" s="175">
        <f t="shared" si="101"/>
        <v>0</v>
      </c>
      <c r="Y87" s="175">
        <f t="shared" si="101"/>
        <v>0</v>
      </c>
      <c r="Z87" s="196">
        <f t="shared" si="95"/>
        <v>0</v>
      </c>
      <c r="AA87" s="176">
        <f t="shared" si="100"/>
        <v>550615.81630597496</v>
      </c>
      <c r="AB87" s="176">
        <f>'Collections and ACP'!K107</f>
        <v>1392648.2258068149</v>
      </c>
      <c r="AC87" s="176">
        <f t="shared" si="96"/>
        <v>1943264.0421127898</v>
      </c>
      <c r="AD87" s="176">
        <f t="shared" si="97"/>
        <v>1686831.808712299</v>
      </c>
      <c r="AE87" s="18">
        <f t="shared" si="98"/>
        <v>256432.23340049083</v>
      </c>
      <c r="AF87" s="19"/>
    </row>
    <row r="88" spans="1:34" x14ac:dyDescent="0.35">
      <c r="A88" s="174" t="s">
        <v>20</v>
      </c>
      <c r="B88" s="17">
        <f t="shared" si="89"/>
        <v>1206710.6559399599</v>
      </c>
      <c r="C88" s="17">
        <f t="shared" si="89"/>
        <v>453000.7594291406</v>
      </c>
      <c r="D88" s="17">
        <f t="shared" si="89"/>
        <v>660123.0849125908</v>
      </c>
      <c r="E88" s="17">
        <f t="shared" si="89"/>
        <v>0</v>
      </c>
      <c r="F88" s="17">
        <f t="shared" si="89"/>
        <v>0</v>
      </c>
      <c r="G88" s="17">
        <f t="shared" si="89"/>
        <v>0</v>
      </c>
      <c r="H88" s="17"/>
      <c r="I88" s="17">
        <v>74566.48252909616</v>
      </c>
      <c r="J88" s="17">
        <f t="shared" si="90"/>
        <v>0</v>
      </c>
      <c r="K88" s="17">
        <f t="shared" si="90"/>
        <v>0</v>
      </c>
      <c r="L88" s="17">
        <f t="shared" si="90"/>
        <v>0</v>
      </c>
      <c r="M88" s="17">
        <f t="shared" si="91"/>
        <v>86604.313268966609</v>
      </c>
      <c r="N88" s="17"/>
      <c r="O88" s="17">
        <f t="shared" si="92"/>
        <v>250205.22285633616</v>
      </c>
      <c r="P88" s="17">
        <f t="shared" si="93"/>
        <v>2731210.5189360902</v>
      </c>
      <c r="Q88" s="175">
        <f t="shared" ref="Q88:Y88" si="102">$B$83*Q7</f>
        <v>0</v>
      </c>
      <c r="R88" s="175">
        <f t="shared" si="102"/>
        <v>0</v>
      </c>
      <c r="S88" s="175">
        <f t="shared" si="102"/>
        <v>0</v>
      </c>
      <c r="T88" s="175">
        <f t="shared" si="102"/>
        <v>0</v>
      </c>
      <c r="U88" s="175">
        <f t="shared" si="102"/>
        <v>0</v>
      </c>
      <c r="V88" s="175">
        <f t="shared" si="102"/>
        <v>0</v>
      </c>
      <c r="W88" s="175">
        <f t="shared" si="102"/>
        <v>0</v>
      </c>
      <c r="X88" s="175">
        <f t="shared" si="102"/>
        <v>0</v>
      </c>
      <c r="Y88" s="175">
        <f t="shared" si="102"/>
        <v>0</v>
      </c>
      <c r="Z88" s="196">
        <f t="shared" si="95"/>
        <v>0</v>
      </c>
      <c r="AA88" s="176">
        <f t="shared" si="100"/>
        <v>256432.23340049083</v>
      </c>
      <c r="AB88" s="176">
        <f>'Collections and ACP'!K108</f>
        <v>1383224.4391287609</v>
      </c>
      <c r="AC88" s="176">
        <f t="shared" si="96"/>
        <v>1639656.6725292518</v>
      </c>
      <c r="AD88" s="176">
        <f t="shared" si="97"/>
        <v>2731210.5189360902</v>
      </c>
      <c r="AE88" s="18">
        <f t="shared" si="98"/>
        <v>-1091553.8464068384</v>
      </c>
      <c r="AF88" s="19"/>
    </row>
    <row r="89" spans="1:34" x14ac:dyDescent="0.35">
      <c r="A89" s="174" t="s">
        <v>22</v>
      </c>
      <c r="B89" s="17">
        <f t="shared" si="89"/>
        <v>150513.51391071107</v>
      </c>
      <c r="C89" s="17">
        <f t="shared" si="89"/>
        <v>318003.24702394183</v>
      </c>
      <c r="D89" s="17">
        <f t="shared" si="89"/>
        <v>706636.47103449318</v>
      </c>
      <c r="E89" s="17">
        <f t="shared" si="89"/>
        <v>4378.7215067017678</v>
      </c>
      <c r="F89" s="17">
        <f t="shared" si="89"/>
        <v>31603.046391149535</v>
      </c>
      <c r="G89" s="17">
        <f t="shared" si="89"/>
        <v>0</v>
      </c>
      <c r="H89" s="17"/>
      <c r="I89" s="17">
        <v>74566.48252909616</v>
      </c>
      <c r="J89" s="17">
        <f t="shared" si="90"/>
        <v>22093.322830613433</v>
      </c>
      <c r="K89" s="17">
        <f t="shared" si="90"/>
        <v>0</v>
      </c>
      <c r="L89" s="17">
        <f t="shared" si="90"/>
        <v>0</v>
      </c>
      <c r="M89" s="17">
        <f t="shared" si="91"/>
        <v>86114.780690070693</v>
      </c>
      <c r="N89" s="17"/>
      <c r="O89" s="17">
        <f t="shared" si="92"/>
        <v>250205.22285633616</v>
      </c>
      <c r="P89" s="17">
        <f t="shared" si="93"/>
        <v>1644114.8087731139</v>
      </c>
      <c r="Q89" s="175">
        <f t="shared" ref="Q89:Y89" si="103">$B$83*Q8</f>
        <v>778894.56554023561</v>
      </c>
      <c r="R89" s="175">
        <f t="shared" si="103"/>
        <v>146382.57429046143</v>
      </c>
      <c r="S89" s="175">
        <f t="shared" si="103"/>
        <v>43680.41331947998</v>
      </c>
      <c r="T89" s="175">
        <f t="shared" si="103"/>
        <v>127820.26604699709</v>
      </c>
      <c r="U89" s="175">
        <f t="shared" si="103"/>
        <v>20659.364177031672</v>
      </c>
      <c r="V89" s="175">
        <f t="shared" si="103"/>
        <v>140739.98425922077</v>
      </c>
      <c r="W89" s="175">
        <f t="shared" si="103"/>
        <v>0</v>
      </c>
      <c r="X89" s="175">
        <f t="shared" si="103"/>
        <v>0</v>
      </c>
      <c r="Y89" s="175">
        <f t="shared" si="103"/>
        <v>0</v>
      </c>
      <c r="Z89" s="196">
        <f t="shared" si="95"/>
        <v>1258177.1676334266</v>
      </c>
      <c r="AA89" s="176">
        <f t="shared" si="100"/>
        <v>-1091553.8464068384</v>
      </c>
      <c r="AB89" s="176">
        <f>'Collections and ACP'!K109</f>
        <v>1387044.2350979969</v>
      </c>
      <c r="AC89" s="176">
        <f t="shared" si="96"/>
        <v>295490.3886911585</v>
      </c>
      <c r="AD89" s="176">
        <f t="shared" si="97"/>
        <v>2902291.9764065407</v>
      </c>
      <c r="AE89" s="18">
        <f t="shared" si="98"/>
        <v>-2606801.5877153822</v>
      </c>
      <c r="AF89" s="19"/>
    </row>
    <row r="90" spans="1:34" x14ac:dyDescent="0.35">
      <c r="A90" s="174" t="s">
        <v>23</v>
      </c>
      <c r="B90" s="17">
        <f t="shared" si="89"/>
        <v>0</v>
      </c>
      <c r="C90" s="17">
        <f t="shared" si="89"/>
        <v>226245.44060889754</v>
      </c>
      <c r="D90" s="17">
        <f t="shared" si="89"/>
        <v>505403.59618514241</v>
      </c>
      <c r="E90" s="17">
        <f t="shared" si="89"/>
        <v>5541.6703784335614</v>
      </c>
      <c r="F90" s="17">
        <f t="shared" si="89"/>
        <v>38877.758241593052</v>
      </c>
      <c r="G90" s="17">
        <f t="shared" si="89"/>
        <v>0</v>
      </c>
      <c r="H90" s="17"/>
      <c r="I90" s="17">
        <v>74566.48252909616</v>
      </c>
      <c r="J90" s="17">
        <f t="shared" si="90"/>
        <v>21426.744920336147</v>
      </c>
      <c r="K90" s="17">
        <f t="shared" si="90"/>
        <v>101187.94882079757</v>
      </c>
      <c r="L90" s="17">
        <f t="shared" si="90"/>
        <v>0</v>
      </c>
      <c r="M90" s="17">
        <f t="shared" si="91"/>
        <v>85057.232435870174</v>
      </c>
      <c r="N90" s="17"/>
      <c r="O90" s="17">
        <f t="shared" si="92"/>
        <v>250205.22285633616</v>
      </c>
      <c r="P90" s="17">
        <f t="shared" si="93"/>
        <v>1308512.0969765028</v>
      </c>
      <c r="Q90" s="175">
        <f t="shared" ref="Q90:Y90" si="104">$B$83*Q9</f>
        <v>747738.78291862621</v>
      </c>
      <c r="R90" s="175">
        <f t="shared" si="104"/>
        <v>218691.45498644549</v>
      </c>
      <c r="S90" s="175">
        <f t="shared" si="104"/>
        <v>110677.96185762589</v>
      </c>
      <c r="T90" s="175">
        <f t="shared" si="104"/>
        <v>166697.71773458199</v>
      </c>
      <c r="U90" s="175">
        <f t="shared" si="104"/>
        <v>47985.982397880864</v>
      </c>
      <c r="V90" s="175">
        <f t="shared" si="104"/>
        <v>221083.18503253642</v>
      </c>
      <c r="W90" s="175">
        <f t="shared" si="104"/>
        <v>0</v>
      </c>
      <c r="X90" s="175">
        <f t="shared" si="104"/>
        <v>14449.813324853636</v>
      </c>
      <c r="Y90" s="175">
        <f t="shared" si="104"/>
        <v>0</v>
      </c>
      <c r="Z90" s="196">
        <f t="shared" si="95"/>
        <v>1527324.8982525505</v>
      </c>
      <c r="AA90" s="176">
        <f t="shared" si="100"/>
        <v>-2606801.5877153822</v>
      </c>
      <c r="AB90" s="176">
        <f>'Collections and ACP'!K110</f>
        <v>1386156.5915539409</v>
      </c>
      <c r="AC90" s="176">
        <f t="shared" si="96"/>
        <v>-1220644.9961614413</v>
      </c>
      <c r="AD90" s="176">
        <f t="shared" si="97"/>
        <v>2835836.9952290533</v>
      </c>
      <c r="AE90" s="18">
        <f t="shared" si="98"/>
        <v>-4056481.9913904946</v>
      </c>
      <c r="AF90" s="19"/>
    </row>
    <row r="91" spans="1:34" x14ac:dyDescent="0.35">
      <c r="A91" s="174" t="s">
        <v>24</v>
      </c>
      <c r="B91" s="17">
        <f t="shared" si="89"/>
        <v>0</v>
      </c>
      <c r="C91" s="17">
        <f t="shared" si="89"/>
        <v>186566.15493998866</v>
      </c>
      <c r="D91" s="17">
        <f t="shared" si="89"/>
        <v>364279.92899681319</v>
      </c>
      <c r="E91" s="17">
        <f t="shared" si="89"/>
        <v>5536.0757896504938</v>
      </c>
      <c r="F91" s="17">
        <f t="shared" si="89"/>
        <v>38704.050763572814</v>
      </c>
      <c r="G91" s="17">
        <f t="shared" si="89"/>
        <v>0</v>
      </c>
      <c r="H91" s="17"/>
      <c r="I91" s="17">
        <v>74566.48252909616</v>
      </c>
      <c r="J91" s="17">
        <f t="shared" si="90"/>
        <v>248508.77692565208</v>
      </c>
      <c r="K91" s="17">
        <f t="shared" si="90"/>
        <v>241619.07504680005</v>
      </c>
      <c r="L91" s="17">
        <f t="shared" si="90"/>
        <v>21010.286198598289</v>
      </c>
      <c r="M91" s="17">
        <f t="shared" si="91"/>
        <v>84513.376400307563</v>
      </c>
      <c r="N91" s="17"/>
      <c r="O91" s="17">
        <f t="shared" si="92"/>
        <v>250205.22285633616</v>
      </c>
      <c r="P91" s="17">
        <f t="shared" si="93"/>
        <v>1515509.4304468152</v>
      </c>
      <c r="Q91" s="175">
        <f t="shared" ref="Q91:Y91" si="105">$B$83*Q10</f>
        <v>717829.2316018811</v>
      </c>
      <c r="R91" s="175">
        <f t="shared" si="105"/>
        <v>288107.98045459017</v>
      </c>
      <c r="S91" s="175">
        <f t="shared" si="105"/>
        <v>174651.88462889136</v>
      </c>
      <c r="T91" s="175">
        <f t="shared" si="105"/>
        <v>203800.12004301618</v>
      </c>
      <c r="U91" s="175">
        <f t="shared" si="105"/>
        <v>72701.390433182241</v>
      </c>
      <c r="V91" s="175">
        <f t="shared" si="105"/>
        <v>298212.65777491935</v>
      </c>
      <c r="W91" s="175">
        <f t="shared" si="105"/>
        <v>0</v>
      </c>
      <c r="X91" s="175">
        <f t="shared" si="105"/>
        <v>14294.125150948044</v>
      </c>
      <c r="Y91" s="175">
        <f t="shared" si="105"/>
        <v>0</v>
      </c>
      <c r="Z91" s="196">
        <f t="shared" si="95"/>
        <v>1769597.3900874285</v>
      </c>
      <c r="AA91" s="176">
        <f t="shared" si="100"/>
        <v>-4056481.9913904946</v>
      </c>
      <c r="AB91" s="176">
        <f>'Collections and ACP'!K111</f>
        <v>1390856.9158026592</v>
      </c>
      <c r="AC91" s="176">
        <f t="shared" si="96"/>
        <v>-2665625.0755878352</v>
      </c>
      <c r="AD91" s="176">
        <f t="shared" si="97"/>
        <v>3285106.8205342437</v>
      </c>
      <c r="AE91" s="18">
        <f t="shared" si="98"/>
        <v>-5950731.8961220793</v>
      </c>
      <c r="AF91" s="19"/>
    </row>
    <row r="92" spans="1:34" x14ac:dyDescent="0.35">
      <c r="A92" s="174" t="s">
        <v>25</v>
      </c>
      <c r="B92" s="17">
        <f t="shared" si="89"/>
        <v>0</v>
      </c>
      <c r="C92" s="17">
        <f t="shared" si="89"/>
        <v>165734.58851183366</v>
      </c>
      <c r="D92" s="17">
        <f t="shared" si="89"/>
        <v>337726.03901521786</v>
      </c>
      <c r="E92" s="17">
        <f t="shared" si="89"/>
        <v>5531.1667631780529</v>
      </c>
      <c r="F92" s="17">
        <f t="shared" si="89"/>
        <v>38531.063876594402</v>
      </c>
      <c r="G92" s="17">
        <f t="shared" si="89"/>
        <v>0</v>
      </c>
      <c r="H92" s="17"/>
      <c r="I92" s="17">
        <v>74566.48252909616</v>
      </c>
      <c r="J92" s="17">
        <f t="shared" si="90"/>
        <v>250660.5738434646</v>
      </c>
      <c r="K92" s="17">
        <f t="shared" si="90"/>
        <v>241411.41970209635</v>
      </c>
      <c r="L92" s="17">
        <f t="shared" si="90"/>
        <v>41982.350812785648</v>
      </c>
      <c r="M92" s="17">
        <f t="shared" si="91"/>
        <v>84381.234313329071</v>
      </c>
      <c r="N92" s="17"/>
      <c r="O92" s="17">
        <f t="shared" si="92"/>
        <v>250205.22285633616</v>
      </c>
      <c r="P92" s="17">
        <f t="shared" si="93"/>
        <v>1490730.1422239318</v>
      </c>
      <c r="Q92" s="175">
        <f t="shared" ref="Q92:Y92" si="106">$B$83*Q11</f>
        <v>689116.06233780587</v>
      </c>
      <c r="R92" s="175">
        <f t="shared" si="106"/>
        <v>354747.84490400908</v>
      </c>
      <c r="S92" s="175">
        <f t="shared" si="106"/>
        <v>235724.84528307835</v>
      </c>
      <c r="T92" s="175">
        <f t="shared" si="106"/>
        <v>239199.57470402392</v>
      </c>
      <c r="U92" s="175">
        <f t="shared" si="106"/>
        <v>96428.182147071566</v>
      </c>
      <c r="V92" s="175">
        <f t="shared" si="106"/>
        <v>372256.95160760707</v>
      </c>
      <c r="W92" s="175">
        <f t="shared" si="106"/>
        <v>341358.21006270894</v>
      </c>
      <c r="X92" s="175">
        <f t="shared" si="106"/>
        <v>156218.77407194959</v>
      </c>
      <c r="Y92" s="175">
        <f t="shared" si="106"/>
        <v>0</v>
      </c>
      <c r="Z92" s="196">
        <f t="shared" si="95"/>
        <v>2485050.4451182541</v>
      </c>
      <c r="AA92" s="176">
        <f t="shared" si="100"/>
        <v>-5950731.8961220793</v>
      </c>
      <c r="AB92" s="176">
        <f>'Collections and ACP'!K112</f>
        <v>1392376.6614621279</v>
      </c>
      <c r="AC92" s="176">
        <f t="shared" si="96"/>
        <v>-4558355.2346599512</v>
      </c>
      <c r="AD92" s="176">
        <f t="shared" si="97"/>
        <v>3975780.5873421859</v>
      </c>
      <c r="AE92" s="18">
        <f t="shared" si="98"/>
        <v>-8534135.8220021371</v>
      </c>
      <c r="AF92" s="19"/>
    </row>
    <row r="93" spans="1:34" x14ac:dyDescent="0.35">
      <c r="A93" s="174" t="s">
        <v>26</v>
      </c>
      <c r="B93" s="17">
        <f t="shared" si="89"/>
        <v>0</v>
      </c>
      <c r="C93" s="17">
        <f t="shared" si="89"/>
        <v>159334.97443243462</v>
      </c>
      <c r="D93" s="17">
        <f t="shared" si="89"/>
        <v>337254.3171003579</v>
      </c>
      <c r="E93" s="17">
        <f t="shared" si="89"/>
        <v>5525.9024452891554</v>
      </c>
      <c r="F93" s="17">
        <f t="shared" si="89"/>
        <v>38358.447293345816</v>
      </c>
      <c r="G93" s="17">
        <f t="shared" si="89"/>
        <v>0</v>
      </c>
      <c r="H93" s="17"/>
      <c r="I93" s="17">
        <v>74566.48252909616</v>
      </c>
      <c r="J93" s="17">
        <f t="shared" si="90"/>
        <v>193960.42758636299</v>
      </c>
      <c r="K93" s="17">
        <f t="shared" si="90"/>
        <v>213974.43815995235</v>
      </c>
      <c r="L93" s="17">
        <f t="shared" si="90"/>
        <v>40020.268240948782</v>
      </c>
      <c r="M93" s="17">
        <f t="shared" si="91"/>
        <v>84601.52654273402</v>
      </c>
      <c r="N93" s="17"/>
      <c r="O93" s="17">
        <f t="shared" si="92"/>
        <v>250205.22285633616</v>
      </c>
      <c r="P93" s="17">
        <f t="shared" si="93"/>
        <v>1397802.007186858</v>
      </c>
      <c r="Q93" s="175">
        <f t="shared" ref="Q93:Y93" si="107">$B$83*Q12</f>
        <v>661551.41984429362</v>
      </c>
      <c r="R93" s="175">
        <f t="shared" si="107"/>
        <v>418722.11477545125</v>
      </c>
      <c r="S93" s="175">
        <f t="shared" si="107"/>
        <v>294014.59233090119</v>
      </c>
      <c r="T93" s="175">
        <f t="shared" si="107"/>
        <v>272965.29388127767</v>
      </c>
      <c r="U93" s="175">
        <f t="shared" si="107"/>
        <v>119205.90219240529</v>
      </c>
      <c r="V93" s="175">
        <f t="shared" si="107"/>
        <v>443339.47368698718</v>
      </c>
      <c r="W93" s="175">
        <f t="shared" si="107"/>
        <v>459085.30007960548</v>
      </c>
      <c r="X93" s="175">
        <f t="shared" si="107"/>
        <v>298696.65895839268</v>
      </c>
      <c r="Y93" s="175">
        <f t="shared" si="107"/>
        <v>21043.784868564238</v>
      </c>
      <c r="Z93" s="196">
        <f t="shared" si="95"/>
        <v>2988624.540617879</v>
      </c>
      <c r="AA93" s="176">
        <f t="shared" si="100"/>
        <v>-8534135.8220021371</v>
      </c>
      <c r="AB93" s="176">
        <f>'Collections and ACP'!K113</f>
        <v>1394834.1963444413</v>
      </c>
      <c r="AC93" s="176">
        <f t="shared" si="96"/>
        <v>-7139301.6256576963</v>
      </c>
      <c r="AD93" s="176">
        <f t="shared" si="97"/>
        <v>4386426.5478047375</v>
      </c>
      <c r="AE93" s="18">
        <f t="shared" si="98"/>
        <v>-11525728.173462434</v>
      </c>
      <c r="AF93" s="19"/>
    </row>
    <row r="94" spans="1:34" x14ac:dyDescent="0.35">
      <c r="A94" s="174" t="s">
        <v>27</v>
      </c>
      <c r="B94" s="17">
        <f t="shared" si="89"/>
        <v>0</v>
      </c>
      <c r="C94" s="17">
        <f t="shared" si="89"/>
        <v>118615.465553605</v>
      </c>
      <c r="D94" s="17">
        <f t="shared" si="89"/>
        <v>336780.79871199781</v>
      </c>
      <c r="E94" s="17">
        <f t="shared" si="89"/>
        <v>5520.9984229211714</v>
      </c>
      <c r="F94" s="17">
        <f t="shared" si="89"/>
        <v>38188.36278695253</v>
      </c>
      <c r="G94" s="17">
        <f t="shared" si="89"/>
        <v>0</v>
      </c>
      <c r="H94" s="17"/>
      <c r="I94" s="17">
        <v>74566.48252909616</v>
      </c>
      <c r="J94" s="17">
        <f t="shared" si="90"/>
        <v>127376.99283299749</v>
      </c>
      <c r="K94" s="17">
        <f t="shared" si="90"/>
        <v>182256.56618120079</v>
      </c>
      <c r="L94" s="17">
        <f t="shared" si="90"/>
        <v>37772.866650482567</v>
      </c>
      <c r="M94" s="17">
        <f t="shared" si="91"/>
        <v>84671.434674208955</v>
      </c>
      <c r="N94" s="17"/>
      <c r="O94" s="17">
        <f t="shared" si="92"/>
        <v>250205.22285633616</v>
      </c>
      <c r="P94" s="17">
        <f t="shared" si="93"/>
        <v>1255955.1911997986</v>
      </c>
      <c r="Q94" s="175">
        <f t="shared" ref="Q94:Y94" si="108">$B$83*Q13</f>
        <v>635089.36305052182</v>
      </c>
      <c r="R94" s="175">
        <f t="shared" si="108"/>
        <v>480137.41385203565</v>
      </c>
      <c r="S94" s="175">
        <f t="shared" si="108"/>
        <v>349634.15579251532</v>
      </c>
      <c r="T94" s="175">
        <f t="shared" si="108"/>
        <v>305163.71578061423</v>
      </c>
      <c r="U94" s="175">
        <f t="shared" si="108"/>
        <v>141072.51343592571</v>
      </c>
      <c r="V94" s="175">
        <f t="shared" si="108"/>
        <v>511578.69488319219</v>
      </c>
      <c r="W94" s="175">
        <f t="shared" si="108"/>
        <v>444048.59795412765</v>
      </c>
      <c r="X94" s="175">
        <f t="shared" si="108"/>
        <v>392764.83624691353</v>
      </c>
      <c r="Y94" s="175">
        <f t="shared" si="108"/>
        <v>40221.375116531439</v>
      </c>
      <c r="Z94" s="196">
        <f t="shared" si="95"/>
        <v>3299710.6661123768</v>
      </c>
      <c r="AA94" s="176">
        <f t="shared" si="100"/>
        <v>-11525728.173462434</v>
      </c>
      <c r="AB94" s="176">
        <f>'Collections and ACP'!K114</f>
        <v>1395262.2697276347</v>
      </c>
      <c r="AC94" s="176">
        <f t="shared" si="96"/>
        <v>-10130465.903734799</v>
      </c>
      <c r="AD94" s="176">
        <f t="shared" si="97"/>
        <v>4555665.8573121754</v>
      </c>
      <c r="AE94" s="18">
        <f t="shared" si="98"/>
        <v>-14686131.761046976</v>
      </c>
      <c r="AF94" s="19"/>
    </row>
    <row r="95" spans="1:34" x14ac:dyDescent="0.35">
      <c r="A95" s="174" t="s">
        <v>28</v>
      </c>
      <c r="B95" s="17">
        <f t="shared" ref="B95:G104" si="109">B14*$B$83</f>
        <v>0</v>
      </c>
      <c r="C95" s="17">
        <f t="shared" si="109"/>
        <v>10325.143870045567</v>
      </c>
      <c r="D95" s="17">
        <f t="shared" si="109"/>
        <v>336312.37450197514</v>
      </c>
      <c r="E95" s="17">
        <f t="shared" si="109"/>
        <v>5515.4038341381038</v>
      </c>
      <c r="F95" s="17">
        <f t="shared" si="109"/>
        <v>33870.185940077543</v>
      </c>
      <c r="G95" s="17">
        <f t="shared" si="109"/>
        <v>0</v>
      </c>
      <c r="H95" s="17"/>
      <c r="I95" s="17">
        <v>74566.48252909616</v>
      </c>
      <c r="J95" s="17">
        <f t="shared" si="90"/>
        <v>117500.33739829106</v>
      </c>
      <c r="K95" s="17">
        <f t="shared" si="90"/>
        <v>176821.84240562364</v>
      </c>
      <c r="L95" s="17">
        <f t="shared" si="90"/>
        <v>37281.834415976591</v>
      </c>
      <c r="M95" s="17">
        <f t="shared" si="91"/>
        <v>85186.806409157274</v>
      </c>
      <c r="N95" s="17"/>
      <c r="O95" s="17">
        <f t="shared" si="92"/>
        <v>250205.22285633616</v>
      </c>
      <c r="P95" s="17">
        <f t="shared" si="93"/>
        <v>1127585.634160717</v>
      </c>
      <c r="Q95" s="175">
        <f t="shared" ref="Q95:Y95" si="110">$B$83*Q14</f>
        <v>609685.78852850094</v>
      </c>
      <c r="R95" s="175">
        <f t="shared" si="110"/>
        <v>472661.92056500399</v>
      </c>
      <c r="S95" s="175">
        <f t="shared" si="110"/>
        <v>402692.03597989067</v>
      </c>
      <c r="T95" s="175">
        <f t="shared" si="110"/>
        <v>335858.61563570442</v>
      </c>
      <c r="U95" s="175">
        <f t="shared" si="110"/>
        <v>141405.09605267362</v>
      </c>
      <c r="V95" s="175">
        <f t="shared" si="110"/>
        <v>525179.91173889325</v>
      </c>
      <c r="W95" s="175">
        <f t="shared" si="110"/>
        <v>349936.79349724582</v>
      </c>
      <c r="X95" s="175">
        <f t="shared" si="110"/>
        <v>444562.44805819093</v>
      </c>
      <c r="Y95" s="175">
        <f t="shared" si="110"/>
        <v>57087.215031774896</v>
      </c>
      <c r="Z95" s="196">
        <f t="shared" si="95"/>
        <v>3339069.8250878784</v>
      </c>
      <c r="AA95" s="176">
        <f t="shared" si="100"/>
        <v>-14686131.761046976</v>
      </c>
      <c r="AB95" s="176">
        <f>'Collections and ACP'!K115</f>
        <v>1397617.7745758404</v>
      </c>
      <c r="AC95" s="176">
        <f t="shared" si="96"/>
        <v>-13288513.986471135</v>
      </c>
      <c r="AD95" s="176">
        <f t="shared" si="97"/>
        <v>4466655.4592485949</v>
      </c>
      <c r="AE95" s="18">
        <f t="shared" si="98"/>
        <v>-17755169.44571973</v>
      </c>
      <c r="AF95" s="19"/>
    </row>
    <row r="96" spans="1:34" x14ac:dyDescent="0.35">
      <c r="A96" s="174" t="s">
        <v>29</v>
      </c>
      <c r="B96" s="17">
        <f t="shared" si="109"/>
        <v>0</v>
      </c>
      <c r="C96" s="17">
        <f t="shared" si="109"/>
        <v>0</v>
      </c>
      <c r="D96" s="17">
        <f t="shared" si="109"/>
        <v>335846.34725798736</v>
      </c>
      <c r="E96" s="17">
        <f t="shared" si="109"/>
        <v>5510.825078559832</v>
      </c>
      <c r="F96" s="17">
        <f t="shared" si="109"/>
        <v>0</v>
      </c>
      <c r="G96" s="17">
        <f t="shared" si="109"/>
        <v>0</v>
      </c>
      <c r="H96" s="17"/>
      <c r="I96" s="17">
        <v>74566.48252909616</v>
      </c>
      <c r="J96" s="17">
        <f t="shared" si="90"/>
        <v>96701.656628548881</v>
      </c>
      <c r="K96" s="17">
        <f t="shared" si="90"/>
        <v>166459.70727815223</v>
      </c>
      <c r="L96" s="17">
        <f t="shared" si="90"/>
        <v>36462.288825420823</v>
      </c>
      <c r="M96" s="17">
        <f t="shared" si="91"/>
        <v>85672.526441422189</v>
      </c>
      <c r="N96" s="17"/>
      <c r="O96" s="17">
        <f t="shared" si="92"/>
        <v>250205.22285633616</v>
      </c>
      <c r="P96" s="17">
        <f t="shared" si="93"/>
        <v>1051425.0568955236</v>
      </c>
      <c r="Q96" s="175">
        <f t="shared" ref="Q96:Y96" si="111">$B$83*Q15</f>
        <v>585298.35698736086</v>
      </c>
      <c r="R96" s="175">
        <f t="shared" si="111"/>
        <v>453755.44374240382</v>
      </c>
      <c r="S96" s="175">
        <f t="shared" si="111"/>
        <v>453292.38472767553</v>
      </c>
      <c r="T96" s="175">
        <f t="shared" si="111"/>
        <v>365111.21225415927</v>
      </c>
      <c r="U96" s="175">
        <f t="shared" si="111"/>
        <v>161557.36497470201</v>
      </c>
      <c r="V96" s="175">
        <f t="shared" si="111"/>
        <v>504172.71526933758</v>
      </c>
      <c r="W96" s="175">
        <f t="shared" si="111"/>
        <v>376603.64550734317</v>
      </c>
      <c r="X96" s="175">
        <f t="shared" si="111"/>
        <v>502230.13489359029</v>
      </c>
      <c r="Y96" s="175">
        <f t="shared" si="111"/>
        <v>75315.881479216318</v>
      </c>
      <c r="Z96" s="196">
        <f t="shared" si="95"/>
        <v>3477337.1398357884</v>
      </c>
      <c r="AA96" s="176">
        <f t="shared" si="100"/>
        <v>-17755169.44571973</v>
      </c>
      <c r="AB96" s="176">
        <f>'Collections and ACP'!K116</f>
        <v>1399139.0166404648</v>
      </c>
      <c r="AC96" s="176">
        <f t="shared" si="96"/>
        <v>-16356030.429079264</v>
      </c>
      <c r="AD96" s="176">
        <f t="shared" si="97"/>
        <v>4528762.1967313122</v>
      </c>
      <c r="AE96" s="18">
        <f t="shared" si="98"/>
        <v>-20884792.625810578</v>
      </c>
      <c r="AF96" s="19"/>
    </row>
    <row r="97" spans="1:34" x14ac:dyDescent="0.35">
      <c r="A97" s="174" t="s">
        <v>30</v>
      </c>
      <c r="B97" s="17">
        <f t="shared" si="109"/>
        <v>0</v>
      </c>
      <c r="C97" s="17">
        <f t="shared" si="109"/>
        <v>0</v>
      </c>
      <c r="D97" s="17">
        <f t="shared" si="109"/>
        <v>335381.81624123227</v>
      </c>
      <c r="E97" s="17">
        <f t="shared" si="109"/>
        <v>5505.5957894021349</v>
      </c>
      <c r="F97" s="17">
        <f t="shared" si="109"/>
        <v>0</v>
      </c>
      <c r="G97" s="17">
        <f t="shared" si="109"/>
        <v>0</v>
      </c>
      <c r="H97" s="17"/>
      <c r="I97" s="17">
        <v>74566.48252909616</v>
      </c>
      <c r="J97" s="17">
        <f t="shared" si="90"/>
        <v>61993.92555478026</v>
      </c>
      <c r="K97" s="17">
        <f t="shared" si="90"/>
        <v>149890.06586246335</v>
      </c>
      <c r="L97" s="17">
        <f t="shared" si="90"/>
        <v>35228.715758270409</v>
      </c>
      <c r="M97" s="17">
        <f t="shared" si="91"/>
        <v>86242.750882583743</v>
      </c>
      <c r="N97" s="17"/>
      <c r="O97" s="17">
        <f t="shared" si="92"/>
        <v>250205.22285633616</v>
      </c>
      <c r="P97" s="17">
        <f t="shared" si="93"/>
        <v>999014.57547416445</v>
      </c>
      <c r="Q97" s="175">
        <f t="shared" ref="Q97:Y97" si="112">$B$83*Q16</f>
        <v>561886.42270786641</v>
      </c>
      <c r="R97" s="175">
        <f t="shared" si="112"/>
        <v>435605.22599270765</v>
      </c>
      <c r="S97" s="175">
        <f t="shared" si="112"/>
        <v>501535.17937461421</v>
      </c>
      <c r="T97" s="175">
        <f t="shared" si="112"/>
        <v>392980.27030165668</v>
      </c>
      <c r="U97" s="175">
        <f t="shared" si="112"/>
        <v>155095.07037571393</v>
      </c>
      <c r="V97" s="175">
        <f t="shared" si="112"/>
        <v>484005.80665856402</v>
      </c>
      <c r="W97" s="175">
        <f t="shared" si="112"/>
        <v>354218.52244889707</v>
      </c>
      <c r="X97" s="175">
        <f t="shared" si="112"/>
        <v>540158.6141581228</v>
      </c>
      <c r="Y97" s="175">
        <f t="shared" si="112"/>
        <v>92307.243368983356</v>
      </c>
      <c r="Z97" s="196">
        <f t="shared" si="95"/>
        <v>3517792.3553871261</v>
      </c>
      <c r="AA97" s="176">
        <f t="shared" si="100"/>
        <v>-20884792.625810578</v>
      </c>
      <c r="AB97" s="176">
        <f>'Collections and ACP'!K117</f>
        <v>1401106.3387114073</v>
      </c>
      <c r="AC97" s="176">
        <f t="shared" si="96"/>
        <v>-19483686.287099171</v>
      </c>
      <c r="AD97" s="176">
        <f t="shared" si="97"/>
        <v>4516806.9308612905</v>
      </c>
      <c r="AE97" s="18">
        <f t="shared" si="98"/>
        <v>-24000493.217960462</v>
      </c>
      <c r="AF97" s="19"/>
    </row>
    <row r="98" spans="1:34" x14ac:dyDescent="0.35">
      <c r="A98" s="174" t="s">
        <v>31</v>
      </c>
      <c r="B98" s="17">
        <f t="shared" si="109"/>
        <v>0</v>
      </c>
      <c r="C98" s="17">
        <f t="shared" si="109"/>
        <v>0</v>
      </c>
      <c r="D98" s="17">
        <f t="shared" si="109"/>
        <v>334919.08670208178</v>
      </c>
      <c r="E98" s="17">
        <f t="shared" si="109"/>
        <v>5500.3264674087804</v>
      </c>
      <c r="F98" s="17">
        <f t="shared" si="109"/>
        <v>0</v>
      </c>
      <c r="G98" s="17">
        <f t="shared" si="109"/>
        <v>0</v>
      </c>
      <c r="H98" s="17"/>
      <c r="I98" s="17">
        <v>69108.876913154963</v>
      </c>
      <c r="J98" s="17">
        <f t="shared" si="90"/>
        <v>30924.116586624797</v>
      </c>
      <c r="K98" s="17">
        <f t="shared" si="90"/>
        <v>135123.23552327708</v>
      </c>
      <c r="L98" s="17">
        <f t="shared" si="90"/>
        <v>34116.204854147458</v>
      </c>
      <c r="M98" s="17">
        <f t="shared" si="91"/>
        <v>86517.943816618557</v>
      </c>
      <c r="N98" s="17"/>
      <c r="O98" s="17">
        <f t="shared" si="92"/>
        <v>250205.22285633616</v>
      </c>
      <c r="P98" s="17">
        <f t="shared" si="93"/>
        <v>946415.01371964964</v>
      </c>
      <c r="Q98" s="175">
        <f t="shared" ref="Q98:Y98" si="113">$B$83*Q17</f>
        <v>269705.48289977584</v>
      </c>
      <c r="R98" s="175">
        <f t="shared" si="113"/>
        <v>390497.5266128353</v>
      </c>
      <c r="S98" s="175">
        <f t="shared" si="113"/>
        <v>547516.38978549512</v>
      </c>
      <c r="T98" s="175">
        <f t="shared" si="113"/>
        <v>405268.78372235701</v>
      </c>
      <c r="U98" s="175">
        <f t="shared" si="113"/>
        <v>148891.26756068537</v>
      </c>
      <c r="V98" s="175">
        <f t="shared" si="113"/>
        <v>433886.14068092819</v>
      </c>
      <c r="W98" s="175">
        <f t="shared" si="113"/>
        <v>221406.87698135807</v>
      </c>
      <c r="X98" s="175">
        <f t="shared" si="113"/>
        <v>532604.29462777835</v>
      </c>
      <c r="Y98" s="175">
        <f t="shared" si="113"/>
        <v>99835.333457223649</v>
      </c>
      <c r="Z98" s="196">
        <f t="shared" si="95"/>
        <v>3049612.0963284364</v>
      </c>
      <c r="AA98" s="176">
        <f t="shared" si="100"/>
        <v>-24000493.217960462</v>
      </c>
      <c r="AB98" s="176">
        <f>'Collections and ACP'!K118</f>
        <v>1401560.3120471651</v>
      </c>
      <c r="AC98" s="176">
        <f t="shared" si="96"/>
        <v>-22598932.905913297</v>
      </c>
      <c r="AD98" s="176">
        <f t="shared" si="97"/>
        <v>3996027.1100480859</v>
      </c>
      <c r="AE98" s="18">
        <f t="shared" si="98"/>
        <v>-26594960.015961383</v>
      </c>
      <c r="AF98" s="19"/>
    </row>
    <row r="99" spans="1:34" x14ac:dyDescent="0.35">
      <c r="A99" s="174" t="s">
        <v>32</v>
      </c>
      <c r="B99" s="17">
        <f t="shared" si="109"/>
        <v>0</v>
      </c>
      <c r="C99" s="17">
        <f t="shared" si="109"/>
        <v>0</v>
      </c>
      <c r="D99" s="17">
        <f t="shared" si="109"/>
        <v>334459.95511403593</v>
      </c>
      <c r="E99" s="17">
        <f t="shared" si="109"/>
        <v>5495.4224450407964</v>
      </c>
      <c r="F99" s="17">
        <f t="shared" si="109"/>
        <v>0</v>
      </c>
      <c r="G99" s="17">
        <f t="shared" si="109"/>
        <v>0</v>
      </c>
      <c r="H99" s="17"/>
      <c r="I99" s="17">
        <v>69108.876913154963</v>
      </c>
      <c r="J99" s="17">
        <f t="shared" si="90"/>
        <v>-11040.354322614983</v>
      </c>
      <c r="K99" s="17">
        <f t="shared" si="90"/>
        <v>115609.69290170481</v>
      </c>
      <c r="L99" s="17">
        <f t="shared" si="90"/>
        <v>32687.241822205164</v>
      </c>
      <c r="M99" s="17">
        <f t="shared" si="91"/>
        <v>86964.799098689313</v>
      </c>
      <c r="N99" s="17"/>
      <c r="O99" s="17">
        <f t="shared" si="92"/>
        <v>250205.22285633616</v>
      </c>
      <c r="P99" s="17">
        <f t="shared" si="93"/>
        <v>883490.85682855221</v>
      </c>
      <c r="Q99" s="175">
        <f t="shared" ref="Q99:Y99" si="114">$B$83*Q18</f>
        <v>258917.26358378481</v>
      </c>
      <c r="R99" s="175">
        <f t="shared" si="114"/>
        <v>348732.10689372261</v>
      </c>
      <c r="S99" s="175">
        <f t="shared" si="114"/>
        <v>568053.47326428944</v>
      </c>
      <c r="T99" s="175">
        <f t="shared" si="114"/>
        <v>416925.71798506571</v>
      </c>
      <c r="U99" s="175">
        <f t="shared" si="114"/>
        <v>133473.31080383059</v>
      </c>
      <c r="V99" s="175">
        <f t="shared" si="114"/>
        <v>387480.11877080292</v>
      </c>
      <c r="W99" s="175">
        <f t="shared" si="114"/>
        <v>116107.03114025792</v>
      </c>
      <c r="X99" s="175">
        <f t="shared" si="114"/>
        <v>522066.64255005948</v>
      </c>
      <c r="Y99" s="175">
        <f t="shared" si="114"/>
        <v>107049.02582422871</v>
      </c>
      <c r="Z99" s="196">
        <f t="shared" si="95"/>
        <v>2858804.6908160425</v>
      </c>
      <c r="AA99" s="176">
        <f t="shared" si="100"/>
        <v>-26594960.015961383</v>
      </c>
      <c r="AB99" s="176">
        <f>'Collections and ACP'!K119</f>
        <v>1402537.6583068424</v>
      </c>
      <c r="AC99" s="176">
        <f t="shared" si="96"/>
        <v>-25192422.357654542</v>
      </c>
      <c r="AD99" s="176">
        <f t="shared" si="97"/>
        <v>3742295.5476445947</v>
      </c>
      <c r="AE99" s="18">
        <f t="shared" si="98"/>
        <v>-28934717.905299135</v>
      </c>
      <c r="AF99" s="19"/>
    </row>
    <row r="100" spans="1:34" x14ac:dyDescent="0.35">
      <c r="A100" s="174" t="s">
        <v>33</v>
      </c>
      <c r="B100" s="17">
        <f t="shared" si="109"/>
        <v>0</v>
      </c>
      <c r="C100" s="17">
        <f t="shared" si="109"/>
        <v>0</v>
      </c>
      <c r="D100" s="17">
        <f t="shared" si="109"/>
        <v>334002.91524165322</v>
      </c>
      <c r="E100" s="17">
        <f t="shared" si="109"/>
        <v>5490.1881517786414</v>
      </c>
      <c r="F100" s="17">
        <f t="shared" si="109"/>
        <v>0</v>
      </c>
      <c r="G100" s="17">
        <f t="shared" si="109"/>
        <v>0</v>
      </c>
      <c r="H100" s="17"/>
      <c r="I100" s="17">
        <v>57733.748208491743</v>
      </c>
      <c r="J100" s="17">
        <f t="shared" si="90"/>
        <v>-52619.118863504431</v>
      </c>
      <c r="K100" s="17">
        <f t="shared" si="90"/>
        <v>96460.186186307692</v>
      </c>
      <c r="L100" s="17">
        <f t="shared" si="90"/>
        <v>31283.223801254659</v>
      </c>
      <c r="M100" s="17">
        <f t="shared" si="91"/>
        <v>87292.653210694887</v>
      </c>
      <c r="N100" s="17"/>
      <c r="O100" s="17">
        <f t="shared" si="92"/>
        <v>250205.22285633616</v>
      </c>
      <c r="P100" s="17">
        <f t="shared" si="93"/>
        <v>809849.01879301248</v>
      </c>
      <c r="Q100" s="175">
        <f t="shared" ref="Q100:Y100" si="115">$B$83*Q19</f>
        <v>248560.5730404334</v>
      </c>
      <c r="R100" s="175">
        <f t="shared" si="115"/>
        <v>308637.30396337446</v>
      </c>
      <c r="S100" s="175">
        <f t="shared" si="115"/>
        <v>587556.88470858103</v>
      </c>
      <c r="T100" s="175">
        <f t="shared" si="115"/>
        <v>427977.03644920804</v>
      </c>
      <c r="U100" s="175">
        <f t="shared" si="115"/>
        <v>119197.75598694041</v>
      </c>
      <c r="V100" s="175">
        <f t="shared" si="115"/>
        <v>342930.33773708274</v>
      </c>
      <c r="W100" s="175">
        <f t="shared" si="115"/>
        <v>-46506.987073286567</v>
      </c>
      <c r="X100" s="175">
        <f t="shared" si="115"/>
        <v>483225.57616558851</v>
      </c>
      <c r="Y100" s="175">
        <f t="shared" si="115"/>
        <v>112547.42754005078</v>
      </c>
      <c r="Z100" s="196">
        <f t="shared" si="95"/>
        <v>2584125.9085179726</v>
      </c>
      <c r="AA100" s="176">
        <f t="shared" si="100"/>
        <v>-28934717.905299135</v>
      </c>
      <c r="AB100" s="176">
        <f>'Collections and ACP'!K120</f>
        <v>1403443.746156201</v>
      </c>
      <c r="AC100" s="176">
        <f t="shared" si="96"/>
        <v>-27531274.159142934</v>
      </c>
      <c r="AD100" s="176">
        <f t="shared" si="97"/>
        <v>3393974.927310985</v>
      </c>
      <c r="AE100" s="18">
        <f t="shared" si="98"/>
        <v>-30925249.086453918</v>
      </c>
      <c r="AF100" s="19"/>
    </row>
    <row r="101" spans="1:34" x14ac:dyDescent="0.35">
      <c r="A101" s="174" t="s">
        <v>34</v>
      </c>
      <c r="B101" s="17">
        <f t="shared" si="109"/>
        <v>0</v>
      </c>
      <c r="C101" s="17">
        <f t="shared" si="109"/>
        <v>0</v>
      </c>
      <c r="D101" s="17">
        <f t="shared" si="109"/>
        <v>333546.48086590978</v>
      </c>
      <c r="E101" s="17">
        <f t="shared" si="109"/>
        <v>5485.2841294106574</v>
      </c>
      <c r="F101" s="17">
        <f t="shared" si="109"/>
        <v>0</v>
      </c>
      <c r="G101" s="17">
        <f t="shared" si="109"/>
        <v>0</v>
      </c>
      <c r="H101" s="17"/>
      <c r="I101" s="17">
        <v>19405.540851985119</v>
      </c>
      <c r="J101" s="17">
        <f t="shared" si="90"/>
        <v>-93213.967342615841</v>
      </c>
      <c r="K101" s="17">
        <f t="shared" si="90"/>
        <v>77936.560210121068</v>
      </c>
      <c r="L101" s="17">
        <f t="shared" si="90"/>
        <v>29921.639008347578</v>
      </c>
      <c r="M101" s="17">
        <f t="shared" si="91"/>
        <v>87682.767303270288</v>
      </c>
      <c r="N101" s="17"/>
      <c r="O101" s="17">
        <f t="shared" si="92"/>
        <v>250205.22285633616</v>
      </c>
      <c r="P101" s="17">
        <f t="shared" si="93"/>
        <v>710969.52788276481</v>
      </c>
      <c r="Q101" s="175">
        <f t="shared" ref="Q101:Y101" si="116">$B$83*Q20</f>
        <v>238618.15011881609</v>
      </c>
      <c r="R101" s="175">
        <f t="shared" si="116"/>
        <v>270146.29315024015</v>
      </c>
      <c r="S101" s="175">
        <f t="shared" si="116"/>
        <v>606069.03194322658</v>
      </c>
      <c r="T101" s="175">
        <f t="shared" si="116"/>
        <v>438447.66043886665</v>
      </c>
      <c r="U101" s="175">
        <f t="shared" si="116"/>
        <v>105493.22336272582</v>
      </c>
      <c r="V101" s="175">
        <f t="shared" si="116"/>
        <v>300162.54794471129</v>
      </c>
      <c r="W101" s="175">
        <f t="shared" si="116"/>
        <v>-216837.028283672</v>
      </c>
      <c r="X101" s="175">
        <f t="shared" si="116"/>
        <v>434197.43666657555</v>
      </c>
      <c r="Y101" s="175">
        <f t="shared" si="116"/>
        <v>117314.57823895504</v>
      </c>
      <c r="Z101" s="196">
        <f t="shared" si="95"/>
        <v>2293611.8935804456</v>
      </c>
      <c r="AA101" s="176">
        <f t="shared" si="100"/>
        <v>-30925249.086453918</v>
      </c>
      <c r="AB101" s="176">
        <f>'Collections and ACP'!K121</f>
        <v>1404281.1481969259</v>
      </c>
      <c r="AC101" s="176">
        <f t="shared" si="96"/>
        <v>-29520967.938256994</v>
      </c>
      <c r="AD101" s="176">
        <f t="shared" si="97"/>
        <v>3004581.4214632101</v>
      </c>
      <c r="AE101" s="18">
        <f t="shared" si="98"/>
        <v>-32525549.359720204</v>
      </c>
      <c r="AF101" s="19"/>
    </row>
    <row r="102" spans="1:34" x14ac:dyDescent="0.35">
      <c r="A102" s="174" t="s">
        <v>35</v>
      </c>
      <c r="B102" s="17">
        <f t="shared" si="109"/>
        <v>0</v>
      </c>
      <c r="C102" s="17">
        <f t="shared" si="109"/>
        <v>0</v>
      </c>
      <c r="D102" s="17">
        <f t="shared" si="109"/>
        <v>333095.73615693406</v>
      </c>
      <c r="E102" s="17">
        <f t="shared" si="109"/>
        <v>5480.3801070426734</v>
      </c>
      <c r="F102" s="17">
        <f t="shared" si="109"/>
        <v>0</v>
      </c>
      <c r="G102" s="17">
        <f t="shared" si="109"/>
        <v>0</v>
      </c>
      <c r="H102" s="17"/>
      <c r="I102" s="17"/>
      <c r="J102" s="17">
        <f t="shared" si="90"/>
        <v>-133802.9690991395</v>
      </c>
      <c r="K102" s="17">
        <f t="shared" si="90"/>
        <v>59598.344420776812</v>
      </c>
      <c r="L102" s="17">
        <f t="shared" si="90"/>
        <v>28573.060690783957</v>
      </c>
      <c r="M102" s="17">
        <f t="shared" si="91"/>
        <v>87870.56684117805</v>
      </c>
      <c r="N102" s="17"/>
      <c r="O102" s="17">
        <f t="shared" si="92"/>
        <v>250205.22285633616</v>
      </c>
      <c r="P102" s="17">
        <f t="shared" si="93"/>
        <v>631020.3419739122</v>
      </c>
      <c r="Q102" s="175">
        <f t="shared" ref="Q102:Y102" si="117">$B$83*Q21</f>
        <v>229073.42411406344</v>
      </c>
      <c r="R102" s="175">
        <f t="shared" si="117"/>
        <v>233194.92276963126</v>
      </c>
      <c r="S102" s="175">
        <f t="shared" si="117"/>
        <v>623630.62117537134</v>
      </c>
      <c r="T102" s="175">
        <f t="shared" si="117"/>
        <v>448361.51094170089</v>
      </c>
      <c r="U102" s="175">
        <f t="shared" si="117"/>
        <v>92336.872043479802</v>
      </c>
      <c r="V102" s="175">
        <f t="shared" si="117"/>
        <v>259105.46974403478</v>
      </c>
      <c r="W102" s="175">
        <f t="shared" si="117"/>
        <v>-401195.64698744903</v>
      </c>
      <c r="X102" s="175">
        <f t="shared" si="117"/>
        <v>376467.2562092623</v>
      </c>
      <c r="Y102" s="175">
        <f t="shared" si="117"/>
        <v>121438.18965547079</v>
      </c>
      <c r="Z102" s="196">
        <f t="shared" si="95"/>
        <v>1982412.6196655652</v>
      </c>
      <c r="AA102" s="176">
        <f t="shared" si="100"/>
        <v>-32525549.359720204</v>
      </c>
      <c r="AB102" s="176">
        <f>'Collections and ACP'!K122</f>
        <v>1405053.8283316598</v>
      </c>
      <c r="AC102" s="176">
        <f t="shared" si="96"/>
        <v>-31120495.531388544</v>
      </c>
      <c r="AD102" s="176">
        <f t="shared" si="97"/>
        <v>2613432.9616394774</v>
      </c>
      <c r="AE102" s="18">
        <f t="shared" si="98"/>
        <v>-33733928.493028022</v>
      </c>
      <c r="AF102" s="19"/>
    </row>
    <row r="103" spans="1:34" x14ac:dyDescent="0.35">
      <c r="A103" s="174" t="s">
        <v>36</v>
      </c>
      <c r="B103" s="17">
        <f t="shared" si="109"/>
        <v>0</v>
      </c>
      <c r="C103" s="17">
        <f t="shared" si="109"/>
        <v>0</v>
      </c>
      <c r="D103" s="17">
        <f t="shared" si="109"/>
        <v>332644.9964520628</v>
      </c>
      <c r="E103" s="17">
        <f t="shared" si="109"/>
        <v>5475.8063555688595</v>
      </c>
      <c r="F103" s="17">
        <f t="shared" si="109"/>
        <v>0</v>
      </c>
      <c r="G103" s="17">
        <f t="shared" si="109"/>
        <v>0</v>
      </c>
      <c r="H103" s="17"/>
      <c r="I103" s="17"/>
      <c r="J103" s="17">
        <f t="shared" si="90"/>
        <v>-172907.59430212423</v>
      </c>
      <c r="K103" s="17">
        <f t="shared" si="90"/>
        <v>42094.674511203513</v>
      </c>
      <c r="L103" s="17">
        <f t="shared" si="90"/>
        <v>27280.848301528815</v>
      </c>
      <c r="M103" s="17">
        <f t="shared" si="91"/>
        <v>88286.171750419977</v>
      </c>
      <c r="N103" s="17"/>
      <c r="O103" s="17">
        <f t="shared" si="92"/>
        <v>250205.22285633616</v>
      </c>
      <c r="P103" s="17">
        <f t="shared" si="93"/>
        <v>573080.12592499587</v>
      </c>
      <c r="Q103" s="175">
        <f t="shared" ref="Q103:Y103" si="118">$B$83*Q22</f>
        <v>219910.4871495009</v>
      </c>
      <c r="R103" s="175">
        <f t="shared" si="118"/>
        <v>197721.60720424674</v>
      </c>
      <c r="S103" s="175">
        <f t="shared" si="118"/>
        <v>640280.72508568107</v>
      </c>
      <c r="T103" s="175">
        <f t="shared" si="118"/>
        <v>457741.54863982007</v>
      </c>
      <c r="U103" s="175">
        <f t="shared" si="118"/>
        <v>79706.774777003666</v>
      </c>
      <c r="V103" s="175">
        <f t="shared" si="118"/>
        <v>219690.67467138535</v>
      </c>
      <c r="W103" s="175">
        <f t="shared" si="118"/>
        <v>-600397.93826536951</v>
      </c>
      <c r="X103" s="175">
        <f t="shared" si="118"/>
        <v>308312.43226247811</v>
      </c>
      <c r="Y103" s="175">
        <f t="shared" si="118"/>
        <v>124822.89823596703</v>
      </c>
      <c r="Z103" s="196">
        <f t="shared" si="95"/>
        <v>1647789.2097607134</v>
      </c>
      <c r="AA103" s="176">
        <f t="shared" si="100"/>
        <v>-33733928.493028022</v>
      </c>
      <c r="AB103" s="176">
        <f>'Collections and ACP'!K123</f>
        <v>1405763.6634163791</v>
      </c>
      <c r="AC103" s="176">
        <f t="shared" si="96"/>
        <v>-32328164.829611644</v>
      </c>
      <c r="AD103" s="176">
        <f t="shared" si="97"/>
        <v>2220869.3356857095</v>
      </c>
      <c r="AE103" s="18">
        <f t="shared" si="98"/>
        <v>-34549034.165297352</v>
      </c>
      <c r="AF103" s="19"/>
    </row>
    <row r="104" spans="1:34" x14ac:dyDescent="0.35">
      <c r="A104" s="174" t="s">
        <v>37</v>
      </c>
      <c r="B104" s="17">
        <f t="shared" si="109"/>
        <v>0</v>
      </c>
      <c r="C104" s="17">
        <f t="shared" si="109"/>
        <v>0</v>
      </c>
      <c r="D104" s="17">
        <f t="shared" si="109"/>
        <v>324728.00279044261</v>
      </c>
      <c r="E104" s="17">
        <f t="shared" si="109"/>
        <v>5470.5720623067054</v>
      </c>
      <c r="F104" s="17">
        <f t="shared" si="109"/>
        <v>0</v>
      </c>
      <c r="G104" s="17">
        <f t="shared" si="109"/>
        <v>0</v>
      </c>
      <c r="H104" s="17"/>
      <c r="I104" s="17"/>
      <c r="J104" s="17">
        <f t="shared" si="90"/>
        <v>-210419.45303719834</v>
      </c>
      <c r="K104" s="17">
        <f t="shared" si="90"/>
        <v>25461.850037519052</v>
      </c>
      <c r="L104" s="17">
        <f t="shared" si="90"/>
        <v>26047.423577920516</v>
      </c>
      <c r="M104" s="17">
        <f t="shared" si="91"/>
        <v>88623.884531529911</v>
      </c>
      <c r="N104" s="17"/>
      <c r="O104" s="17">
        <f t="shared" si="92"/>
        <v>250205.22285633616</v>
      </c>
      <c r="P104" s="17">
        <f t="shared" si="93"/>
        <v>510117.50281885662</v>
      </c>
      <c r="Q104" s="175">
        <f t="shared" ref="Q104:Y104" si="119">$B$83*Q23</f>
        <v>211114.06766352087</v>
      </c>
      <c r="R104" s="175">
        <f t="shared" si="119"/>
        <v>163667.22426147759</v>
      </c>
      <c r="S104" s="175">
        <f t="shared" si="119"/>
        <v>656056.84819579171</v>
      </c>
      <c r="T104" s="175">
        <f t="shared" si="119"/>
        <v>466609.81233933533</v>
      </c>
      <c r="U104" s="175">
        <f t="shared" si="119"/>
        <v>67581.881401186562</v>
      </c>
      <c r="V104" s="175">
        <f t="shared" si="119"/>
        <v>181852.47140164179</v>
      </c>
      <c r="W104" s="175">
        <f t="shared" si="119"/>
        <v>-807535.46789453633</v>
      </c>
      <c r="X104" s="175">
        <f t="shared" si="119"/>
        <v>233291.32678008123</v>
      </c>
      <c r="Y104" s="175">
        <f t="shared" si="119"/>
        <v>127677.66896565449</v>
      </c>
      <c r="Z104" s="196">
        <f t="shared" si="95"/>
        <v>1300315.8331141532</v>
      </c>
      <c r="AA104" s="176">
        <f t="shared" si="100"/>
        <v>-34549034.165297352</v>
      </c>
      <c r="AB104" s="176">
        <f>'Collections and ACP'!K124</f>
        <v>1406413.2693841213</v>
      </c>
      <c r="AC104" s="176">
        <f t="shared" si="96"/>
        <v>-33142620.895913232</v>
      </c>
      <c r="AD104" s="176">
        <f t="shared" si="97"/>
        <v>1810433.3359330099</v>
      </c>
      <c r="AE104" s="18">
        <f t="shared" si="98"/>
        <v>-34953054.231846243</v>
      </c>
      <c r="AF104" s="19"/>
    </row>
    <row r="105" spans="1:34" x14ac:dyDescent="0.35">
      <c r="A105" s="174" t="s">
        <v>38</v>
      </c>
      <c r="B105" s="17">
        <f t="shared" ref="B105:G108" si="120">B24*$B$83</f>
        <v>0</v>
      </c>
      <c r="C105" s="17">
        <f t="shared" si="120"/>
        <v>0</v>
      </c>
      <c r="D105" s="17">
        <f t="shared" si="120"/>
        <v>324281.75677137391</v>
      </c>
      <c r="E105" s="17">
        <f t="shared" si="120"/>
        <v>5465.6680399387205</v>
      </c>
      <c r="F105" s="17">
        <f t="shared" si="120"/>
        <v>0</v>
      </c>
      <c r="G105" s="17">
        <f t="shared" si="120"/>
        <v>0</v>
      </c>
      <c r="H105" s="17"/>
      <c r="I105" s="20"/>
      <c r="J105" s="17">
        <f t="shared" si="90"/>
        <v>-249066.70163760777</v>
      </c>
      <c r="K105" s="17">
        <f t="shared" si="90"/>
        <v>8499.7233862408921</v>
      </c>
      <c r="L105" s="17">
        <f t="shared" si="90"/>
        <v>24792.613042516306</v>
      </c>
      <c r="M105" s="17">
        <f t="shared" si="91"/>
        <v>89027.155242579771</v>
      </c>
      <c r="N105" s="17"/>
      <c r="O105" s="17">
        <f t="shared" si="92"/>
        <v>250205.22285633616</v>
      </c>
      <c r="P105" s="17">
        <f t="shared" si="93"/>
        <v>453205.43770137802</v>
      </c>
      <c r="Q105" s="175">
        <f t="shared" ref="Q105:Y105" si="121">$B$83*Q24</f>
        <v>202669.50495698003</v>
      </c>
      <c r="R105" s="175">
        <f t="shared" si="121"/>
        <v>157120.53529101849</v>
      </c>
      <c r="S105" s="175">
        <f t="shared" si="121"/>
        <v>670994.98962093028</v>
      </c>
      <c r="T105" s="175">
        <f t="shared" si="121"/>
        <v>474987.45586264454</v>
      </c>
      <c r="U105" s="175">
        <f t="shared" si="121"/>
        <v>55941.983760402138</v>
      </c>
      <c r="V105" s="175">
        <f t="shared" si="121"/>
        <v>174578.3725455761</v>
      </c>
      <c r="W105" s="175">
        <f t="shared" si="121"/>
        <v>-1021266.5760962927</v>
      </c>
      <c r="X105" s="175">
        <f t="shared" si="121"/>
        <v>152309.2619050279</v>
      </c>
      <c r="Y105" s="175">
        <f t="shared" si="121"/>
        <v>130061.4445212854</v>
      </c>
      <c r="Z105" s="196">
        <f t="shared" si="95"/>
        <v>997396.97236757213</v>
      </c>
      <c r="AA105" s="176">
        <f t="shared" si="100"/>
        <v>-34953054.231846243</v>
      </c>
      <c r="AB105" s="176">
        <f>'Collections and ACP'!K125</f>
        <v>1407005.4105150374</v>
      </c>
      <c r="AC105" s="176">
        <f t="shared" si="96"/>
        <v>-33546048.821331207</v>
      </c>
      <c r="AD105" s="176">
        <f>P105+Z105</f>
        <v>1450602.4100689502</v>
      </c>
      <c r="AE105" s="18">
        <f>AC105-AD105</f>
        <v>-34996651.231400155</v>
      </c>
      <c r="AF105" s="19"/>
    </row>
    <row r="106" spans="1:34" x14ac:dyDescent="0.35">
      <c r="A106" s="174" t="s">
        <v>39</v>
      </c>
      <c r="B106" s="17">
        <f t="shared" si="120"/>
        <v>0</v>
      </c>
      <c r="C106" s="17">
        <f t="shared" si="120"/>
        <v>0</v>
      </c>
      <c r="D106" s="17">
        <f t="shared" si="120"/>
        <v>277679.20751625445</v>
      </c>
      <c r="E106" s="17">
        <f t="shared" si="120"/>
        <v>5461.0892843604497</v>
      </c>
      <c r="F106" s="17">
        <f t="shared" si="120"/>
        <v>0</v>
      </c>
      <c r="G106" s="17">
        <f t="shared" si="120"/>
        <v>0</v>
      </c>
      <c r="H106" s="17"/>
      <c r="I106" s="20"/>
      <c r="J106" s="17">
        <f t="shared" si="90"/>
        <v>-286991.40773056378</v>
      </c>
      <c r="K106" s="17">
        <f t="shared" si="90"/>
        <v>-7980.251313991238</v>
      </c>
      <c r="L106" s="17">
        <f t="shared" si="90"/>
        <v>23570.619139552255</v>
      </c>
      <c r="M106" s="17">
        <f t="shared" si="91"/>
        <v>89304.719657535548</v>
      </c>
      <c r="N106" s="17"/>
      <c r="O106" s="17">
        <f t="shared" si="92"/>
        <v>250205.22285633616</v>
      </c>
      <c r="P106" s="17">
        <f t="shared" si="93"/>
        <v>351249.19940948387</v>
      </c>
      <c r="Q106" s="175">
        <f t="shared" ref="Q106:Y106" si="122">$B$83*Q25</f>
        <v>0</v>
      </c>
      <c r="R106" s="175">
        <f t="shared" si="122"/>
        <v>130865.13243808385</v>
      </c>
      <c r="S106" s="175">
        <f t="shared" si="122"/>
        <v>685129.7033122984</v>
      </c>
      <c r="T106" s="175">
        <f t="shared" si="122"/>
        <v>472612.5185833312</v>
      </c>
      <c r="U106" s="175">
        <f t="shared" si="122"/>
        <v>53704.304409986056</v>
      </c>
      <c r="V106" s="175">
        <f t="shared" si="122"/>
        <v>145405.70270898205</v>
      </c>
      <c r="W106" s="175">
        <f t="shared" si="122"/>
        <v>-1322881.7486246566</v>
      </c>
      <c r="X106" s="175">
        <f t="shared" si="122"/>
        <v>58935.961013206957</v>
      </c>
      <c r="Y106" s="175">
        <f t="shared" si="122"/>
        <v>131598.29462630776</v>
      </c>
      <c r="Z106" s="196">
        <f t="shared" si="95"/>
        <v>355369.86846753961</v>
      </c>
      <c r="AA106" s="176">
        <f t="shared" si="100"/>
        <v>-34996651.231400155</v>
      </c>
      <c r="AB106" s="176">
        <f>'Collections and ACP'!K126</f>
        <v>1407542.7546521276</v>
      </c>
      <c r="AC106" s="176">
        <f>AA106+AB106</f>
        <v>-33589108.476748027</v>
      </c>
      <c r="AD106" s="176">
        <f>P106+Z106</f>
        <v>706619.06787702348</v>
      </c>
      <c r="AE106" s="18">
        <f>AC106-AD106</f>
        <v>-34295727.544625051</v>
      </c>
      <c r="AF106" s="19"/>
    </row>
    <row r="107" spans="1:34" x14ac:dyDescent="0.35">
      <c r="A107" s="174" t="s">
        <v>40</v>
      </c>
      <c r="B107" s="17">
        <f t="shared" si="120"/>
        <v>0</v>
      </c>
      <c r="C107" s="17">
        <f t="shared" si="120"/>
        <v>0</v>
      </c>
      <c r="D107" s="17">
        <f t="shared" si="120"/>
        <v>259239.64805554613</v>
      </c>
      <c r="E107" s="17">
        <f t="shared" si="120"/>
        <v>5455.8599952027525</v>
      </c>
      <c r="F107" s="17">
        <f t="shared" si="120"/>
        <v>0</v>
      </c>
      <c r="G107" s="17">
        <f t="shared" si="120"/>
        <v>0</v>
      </c>
      <c r="H107" s="17"/>
      <c r="I107" s="20"/>
      <c r="J107" s="17">
        <f t="shared" si="90"/>
        <v>-326270.76903726609</v>
      </c>
      <c r="K107" s="17">
        <f t="shared" si="90"/>
        <v>-140706.49907838707</v>
      </c>
      <c r="L107" s="17">
        <f t="shared" si="90"/>
        <v>-9399.2577861193731</v>
      </c>
      <c r="M107" s="17">
        <f t="shared" si="91"/>
        <v>89587.44353205114</v>
      </c>
      <c r="N107" s="17"/>
      <c r="O107" s="17">
        <f t="shared" si="92"/>
        <v>250205.22285633616</v>
      </c>
      <c r="P107" s="17">
        <f t="shared" si="93"/>
        <v>128111.64853736365</v>
      </c>
      <c r="Q107" s="175">
        <f t="shared" ref="Q107:Y107" si="123">$B$83*Q26</f>
        <v>0</v>
      </c>
      <c r="R107" s="175">
        <f t="shared" si="123"/>
        <v>106769.42244600516</v>
      </c>
      <c r="S107" s="175">
        <f t="shared" si="123"/>
        <v>681704.05479573668</v>
      </c>
      <c r="T107" s="175">
        <f t="shared" si="123"/>
        <v>470249.45599041448</v>
      </c>
      <c r="U107" s="175">
        <f t="shared" si="123"/>
        <v>44730.123252767065</v>
      </c>
      <c r="V107" s="175">
        <f t="shared" si="123"/>
        <v>118632.69160667241</v>
      </c>
      <c r="W107" s="175">
        <f t="shared" si="123"/>
        <v>-1498032.0733188766</v>
      </c>
      <c r="X107" s="175">
        <f t="shared" si="123"/>
        <v>-42114.184666233006</v>
      </c>
      <c r="Y107" s="175">
        <f t="shared" si="123"/>
        <v>132567.13915927018</v>
      </c>
      <c r="Z107" s="196">
        <f t="shared" si="95"/>
        <v>14506.629265756565</v>
      </c>
      <c r="AA107" s="176">
        <f t="shared" ref="AA107:AA108" si="124">AE106</f>
        <v>-34295727.544625051</v>
      </c>
      <c r="AB107" s="176">
        <f>'Collections and ACP'!K127</f>
        <v>1408025.8004604876</v>
      </c>
      <c r="AC107" s="176">
        <f>AA107+AB107</f>
        <v>-32887701.744164564</v>
      </c>
      <c r="AD107" s="176">
        <f>P107+Z107</f>
        <v>142618.2778031202</v>
      </c>
      <c r="AE107" s="18">
        <f>AC107-AD107</f>
        <v>-33030320.021967683</v>
      </c>
      <c r="AF107" s="175"/>
      <c r="AG107" s="175"/>
      <c r="AH107" s="181"/>
    </row>
    <row r="108" spans="1:34" x14ac:dyDescent="0.35">
      <c r="A108" s="174" t="s">
        <v>165</v>
      </c>
      <c r="B108" s="17">
        <f t="shared" si="120"/>
        <v>0</v>
      </c>
      <c r="C108" s="17">
        <f t="shared" si="120"/>
        <v>0</v>
      </c>
      <c r="D108" s="17">
        <f t="shared" si="120"/>
        <v>185174.23826471658</v>
      </c>
      <c r="E108" s="17">
        <f t="shared" si="120"/>
        <v>5167.9938822020804</v>
      </c>
      <c r="F108" s="17">
        <f t="shared" si="120"/>
        <v>0</v>
      </c>
      <c r="G108" s="17">
        <f t="shared" si="120"/>
        <v>0</v>
      </c>
      <c r="H108" s="17"/>
      <c r="I108" s="20"/>
      <c r="J108" s="17">
        <f t="shared" si="90"/>
        <v>0</v>
      </c>
      <c r="K108" s="17">
        <f t="shared" si="90"/>
        <v>0</v>
      </c>
      <c r="L108" s="17">
        <f t="shared" si="90"/>
        <v>0</v>
      </c>
      <c r="M108" s="17">
        <f t="shared" si="91"/>
        <v>89587.44353205114</v>
      </c>
      <c r="N108" s="17"/>
      <c r="O108" s="17">
        <f t="shared" si="92"/>
        <v>250205.22285633616</v>
      </c>
      <c r="P108" s="17">
        <f t="shared" si="93"/>
        <v>530134.89853530598</v>
      </c>
      <c r="Q108" s="175">
        <f t="shared" ref="Q108:Y108" si="125">$B$83*Q27</f>
        <v>0</v>
      </c>
      <c r="R108" s="175">
        <f t="shared" si="125"/>
        <v>0</v>
      </c>
      <c r="S108" s="175">
        <f t="shared" si="125"/>
        <v>0</v>
      </c>
      <c r="T108" s="175">
        <f t="shared" si="125"/>
        <v>0</v>
      </c>
      <c r="U108" s="175">
        <f t="shared" si="125"/>
        <v>0</v>
      </c>
      <c r="V108" s="175">
        <f t="shared" si="125"/>
        <v>0</v>
      </c>
      <c r="W108" s="175">
        <f t="shared" si="125"/>
        <v>-1762818.2576189293</v>
      </c>
      <c r="X108" s="175">
        <f t="shared" si="125"/>
        <v>-930478.38486333296</v>
      </c>
      <c r="Y108" s="175">
        <f t="shared" si="125"/>
        <v>-55851.636840442407</v>
      </c>
      <c r="Z108" s="196">
        <f t="shared" si="95"/>
        <v>-2749148.2793227043</v>
      </c>
      <c r="AA108" s="176">
        <f t="shared" si="124"/>
        <v>-33030320.021967683</v>
      </c>
      <c r="AB108" s="176">
        <f>'Collections and ACP'!K127</f>
        <v>1408025.8004604876</v>
      </c>
      <c r="AC108" s="176">
        <f>AA108+AB108</f>
        <v>-31622294.221507195</v>
      </c>
      <c r="AD108" s="176">
        <f>P108+Z108</f>
        <v>-2219013.3807873982</v>
      </c>
      <c r="AE108" s="18">
        <f>AC108-AD108</f>
        <v>-29403280.840719797</v>
      </c>
      <c r="AF108" s="175"/>
      <c r="AG108" s="175">
        <f>AE108-AF108</f>
        <v>-29403280.840719797</v>
      </c>
      <c r="AH108" s="181">
        <v>2556726062.8057499</v>
      </c>
    </row>
  </sheetData>
  <printOptions horizontalCentered="1" verticalCentered="1"/>
  <pageMargins left="0.25" right="0.25" top="0.75" bottom="0.75" header="0.3" footer="0.3"/>
  <pageSetup scale="21" orientation="landscape" r:id="rId1"/>
  <headerFooter>
    <oddHeader>&amp;C&amp;A</oddHeader>
  </headerFooter>
  <customProperties>
    <customPr name="GU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FF027-ED16-483C-9250-E109D7860407}">
  <dimension ref="B1:AA175"/>
  <sheetViews>
    <sheetView topLeftCell="A16" zoomScale="90" zoomScaleNormal="90" workbookViewId="0">
      <selection activeCell="H105" sqref="H105"/>
    </sheetView>
  </sheetViews>
  <sheetFormatPr defaultRowHeight="14.5" x14ac:dyDescent="0.35"/>
  <cols>
    <col min="1" max="1" width="4.453125" customWidth="1"/>
    <col min="2" max="2" width="10.54296875" bestFit="1" customWidth="1"/>
    <col min="3" max="3" width="13.453125" bestFit="1" customWidth="1"/>
    <col min="4" max="4" width="14.453125" bestFit="1" customWidth="1"/>
    <col min="5" max="5" width="13.54296875" customWidth="1"/>
    <col min="6" max="6" width="15" bestFit="1" customWidth="1"/>
    <col min="7" max="7" width="17.54296875" bestFit="1" customWidth="1"/>
    <col min="8" max="8" width="14.453125" bestFit="1" customWidth="1"/>
    <col min="9" max="9" width="13.54296875" bestFit="1" customWidth="1"/>
    <col min="10" max="10" width="14.54296875" bestFit="1" customWidth="1"/>
    <col min="11" max="12" width="13.453125" bestFit="1" customWidth="1"/>
    <col min="13" max="13" width="14.54296875" bestFit="1" customWidth="1"/>
    <col min="14" max="14" width="16.08984375" bestFit="1" customWidth="1"/>
    <col min="15" max="15" width="16.08984375" customWidth="1"/>
    <col min="16" max="17" width="15.54296875" bestFit="1" customWidth="1"/>
    <col min="18" max="18" width="22.453125" bestFit="1" customWidth="1"/>
    <col min="19" max="19" width="16.08984375" bestFit="1" customWidth="1"/>
    <col min="20" max="20" width="14.54296875" bestFit="1" customWidth="1"/>
    <col min="21" max="21" width="14.453125" bestFit="1" customWidth="1"/>
    <col min="22" max="22" width="14.54296875" bestFit="1" customWidth="1"/>
    <col min="23" max="23" width="13.453125" bestFit="1" customWidth="1"/>
    <col min="24" max="24" width="16.08984375" bestFit="1" customWidth="1"/>
    <col min="25" max="25" width="13.90625" bestFit="1" customWidth="1"/>
    <col min="26" max="26" width="12.54296875" bestFit="1" customWidth="1"/>
    <col min="27" max="27" width="42.90625" bestFit="1" customWidth="1"/>
  </cols>
  <sheetData>
    <row r="1" spans="2:27" ht="15" thickBot="1" x14ac:dyDescent="0.4">
      <c r="B1" s="1" t="s">
        <v>0</v>
      </c>
    </row>
    <row r="2" spans="2:27" ht="15" thickBot="1" x14ac:dyDescent="0.4">
      <c r="B2" s="309"/>
      <c r="C2" s="310"/>
      <c r="D2" s="310"/>
      <c r="E2" s="311"/>
      <c r="F2" s="312"/>
      <c r="G2" s="310"/>
      <c r="H2" s="313"/>
      <c r="I2" s="314"/>
      <c r="J2" s="315"/>
      <c r="K2" s="314"/>
      <c r="L2" s="81"/>
      <c r="M2" s="241"/>
      <c r="N2" s="242"/>
      <c r="O2" s="242"/>
      <c r="P2" s="241"/>
      <c r="Q2" s="241"/>
      <c r="R2" s="241"/>
      <c r="S2" s="241"/>
    </row>
    <row r="3" spans="2:27" ht="63.65" customHeight="1" thickBot="1" x14ac:dyDescent="0.4">
      <c r="B3" s="82" t="s">
        <v>1</v>
      </c>
      <c r="C3" s="83" t="s">
        <v>255</v>
      </c>
      <c r="D3" s="83" t="s">
        <v>256</v>
      </c>
      <c r="E3" s="84" t="s">
        <v>174</v>
      </c>
      <c r="F3" s="84" t="s">
        <v>94</v>
      </c>
      <c r="G3" s="84" t="s">
        <v>95</v>
      </c>
      <c r="H3" s="84" t="s">
        <v>96</v>
      </c>
      <c r="I3" s="84" t="s">
        <v>97</v>
      </c>
      <c r="J3" s="84" t="s">
        <v>98</v>
      </c>
      <c r="K3" s="84" t="s">
        <v>99</v>
      </c>
      <c r="L3" s="84" t="s">
        <v>100</v>
      </c>
      <c r="M3" s="84" t="s">
        <v>101</v>
      </c>
      <c r="N3" s="202" t="s">
        <v>102</v>
      </c>
      <c r="O3" s="202" t="s">
        <v>257</v>
      </c>
      <c r="P3" s="84" t="s">
        <v>258</v>
      </c>
      <c r="Q3" s="84" t="s">
        <v>259</v>
      </c>
      <c r="R3" s="84" t="s">
        <v>260</v>
      </c>
      <c r="S3" s="84" t="s">
        <v>251</v>
      </c>
      <c r="U3" s="86" t="s">
        <v>1</v>
      </c>
      <c r="V3" s="85" t="s">
        <v>207</v>
      </c>
      <c r="W3" s="85" t="s">
        <v>261</v>
      </c>
      <c r="X3" s="85" t="s">
        <v>94</v>
      </c>
      <c r="Y3" s="85" t="s">
        <v>262</v>
      </c>
      <c r="Z3" s="85" t="s">
        <v>263</v>
      </c>
      <c r="AA3" s="85" t="s">
        <v>264</v>
      </c>
    </row>
    <row r="4" spans="2:27" ht="15" thickBot="1" x14ac:dyDescent="0.4">
      <c r="B4" s="87" t="s">
        <v>17</v>
      </c>
      <c r="C4" s="88">
        <f>SUM('ABP Under Contract'!K4:P4)</f>
        <v>216627600</v>
      </c>
      <c r="D4" s="88">
        <f>'REC Spend projected'!H4+'REC Spend projected'!I4+'REC Spend projected'!J4+'REC Spend projected'!K4+'REC Spend projected'!L4</f>
        <v>36245650.070711426</v>
      </c>
      <c r="E4" s="89"/>
      <c r="F4" s="88"/>
      <c r="G4" s="88"/>
      <c r="H4" s="88"/>
      <c r="I4" s="88"/>
      <c r="J4" s="88"/>
      <c r="K4" s="88"/>
      <c r="L4" s="88"/>
      <c r="M4" s="88"/>
      <c r="N4" s="88"/>
      <c r="O4" s="88">
        <f>SUM(G4:N4)</f>
        <v>0</v>
      </c>
      <c r="P4" s="88">
        <f>'REC Spend projected'!M4+'REC Spend projected'!N4+'REC Spend projected'!N4+'REC Spend projected'!O4</f>
        <v>18018880.058405567</v>
      </c>
      <c r="Q4" s="88">
        <f>C4+D4+E4+F4+O4+P4</f>
        <v>270892130.12911701</v>
      </c>
      <c r="R4" s="88">
        <f>'REC Spend projected'!AA4</f>
        <v>293790554.98094952</v>
      </c>
      <c r="S4" s="88">
        <f>'REC Spend projected'!AE4</f>
        <v>248134425.58190209</v>
      </c>
      <c r="T4" s="91"/>
      <c r="U4" s="87" t="s">
        <v>17</v>
      </c>
      <c r="V4" s="222">
        <f>SUM(C4:D4)</f>
        <v>252873250.07071143</v>
      </c>
      <c r="W4" s="222">
        <f>E4</f>
        <v>0</v>
      </c>
      <c r="X4" s="222">
        <f>F4</f>
        <v>0</v>
      </c>
      <c r="Y4" s="222">
        <f>SUM(G4:N4)</f>
        <v>0</v>
      </c>
      <c r="Z4" s="222">
        <f t="shared" ref="Z4" si="0">P4</f>
        <v>18018880.058405567</v>
      </c>
      <c r="AA4" s="222">
        <f t="shared" ref="AA4:AA26" si="1">R4</f>
        <v>293790554.98094952</v>
      </c>
    </row>
    <row r="5" spans="2:27" ht="15" thickBot="1" x14ac:dyDescent="0.4">
      <c r="B5" s="87" t="s">
        <v>18</v>
      </c>
      <c r="C5" s="88">
        <f>SUM('ABP Under Contract'!K5:P5)</f>
        <v>206948195</v>
      </c>
      <c r="D5" s="88">
        <f>'REC Spend projected'!H5+'REC Spend projected'!I5+'REC Spend projected'!J5+'REC Spend projected'!K5+'REC Spend projected'!L5</f>
        <v>43402846.540514499</v>
      </c>
      <c r="E5" s="89"/>
      <c r="F5" s="88"/>
      <c r="G5" s="88"/>
      <c r="H5" s="88"/>
      <c r="I5" s="88"/>
      <c r="J5" s="88"/>
      <c r="K5" s="88"/>
      <c r="L5" s="88"/>
      <c r="M5" s="88"/>
      <c r="N5" s="88"/>
      <c r="O5" s="88">
        <f t="shared" ref="O5:O26" si="2">SUM(G5:N5)</f>
        <v>0</v>
      </c>
      <c r="P5" s="88">
        <f>'REC Spend projected'!M5+'REC Spend projected'!N5+'REC Spend projected'!N5+'REC Spend projected'!O5</f>
        <v>83942135.092404008</v>
      </c>
      <c r="Q5" s="88">
        <f t="shared" ref="Q5:Q26" si="3">C5+D5+E5+F5+O5+P5</f>
        <v>334293176.63291848</v>
      </c>
      <c r="R5" s="88">
        <f>'REC Spend projected'!AA5</f>
        <v>248134425.58190209</v>
      </c>
      <c r="S5" s="88">
        <f>'REC Spend projected'!AE5</f>
        <v>388579085.36245072</v>
      </c>
      <c r="T5" s="91"/>
      <c r="U5" s="87" t="s">
        <v>18</v>
      </c>
      <c r="V5" s="222">
        <f t="shared" ref="V5:V26" si="4">SUM(C5:D5)</f>
        <v>250351041.5405145</v>
      </c>
      <c r="W5" s="222">
        <f t="shared" ref="W5:W26" si="5">E5</f>
        <v>0</v>
      </c>
      <c r="X5" s="222">
        <f t="shared" ref="X5:X26" si="6">F5</f>
        <v>0</v>
      </c>
      <c r="Y5" s="222">
        <f t="shared" ref="Y5:Y26" si="7">SUM(G5:N5)</f>
        <v>0</v>
      </c>
      <c r="Z5" s="222">
        <f t="shared" ref="Z5:Z26" si="8">P5</f>
        <v>83942135.092404008</v>
      </c>
      <c r="AA5" s="222">
        <f t="shared" si="1"/>
        <v>248134425.58190209</v>
      </c>
    </row>
    <row r="6" spans="2:27" ht="15" thickBot="1" x14ac:dyDescent="0.4">
      <c r="B6" s="87" t="s">
        <v>19</v>
      </c>
      <c r="C6" s="88">
        <f>SUM('ABP Under Contract'!K6:P6)</f>
        <v>254564402</v>
      </c>
      <c r="D6" s="88">
        <f>'REC Spend projected'!H6+'REC Spend projected'!I6+'REC Spend projected'!J6+'REC Spend projected'!K6+'REC Spend projected'!L6</f>
        <v>45037755.807743326</v>
      </c>
      <c r="E6" s="89"/>
      <c r="F6" s="88"/>
      <c r="G6" s="88">
        <f>'REC Spend projected'!Q6+'REC Spend projected'!R6+'REC Spend projected'!S6+'REC Spend projected'!T6+'REC Spend projected'!U6+'REC Spend projected'!V6</f>
        <v>0</v>
      </c>
      <c r="H6" s="88"/>
      <c r="I6" s="88"/>
      <c r="J6" s="88"/>
      <c r="K6" s="88"/>
      <c r="L6" s="88"/>
      <c r="M6" s="88"/>
      <c r="N6" s="88"/>
      <c r="O6" s="88">
        <f t="shared" si="2"/>
        <v>0</v>
      </c>
      <c r="P6" s="88">
        <f>'REC Spend projected'!M6+'REC Spend projected'!N6+'REC Spend projected'!N6+'REC Spend projected'!O6</f>
        <v>67623889.800951704</v>
      </c>
      <c r="Q6" s="88">
        <f t="shared" si="3"/>
        <v>367226047.60869503</v>
      </c>
      <c r="R6" s="88">
        <f>'REC Spend projected'!AA6</f>
        <v>388579085.36245072</v>
      </c>
      <c r="S6" s="88">
        <f>'REC Spend projected'!AE6</f>
        <v>608816031.11881268</v>
      </c>
      <c r="T6" s="91"/>
      <c r="U6" s="87" t="s">
        <v>19</v>
      </c>
      <c r="V6" s="222">
        <f t="shared" si="4"/>
        <v>299602157.80774331</v>
      </c>
      <c r="W6" s="222">
        <f t="shared" si="5"/>
        <v>0</v>
      </c>
      <c r="X6" s="222">
        <f t="shared" si="6"/>
        <v>0</v>
      </c>
      <c r="Y6" s="222">
        <f t="shared" si="7"/>
        <v>0</v>
      </c>
      <c r="Z6" s="222">
        <f t="shared" si="8"/>
        <v>67623889.800951704</v>
      </c>
      <c r="AA6" s="222">
        <f t="shared" si="1"/>
        <v>388579085.36245072</v>
      </c>
    </row>
    <row r="7" spans="2:27" ht="15" thickBot="1" x14ac:dyDescent="0.4">
      <c r="B7" s="87" t="s">
        <v>20</v>
      </c>
      <c r="C7" s="88">
        <f>SUM('ABP Under Contract'!K7:P7)</f>
        <v>464525422</v>
      </c>
      <c r="D7" s="88">
        <f>'REC Spend projected'!H7+'REC Spend projected'!I7+'REC Spend projected'!J7+'REC Spend projected'!K7+'REC Spend projected'!L7</f>
        <v>40315921.562919624</v>
      </c>
      <c r="E7" s="89"/>
      <c r="F7" s="88"/>
      <c r="G7" s="88"/>
      <c r="H7" s="94"/>
      <c r="I7" s="94"/>
      <c r="J7" s="94"/>
      <c r="K7" s="94"/>
      <c r="L7" s="94"/>
      <c r="M7" s="88"/>
      <c r="N7" s="88"/>
      <c r="O7" s="88">
        <f t="shared" si="2"/>
        <v>0</v>
      </c>
      <c r="P7" s="88">
        <f>'REC Spend projected'!M7+'REC Spend projected'!N7+'REC Spend projected'!N7+'REC Spend projected'!O7</f>
        <v>67306655.768471599</v>
      </c>
      <c r="Q7" s="88">
        <f t="shared" si="3"/>
        <v>572147999.33139122</v>
      </c>
      <c r="R7" s="88">
        <f>'REC Spend projected'!AA7</f>
        <v>608816031.11881268</v>
      </c>
      <c r="S7" s="88">
        <f>'REC Spend projected'!AE7</f>
        <v>614495633.40314114</v>
      </c>
      <c r="T7" s="91"/>
      <c r="U7" s="87" t="s">
        <v>20</v>
      </c>
      <c r="V7" s="222">
        <f t="shared" si="4"/>
        <v>504841343.56291962</v>
      </c>
      <c r="W7" s="222">
        <f t="shared" si="5"/>
        <v>0</v>
      </c>
      <c r="X7" s="222">
        <f t="shared" si="6"/>
        <v>0</v>
      </c>
      <c r="Y7" s="222">
        <f t="shared" si="7"/>
        <v>0</v>
      </c>
      <c r="Z7" s="222">
        <f t="shared" si="8"/>
        <v>67306655.768471599</v>
      </c>
      <c r="AA7" s="222">
        <f t="shared" si="1"/>
        <v>608816031.11881268</v>
      </c>
    </row>
    <row r="8" spans="2:27" ht="15" thickBot="1" x14ac:dyDescent="0.4">
      <c r="B8" s="87" t="s">
        <v>22</v>
      </c>
      <c r="C8" s="88">
        <f>SUM('ABP Under Contract'!K8:P8)</f>
        <v>254748763</v>
      </c>
      <c r="D8" s="88">
        <f>'REC Spend projected'!H8+'REC Spend projected'!I8+'REC Spend projected'!J8+'REC Spend projected'!K8+'REC Spend projected'!L8</f>
        <v>44431496.130029619</v>
      </c>
      <c r="E8" s="89">
        <f>'Projected ABP Spend'!C186</f>
        <v>0</v>
      </c>
      <c r="F8" s="88"/>
      <c r="G8" s="88"/>
      <c r="H8" s="88"/>
      <c r="I8" s="88"/>
      <c r="J8" s="88"/>
      <c r="K8" s="88"/>
      <c r="L8" s="88"/>
      <c r="M8" s="88"/>
      <c r="N8" s="88"/>
      <c r="O8" s="88">
        <f t="shared" si="2"/>
        <v>0</v>
      </c>
      <c r="P8" s="88">
        <f>'REC Spend projected'!M8+'REC Spend projected'!N8+'REC Spend projected'!N8+'REC Spend projected'!O8</f>
        <v>87208829.557390258</v>
      </c>
      <c r="Q8" s="88">
        <f t="shared" si="3"/>
        <v>386389088.68741989</v>
      </c>
      <c r="R8" s="88">
        <f>'REC Spend projected'!AA8</f>
        <v>614495633.40314114</v>
      </c>
      <c r="S8" s="88">
        <f>'REC Spend projected'!AE8</f>
        <v>573025601.04308116</v>
      </c>
      <c r="T8" s="91"/>
      <c r="U8" s="87" t="s">
        <v>22</v>
      </c>
      <c r="V8" s="222">
        <f t="shared" si="4"/>
        <v>299180259.13002962</v>
      </c>
      <c r="W8" s="222">
        <f>E8</f>
        <v>0</v>
      </c>
      <c r="X8" s="222">
        <f t="shared" si="6"/>
        <v>0</v>
      </c>
      <c r="Y8" s="222">
        <f t="shared" si="7"/>
        <v>0</v>
      </c>
      <c r="Z8" s="222">
        <f t="shared" si="8"/>
        <v>87208829.557390258</v>
      </c>
      <c r="AA8" s="222">
        <f t="shared" si="1"/>
        <v>614495633.40314114</v>
      </c>
    </row>
    <row r="9" spans="2:27" ht="15" thickBot="1" x14ac:dyDescent="0.4">
      <c r="B9" s="87" t="s">
        <v>23</v>
      </c>
      <c r="C9" s="88">
        <f>SUM('ABP Under Contract'!K9:P9)</f>
        <v>185088819</v>
      </c>
      <c r="D9" s="88">
        <f>'REC Spend projected'!H9+'REC Spend projected'!I9+'REC Spend projected'!J9+'REC Spend projected'!K9+'REC Spend projected'!L9</f>
        <v>58499170.430814177</v>
      </c>
      <c r="E9" s="89">
        <f>'Projected ABP Spend'!C187</f>
        <v>197605304.35144299</v>
      </c>
      <c r="F9" s="88">
        <f>'Projected ABP Spend'!C186</f>
        <v>0</v>
      </c>
      <c r="G9" s="88"/>
      <c r="H9" s="94"/>
      <c r="I9" s="94"/>
      <c r="J9" s="94"/>
      <c r="K9" s="94"/>
      <c r="L9" s="94"/>
      <c r="M9" s="88"/>
      <c r="N9" s="88"/>
      <c r="O9" s="88">
        <f t="shared" si="2"/>
        <v>0</v>
      </c>
      <c r="P9" s="88">
        <f>'REC Spend projected'!M9+'REC Spend projected'!N9+'REC Spend projected'!N9+'REC Spend projected'!O9</f>
        <v>66997493.390597343</v>
      </c>
      <c r="Q9" s="88">
        <f t="shared" si="3"/>
        <v>508190787.17285454</v>
      </c>
      <c r="R9" s="88">
        <f>'REC Spend projected'!AA9</f>
        <v>573025601.04308116</v>
      </c>
      <c r="S9" s="88">
        <f>'REC Spend projected'!AE9</f>
        <v>553811234.50097823</v>
      </c>
      <c r="T9" s="91"/>
      <c r="U9" s="87" t="s">
        <v>23</v>
      </c>
      <c r="V9" s="222">
        <f t="shared" si="4"/>
        <v>243587989.43081418</v>
      </c>
      <c r="W9" s="222">
        <f t="shared" si="5"/>
        <v>197605304.35144299</v>
      </c>
      <c r="X9" s="222">
        <f t="shared" si="6"/>
        <v>0</v>
      </c>
      <c r="Y9" s="222">
        <f t="shared" si="7"/>
        <v>0</v>
      </c>
      <c r="Z9" s="222">
        <f t="shared" si="8"/>
        <v>66997493.390597343</v>
      </c>
      <c r="AA9" s="222">
        <f t="shared" si="1"/>
        <v>573025601.04308116</v>
      </c>
    </row>
    <row r="10" spans="2:27" ht="15" thickBot="1" x14ac:dyDescent="0.4">
      <c r="B10" s="87" t="s">
        <v>24</v>
      </c>
      <c r="C10" s="88">
        <f>SUM('ABP Under Contract'!K10:P10)</f>
        <v>148772479</v>
      </c>
      <c r="D10" s="88">
        <f>'REC Spend projected'!H10+'REC Spend projected'!I10+'REC Spend projected'!J10+'REC Spend projected'!K10+'REC Spend projected'!L10</f>
        <v>132954124.53963479</v>
      </c>
      <c r="E10" s="89">
        <f>'Projected ABP Spend'!C188</f>
        <v>248633336.93919981</v>
      </c>
      <c r="F10" s="88">
        <f>'Projected ABP Spend'!C187</f>
        <v>197605304.35144299</v>
      </c>
      <c r="G10" s="88"/>
      <c r="H10" s="88"/>
      <c r="I10" s="88"/>
      <c r="J10" s="88"/>
      <c r="K10" s="88"/>
      <c r="L10" s="88"/>
      <c r="M10" s="88"/>
      <c r="N10" s="88"/>
      <c r="O10" s="88">
        <f>SUM(G10:N10)</f>
        <v>0</v>
      </c>
      <c r="P10" s="88">
        <f>'REC Spend projected'!M10+'REC Spend projected'!N10+'REC Spend projected'!N10+'REC Spend projected'!O10</f>
        <v>66888811.399599314</v>
      </c>
      <c r="Q10" s="88">
        <f t="shared" si="3"/>
        <v>794854056.229877</v>
      </c>
      <c r="R10" s="88">
        <f>'REC Spend projected'!AA10</f>
        <v>553811234.50097823</v>
      </c>
      <c r="S10" s="88">
        <f>'REC Spend projected'!AE10</f>
        <v>444379869.69813943</v>
      </c>
      <c r="T10" s="91"/>
      <c r="U10" s="87" t="s">
        <v>24</v>
      </c>
      <c r="V10" s="222">
        <f t="shared" si="4"/>
        <v>281726603.53963482</v>
      </c>
      <c r="W10" s="222">
        <f>E10</f>
        <v>248633336.93919981</v>
      </c>
      <c r="X10" s="222">
        <f t="shared" si="6"/>
        <v>197605304.35144299</v>
      </c>
      <c r="Y10" s="222">
        <f t="shared" si="7"/>
        <v>0</v>
      </c>
      <c r="Z10" s="222">
        <f t="shared" si="8"/>
        <v>66888811.399599314</v>
      </c>
      <c r="AA10" s="222">
        <f t="shared" si="1"/>
        <v>553811234.50097823</v>
      </c>
    </row>
    <row r="11" spans="2:27" ht="15" thickBot="1" x14ac:dyDescent="0.4">
      <c r="B11" s="87" t="s">
        <v>25</v>
      </c>
      <c r="C11" s="88">
        <f>SUM('ABP Under Contract'!K11:P11)</f>
        <v>139118178</v>
      </c>
      <c r="D11" s="88">
        <f>'REC Spend projected'!H11+'REC Spend projected'!I11+'REC Spend projected'!J11+'REC Spend projected'!K11+'REC Spend projected'!L11</f>
        <v>133798657.58403413</v>
      </c>
      <c r="E11" s="89">
        <f>'Projected ABP Spend'!C189+'Indexed REC Spend'!H102</f>
        <v>184646499.09719396</v>
      </c>
      <c r="F11" s="88">
        <f>'Projected ABP Spend'!C188+'Indexed REC Spend'!H102</f>
        <v>318184100.83815616</v>
      </c>
      <c r="G11" s="88">
        <f>'Projected ABP Spend'!D188+'Indexed REC Spend'!I102</f>
        <v>55325287.636249989</v>
      </c>
      <c r="H11" s="88">
        <f>'Projected ABP Spend'!E188+'Indexed REC Spend'!J102</f>
        <v>0</v>
      </c>
      <c r="I11" s="88">
        <f>'Projected ABP Spend'!F188+'Indexed REC Spend'!K102</f>
        <v>0</v>
      </c>
      <c r="J11" s="88">
        <f>'Projected ABP Spend'!G188+'Indexed REC Spend'!L102</f>
        <v>0</v>
      </c>
      <c r="K11" s="88">
        <f>'Projected ABP Spend'!H188+'Indexed REC Spend'!M102</f>
        <v>0</v>
      </c>
      <c r="L11" s="88">
        <f>'Projected ABP Spend'!I188+'Indexed REC Spend'!N102</f>
        <v>0</v>
      </c>
      <c r="M11" s="88">
        <f>'Projected ABP Spend'!J188+'Indexed REC Spend'!O102</f>
        <v>0</v>
      </c>
      <c r="N11" s="88">
        <f>'Projected ABP Spend'!K188+'Indexed REC Spend'!P102</f>
        <v>0</v>
      </c>
      <c r="O11" s="88">
        <f t="shared" si="2"/>
        <v>55325287.636249989</v>
      </c>
      <c r="P11" s="88">
        <f>'REC Spend projected'!M11+'REC Spend projected'!N11+'REC Spend projected'!N11+'REC Spend projected'!O11</f>
        <v>86862404.659270331</v>
      </c>
      <c r="Q11" s="88">
        <f t="shared" si="3"/>
        <v>917935127.81490457</v>
      </c>
      <c r="R11" s="88">
        <f>'REC Spend projected'!AA11</f>
        <v>444379869.69813943</v>
      </c>
      <c r="S11" s="88">
        <f>'REC Spend projected'!AE11</f>
        <v>189781776.41871262</v>
      </c>
      <c r="T11" s="91"/>
      <c r="U11" s="87" t="s">
        <v>25</v>
      </c>
      <c r="V11" s="222">
        <f t="shared" si="4"/>
        <v>272916835.58403414</v>
      </c>
      <c r="W11" s="222">
        <f t="shared" si="5"/>
        <v>184646499.09719396</v>
      </c>
      <c r="X11" s="222">
        <f t="shared" si="6"/>
        <v>318184100.83815616</v>
      </c>
      <c r="Y11" s="222">
        <f t="shared" si="7"/>
        <v>55325287.636249989</v>
      </c>
      <c r="Z11" s="222">
        <f t="shared" si="8"/>
        <v>86862404.659270331</v>
      </c>
      <c r="AA11" s="222">
        <f t="shared" si="1"/>
        <v>444379869.69813943</v>
      </c>
    </row>
    <row r="12" spans="2:27" ht="15" thickBot="1" x14ac:dyDescent="0.4">
      <c r="B12" s="90" t="s">
        <v>26</v>
      </c>
      <c r="C12" s="88">
        <f>SUM('ABP Under Contract'!K12:P12)</f>
        <v>137561072</v>
      </c>
      <c r="D12" s="88">
        <f>'REC Spend projected'!H12+'REC Spend projected'!I12+'REC Spend projected'!J12+'REC Spend projected'!K12+'REC Spend projected'!L12</f>
        <v>116590589.02052811</v>
      </c>
      <c r="E12" s="89">
        <f>'Projected ABP Spend'!C190+'Indexed REC Spend'!H103</f>
        <v>184506367.8893404</v>
      </c>
      <c r="F12" s="88">
        <f>'Projected ABP Spend'!C189+'Indexed REC Spend'!H103</f>
        <v>185008917.90609142</v>
      </c>
      <c r="G12" s="88">
        <f>'Projected ABP Spend'!D189+'Indexed REC Spend'!I103</f>
        <v>293243500.40341485</v>
      </c>
      <c r="H12" s="88">
        <f>'Projected ABP Spend'!E189+'Indexed REC Spend'!J103</f>
        <v>0</v>
      </c>
      <c r="I12" s="88">
        <f>'Projected ABP Spend'!F189+'Indexed REC Spend'!K103</f>
        <v>0</v>
      </c>
      <c r="J12" s="88">
        <f>'Projected ABP Spend'!G189+'Indexed REC Spend'!L103</f>
        <v>0</v>
      </c>
      <c r="K12" s="88">
        <f>'Projected ABP Spend'!H189+'Indexed REC Spend'!M103</f>
        <v>0</v>
      </c>
      <c r="L12" s="88">
        <f>'Projected ABP Spend'!I189+'Indexed REC Spend'!N103</f>
        <v>0</v>
      </c>
      <c r="M12" s="88">
        <f>'Projected ABP Spend'!J189+'Indexed REC Spend'!O103</f>
        <v>0</v>
      </c>
      <c r="N12" s="88">
        <f>'Projected ABP Spend'!K189+'Indexed REC Spend'!P103</f>
        <v>0</v>
      </c>
      <c r="O12" s="88">
        <f t="shared" si="2"/>
        <v>293243500.40341485</v>
      </c>
      <c r="P12" s="88">
        <f>'REC Spend projected'!M12+'REC Spend projected'!N12+'REC Spend projected'!N12+'REC Spend projected'!O12</f>
        <v>66906426.967615873</v>
      </c>
      <c r="Q12" s="88">
        <f t="shared" si="3"/>
        <v>983816874.18699062</v>
      </c>
      <c r="R12" s="88">
        <f>'REC Spend projected'!AA12</f>
        <v>189781776.41871262</v>
      </c>
      <c r="S12" s="88">
        <f>'REC Spend projected'!AE12</f>
        <v>-135408384.30818617</v>
      </c>
      <c r="T12" s="91"/>
      <c r="U12" s="90" t="s">
        <v>26</v>
      </c>
      <c r="V12" s="222">
        <f t="shared" si="4"/>
        <v>254151661.02052811</v>
      </c>
      <c r="W12" s="222">
        <f t="shared" si="5"/>
        <v>184506367.8893404</v>
      </c>
      <c r="X12" s="222">
        <f t="shared" si="6"/>
        <v>185008917.90609142</v>
      </c>
      <c r="Y12" s="222">
        <f t="shared" si="7"/>
        <v>293243500.40341485</v>
      </c>
      <c r="Z12" s="222">
        <f t="shared" si="8"/>
        <v>66906426.967615873</v>
      </c>
      <c r="AA12" s="222">
        <f t="shared" si="1"/>
        <v>189781776.41871262</v>
      </c>
    </row>
    <row r="13" spans="2:27" ht="15" thickBot="1" x14ac:dyDescent="0.4">
      <c r="B13" s="87" t="s">
        <v>27</v>
      </c>
      <c r="C13" s="88">
        <f>SUM('ABP Under Contract'!K13:P13)</f>
        <v>129146127</v>
      </c>
      <c r="D13" s="88">
        <f>'REC Spend projected'!H13+'REC Spend projected'!I13+'REC Spend projected'!J13+'REC Spend projected'!K13+'REC Spend projected'!L13</f>
        <v>96357218.119763315</v>
      </c>
      <c r="E13" s="89">
        <f>'Projected ABP Spend'!C191+'Indexed REC Spend'!H104</f>
        <v>171466126.5554722</v>
      </c>
      <c r="F13" s="88">
        <f>'Projected ABP Spend'!C190+'Indexed REC Spend'!H104</f>
        <v>171676375.1990847</v>
      </c>
      <c r="G13" s="88">
        <f>'Projected ABP Spend'!D190+'Indexed REC Spend'!I104</f>
        <v>323039306.15993679</v>
      </c>
      <c r="H13" s="88">
        <f>'Projected ABP Spend'!E190+'Indexed REC Spend'!J104</f>
        <v>47169711.158500008</v>
      </c>
      <c r="I13" s="88">
        <f>'Projected ABP Spend'!F190+'Indexed REC Spend'!K104</f>
        <v>0</v>
      </c>
      <c r="J13" s="88">
        <f>'Projected ABP Spend'!G190+'Indexed REC Spend'!L104</f>
        <v>0</v>
      </c>
      <c r="K13" s="88">
        <f>'Projected ABP Spend'!H190+'Indexed REC Spend'!M104</f>
        <v>0</v>
      </c>
      <c r="L13" s="88">
        <f>'Projected ABP Spend'!I190+'Indexed REC Spend'!N104</f>
        <v>0</v>
      </c>
      <c r="M13" s="88">
        <f>'Projected ABP Spend'!J190+'Indexed REC Spend'!O104</f>
        <v>0</v>
      </c>
      <c r="N13" s="88">
        <f>'Projected ABP Spend'!K190+'Indexed REC Spend'!P104</f>
        <v>0</v>
      </c>
      <c r="O13" s="88">
        <f t="shared" si="2"/>
        <v>370209017.3184368</v>
      </c>
      <c r="P13" s="88">
        <f>'REC Spend projected'!M13+'REC Spend projected'!N13+'REC Spend projected'!N13+'REC Spend projected'!O13</f>
        <v>66920397.125927687</v>
      </c>
      <c r="Q13" s="88">
        <f t="shared" si="3"/>
        <v>1005775261.3186848</v>
      </c>
      <c r="R13" s="88">
        <f>'REC Spend projected'!AA13</f>
        <v>-135408384.30818617</v>
      </c>
      <c r="S13" s="88">
        <f>'REC Spend projected'!AE13</f>
        <v>-493812848.75269318</v>
      </c>
      <c r="T13" s="91"/>
      <c r="U13" s="87" t="s">
        <v>27</v>
      </c>
      <c r="V13" s="222">
        <f t="shared" si="4"/>
        <v>225503345.11976331</v>
      </c>
      <c r="W13" s="222">
        <f t="shared" si="5"/>
        <v>171466126.5554722</v>
      </c>
      <c r="X13" s="222">
        <f t="shared" si="6"/>
        <v>171676375.1990847</v>
      </c>
      <c r="Y13" s="222">
        <f t="shared" si="7"/>
        <v>370209017.3184368</v>
      </c>
      <c r="Z13" s="222">
        <f t="shared" si="8"/>
        <v>66920397.125927687</v>
      </c>
      <c r="AA13" s="222">
        <f t="shared" si="1"/>
        <v>-135408384.30818617</v>
      </c>
    </row>
    <row r="14" spans="2:27" ht="15" thickBot="1" x14ac:dyDescent="0.4">
      <c r="B14" s="87" t="s">
        <v>28</v>
      </c>
      <c r="C14" s="88">
        <f>SUM('ABP Under Contract'!K14:P14)</f>
        <v>106401277</v>
      </c>
      <c r="D14" s="88">
        <f>'REC Spend projected'!H14+'REC Spend projected'!I14+'REC Spend projected'!J14+'REC Spend projected'!K14+'REC Spend projected'!L14</f>
        <v>93164773.145722955</v>
      </c>
      <c r="E14" s="89">
        <f>'Projected ABP Spend'!C192+'Indexed REC Spend'!H105</f>
        <v>156237491.56497237</v>
      </c>
      <c r="F14" s="88">
        <f>'Projected ABP Spend'!C191+'Indexed REC Spend'!H105</f>
        <v>156446688.96536678</v>
      </c>
      <c r="G14" s="88">
        <f>'Projected ABP Spend'!D191+'Indexed REC Spend'!I105</f>
        <v>179865303.04868191</v>
      </c>
      <c r="H14" s="88">
        <f>'Projected ABP Spend'!E191+'Indexed REC Spend'!J105</f>
        <v>242137101.4994601</v>
      </c>
      <c r="I14" s="88">
        <f>'Projected ABP Spend'!F191+'Indexed REC Spend'!K105</f>
        <v>0</v>
      </c>
      <c r="J14" s="88">
        <f>'Projected ABP Spend'!G191+'Indexed REC Spend'!L105</f>
        <v>0</v>
      </c>
      <c r="K14" s="88">
        <f>'Projected ABP Spend'!H191+'Indexed REC Spend'!M105</f>
        <v>0</v>
      </c>
      <c r="L14" s="88">
        <f>'Projected ABP Spend'!I191+'Indexed REC Spend'!N105</f>
        <v>0</v>
      </c>
      <c r="M14" s="88">
        <f>'Projected ABP Spend'!J191+'Indexed REC Spend'!O105</f>
        <v>0</v>
      </c>
      <c r="N14" s="88">
        <f>'Projected ABP Spend'!K191+'Indexed REC Spend'!P105</f>
        <v>0</v>
      </c>
      <c r="O14" s="88">
        <f t="shared" si="2"/>
        <v>422002404.54814202</v>
      </c>
      <c r="P14" s="88">
        <f>'REC Spend projected'!M14+'REC Spend projected'!N14+'REC Spend projected'!N14+'REC Spend projected'!O14</f>
        <v>87023386.929470733</v>
      </c>
      <c r="Q14" s="88">
        <f t="shared" si="3"/>
        <v>1021276022.1536748</v>
      </c>
      <c r="R14" s="88">
        <f>'REC Spend projected'!AA14</f>
        <v>-493812848.75269318</v>
      </c>
      <c r="S14" s="88">
        <f>'REC Spend projected'!AE14</f>
        <v>-840962286.75132906</v>
      </c>
      <c r="T14" s="91"/>
      <c r="U14" s="87" t="s">
        <v>28</v>
      </c>
      <c r="V14" s="222">
        <f t="shared" si="4"/>
        <v>199566050.14572296</v>
      </c>
      <c r="W14" s="222">
        <f t="shared" si="5"/>
        <v>156237491.56497237</v>
      </c>
      <c r="X14" s="222">
        <f t="shared" si="6"/>
        <v>156446688.96536678</v>
      </c>
      <c r="Y14" s="222">
        <f t="shared" si="7"/>
        <v>422002404.54814202</v>
      </c>
      <c r="Z14" s="222">
        <f t="shared" si="8"/>
        <v>87023386.929470733</v>
      </c>
      <c r="AA14" s="222">
        <f t="shared" si="1"/>
        <v>-493812848.75269318</v>
      </c>
    </row>
    <row r="15" spans="2:27" ht="15" thickBot="1" x14ac:dyDescent="0.4">
      <c r="B15" s="87" t="s">
        <v>29</v>
      </c>
      <c r="C15" s="88">
        <f>SUM('ABP Under Contract'!K15:P15)</f>
        <v>104063810</v>
      </c>
      <c r="D15" s="88">
        <f>'REC Spend projected'!H15+'REC Spend projected'!I15+'REC Spend projected'!J15+'REC Spend projected'!K15+'REC Spend projected'!L15</f>
        <v>86731573.036027268</v>
      </c>
      <c r="E15" s="89">
        <f>'Projected ABP Spend'!C193+'Indexed REC Spend'!H106</f>
        <v>153725696.62341756</v>
      </c>
      <c r="F15" s="88">
        <f>'Projected ABP Spend'!C192+'Indexed REC Spend'!H106</f>
        <v>153933848.03681004</v>
      </c>
      <c r="G15" s="88">
        <f>'Projected ABP Spend'!D192+'Indexed REC Spend'!I106</f>
        <v>176216325.74372995</v>
      </c>
      <c r="H15" s="88">
        <f>'Projected ABP Spend'!E192+'Indexed REC Spend'!J106</f>
        <v>282277870.16182208</v>
      </c>
      <c r="I15" s="88">
        <f>'Projected ABP Spend'!F192+'Indexed REC Spend'!K106</f>
        <v>28672833.404849995</v>
      </c>
      <c r="J15" s="88">
        <f>'Projected ABP Spend'!G192+'Indexed REC Spend'!L106</f>
        <v>0</v>
      </c>
      <c r="K15" s="88">
        <f>'Projected ABP Spend'!H192+'Indexed REC Spend'!M106</f>
        <v>0</v>
      </c>
      <c r="L15" s="88">
        <f>'Projected ABP Spend'!I192+'Indexed REC Spend'!N106</f>
        <v>0</v>
      </c>
      <c r="M15" s="88">
        <f>'Projected ABP Spend'!J192+'Indexed REC Spend'!O106</f>
        <v>0</v>
      </c>
      <c r="N15" s="88">
        <f>'Projected ABP Spend'!K192+'Indexed REC Spend'!P106</f>
        <v>0</v>
      </c>
      <c r="O15" s="88">
        <f t="shared" si="2"/>
        <v>487167029.31040204</v>
      </c>
      <c r="P15" s="88">
        <f>'REC Spend projected'!M15+'REC Spend projected'!N15+'REC Spend projected'!N15+'REC Spend projected'!O15</f>
        <v>67120451.256649822</v>
      </c>
      <c r="Q15" s="88">
        <f t="shared" si="3"/>
        <v>1052742408.2633067</v>
      </c>
      <c r="R15" s="88">
        <f>'REC Spend projected'!AA15</f>
        <v>-840962286.75132906</v>
      </c>
      <c r="S15" s="88">
        <f>'REC Spend projected'!AE15</f>
        <v>-1187245032.4731317</v>
      </c>
      <c r="T15" s="91"/>
      <c r="U15" s="87" t="s">
        <v>29</v>
      </c>
      <c r="V15" s="222">
        <f t="shared" si="4"/>
        <v>190795383.03602725</v>
      </c>
      <c r="W15" s="222">
        <f t="shared" si="5"/>
        <v>153725696.62341756</v>
      </c>
      <c r="X15" s="222">
        <f t="shared" si="6"/>
        <v>153933848.03681004</v>
      </c>
      <c r="Y15" s="222">
        <f t="shared" si="7"/>
        <v>487167029.31040204</v>
      </c>
      <c r="Z15" s="222">
        <f t="shared" si="8"/>
        <v>67120451.256649822</v>
      </c>
      <c r="AA15" s="222">
        <f t="shared" si="1"/>
        <v>-840962286.75132906</v>
      </c>
    </row>
    <row r="16" spans="2:27" ht="15" thickBot="1" x14ac:dyDescent="0.4">
      <c r="B16" s="87" t="s">
        <v>30</v>
      </c>
      <c r="C16" s="88">
        <f>SUM('ABP Under Contract'!K16:P16)</f>
        <v>103790643</v>
      </c>
      <c r="D16" s="88">
        <f>'REC Spend projected'!H16+'REC Spend projected'!I16+'REC Spend projected'!J16+'REC Spend projected'!K16+'REC Spend projected'!L16</f>
        <v>71976918.318333074</v>
      </c>
      <c r="E16" s="89">
        <f>'Projected ABP Spend'!C194+'Indexed REC Spend'!H107</f>
        <v>116923380.87636513</v>
      </c>
      <c r="F16" s="88">
        <f>'Projected ABP Spend'!C193+'Indexed REC Spend'!H107</f>
        <v>148984998.27635789</v>
      </c>
      <c r="G16" s="88">
        <f>'Projected ABP Spend'!D193+'Indexed REC Spend'!I107</f>
        <v>169611589.7105706</v>
      </c>
      <c r="H16" s="88">
        <f>'Projected ABP Spend'!E193+'Indexed REC Spend'!J107</f>
        <v>162420951.80636698</v>
      </c>
      <c r="I16" s="88">
        <f>'Projected ABP Spend'!F193+'Indexed REC Spend'!K107</f>
        <v>206479249.76930034</v>
      </c>
      <c r="J16" s="88">
        <f>'Projected ABP Spend'!G193+'Indexed REC Spend'!L107</f>
        <v>0</v>
      </c>
      <c r="K16" s="88">
        <f>'Projected ABP Spend'!H193+'Indexed REC Spend'!M107</f>
        <v>0</v>
      </c>
      <c r="L16" s="88">
        <f>'Projected ABP Spend'!I193+'Indexed REC Spend'!N107</f>
        <v>0</v>
      </c>
      <c r="M16" s="88">
        <f>'Projected ABP Spend'!J193+'Indexed REC Spend'!O107</f>
        <v>0</v>
      </c>
      <c r="N16" s="88">
        <f>'Projected ABP Spend'!K193+'Indexed REC Spend'!P107</f>
        <v>0</v>
      </c>
      <c r="O16" s="88">
        <f t="shared" si="2"/>
        <v>538511791.28623796</v>
      </c>
      <c r="P16" s="88">
        <f>'REC Spend projected'!M16+'REC Spend projected'!N16+'REC Spend projected'!N16+'REC Spend projected'!O16</f>
        <v>67234402.603198841</v>
      </c>
      <c r="Q16" s="88">
        <f t="shared" si="3"/>
        <v>1047422134.3604929</v>
      </c>
      <c r="R16" s="88">
        <f>'REC Spend projected'!AA16</f>
        <v>-1187245032.4731317</v>
      </c>
      <c r="S16" s="88">
        <f>'REC Spend projected'!AE16</f>
        <v>-1523079228.2956247</v>
      </c>
      <c r="T16" s="91"/>
      <c r="U16" s="87" t="s">
        <v>30</v>
      </c>
      <c r="V16" s="222">
        <f t="shared" si="4"/>
        <v>175767561.31833309</v>
      </c>
      <c r="W16" s="222">
        <f t="shared" si="5"/>
        <v>116923380.87636513</v>
      </c>
      <c r="X16" s="222">
        <f t="shared" si="6"/>
        <v>148984998.27635789</v>
      </c>
      <c r="Y16" s="222">
        <f t="shared" si="7"/>
        <v>538511791.28623796</v>
      </c>
      <c r="Z16" s="222">
        <f t="shared" si="8"/>
        <v>67234402.603198841</v>
      </c>
      <c r="AA16" s="222">
        <f t="shared" si="1"/>
        <v>-1187245032.4731317</v>
      </c>
    </row>
    <row r="17" spans="2:27" ht="15" thickBot="1" x14ac:dyDescent="0.4">
      <c r="B17" s="87" t="s">
        <v>31</v>
      </c>
      <c r="C17" s="88">
        <f>SUM('ABP Under Contract'!K17:P17)</f>
        <v>103518917</v>
      </c>
      <c r="D17" s="88">
        <f>'REC Spend projected'!H17+'REC Spend projected'!I17+'REC Spend projected'!J17+'REC Spend projected'!K17+'REC Spend projected'!L17</f>
        <v>60940970.101122133</v>
      </c>
      <c r="E17" s="89">
        <f>'Projected ABP Spend'!C195+'Indexed REC Spend'!H108</f>
        <v>73141250.444879204</v>
      </c>
      <c r="F17" s="88">
        <f>'Projected ABP Spend'!C194+'Indexed REC Spend'!H108</f>
        <v>109085112.85929269</v>
      </c>
      <c r="G17" s="88">
        <f>'Projected ABP Spend'!D194+'Indexed REC Spend'!I108</f>
        <v>158917408.8780551</v>
      </c>
      <c r="H17" s="88">
        <f>'Projected ABP Spend'!E194+'Indexed REC Spend'!J108</f>
        <v>151450916.13070112</v>
      </c>
      <c r="I17" s="88">
        <f>'Projected ABP Spend'!F194+'Indexed REC Spend'!K108</f>
        <v>233760414.70777029</v>
      </c>
      <c r="J17" s="88">
        <f>'Projected ABP Spend'!G194+'Indexed REC Spend'!L108</f>
        <v>13471658.923999999</v>
      </c>
      <c r="K17" s="88">
        <f>'Projected ABP Spend'!H194+'Indexed REC Spend'!M108</f>
        <v>0</v>
      </c>
      <c r="L17" s="88">
        <f>'Projected ABP Spend'!I194+'Indexed REC Spend'!N108</f>
        <v>0</v>
      </c>
      <c r="M17" s="88">
        <f>'Projected ABP Spend'!J194+'Indexed REC Spend'!O108</f>
        <v>0</v>
      </c>
      <c r="N17" s="88">
        <f>'Projected ABP Spend'!K194+'Indexed REC Spend'!P108</f>
        <v>0</v>
      </c>
      <c r="O17" s="88">
        <f t="shared" si="2"/>
        <v>557600398.64052653</v>
      </c>
      <c r="P17" s="88">
        <f>'REC Spend projected'!M17+'REC Spend projected'!N17+'REC Spend projected'!N17+'REC Spend projected'!O17</f>
        <v>67289396.046359867</v>
      </c>
      <c r="Q17" s="88">
        <f t="shared" si="3"/>
        <v>971576045.09218049</v>
      </c>
      <c r="R17" s="88">
        <f>'REC Spend projected'!AA17</f>
        <v>-1523079228.2956247</v>
      </c>
      <c r="S17" s="88">
        <f>'REC Spend projected'!AE17</f>
        <v>-1752446581.7462397</v>
      </c>
      <c r="T17" s="91"/>
      <c r="U17" s="87" t="s">
        <v>31</v>
      </c>
      <c r="V17" s="222">
        <f t="shared" si="4"/>
        <v>164459887.10112214</v>
      </c>
      <c r="W17" s="222">
        <f t="shared" si="5"/>
        <v>73141250.444879204</v>
      </c>
      <c r="X17" s="222">
        <f t="shared" si="6"/>
        <v>109085112.85929269</v>
      </c>
      <c r="Y17" s="222">
        <f t="shared" si="7"/>
        <v>557600398.64052653</v>
      </c>
      <c r="Z17" s="222">
        <f t="shared" si="8"/>
        <v>67289396.046359867</v>
      </c>
      <c r="AA17" s="222">
        <f t="shared" si="1"/>
        <v>-1523079228.2956247</v>
      </c>
    </row>
    <row r="18" spans="2:27" ht="15" thickBot="1" x14ac:dyDescent="0.4">
      <c r="B18" s="87" t="s">
        <v>32</v>
      </c>
      <c r="C18" s="88">
        <f>SUM('ABP Under Contract'!K18:P18)</f>
        <v>103248780</v>
      </c>
      <c r="D18" s="88">
        <f>'REC Spend projected'!H18+'REC Spend projected'!I18+'REC Spend projected'!J18+'REC Spend projected'!K18+'REC Spend projected'!L18</f>
        <v>48369894.276922695</v>
      </c>
      <c r="E18" s="89">
        <f>'Projected ABP Spend'!C196+'Indexed REC Spend'!H109</f>
        <v>60972972.472418845</v>
      </c>
      <c r="F18" s="88">
        <f>'Projected ABP Spend'!C195+'Indexed REC Spend'!H109</f>
        <v>66129179.603898585</v>
      </c>
      <c r="G18" s="88">
        <f>'Projected ABP Spend'!D195+'Indexed REC Spend'!I109</f>
        <v>149338817.67447212</v>
      </c>
      <c r="H18" s="88">
        <f>'Projected ABP Spend'!E195+'Indexed REC Spend'!J109</f>
        <v>141848294.02088621</v>
      </c>
      <c r="I18" s="88">
        <f>'Projected ABP Spend'!F195+'Indexed REC Spend'!K109</f>
        <v>122659874.76775767</v>
      </c>
      <c r="J18" s="88">
        <f>'Projected ABP Spend'!G195+'Indexed REC Spend'!L109</f>
        <v>165348503.23337969</v>
      </c>
      <c r="K18" s="88">
        <f>'Projected ABP Spend'!H195+'Indexed REC Spend'!M109</f>
        <v>0</v>
      </c>
      <c r="L18" s="88">
        <f>'Projected ABP Spend'!I195+'Indexed REC Spend'!N109</f>
        <v>0</v>
      </c>
      <c r="M18" s="88">
        <f>'Projected ABP Spend'!J195+'Indexed REC Spend'!O109</f>
        <v>0</v>
      </c>
      <c r="N18" s="88">
        <f>'Projected ABP Spend'!K195+'Indexed REC Spend'!P109</f>
        <v>0</v>
      </c>
      <c r="O18" s="88">
        <f t="shared" si="2"/>
        <v>579195489.69649565</v>
      </c>
      <c r="P18" s="88">
        <f>'REC Spend projected'!M18+'REC Spend projected'!N18+'REC Spend projected'!N18+'REC Spend projected'!O18</f>
        <v>67378693.799014568</v>
      </c>
      <c r="Q18" s="88">
        <f t="shared" si="3"/>
        <v>925295009.84875035</v>
      </c>
      <c r="R18" s="88">
        <f>'REC Spend projected'!AA18</f>
        <v>-1752446581.7462397</v>
      </c>
      <c r="S18" s="88">
        <f>'REC Spend projected'!AE18</f>
        <v>-1928132654.0057821</v>
      </c>
      <c r="T18" s="91"/>
      <c r="U18" s="87" t="s">
        <v>32</v>
      </c>
      <c r="V18" s="222">
        <f t="shared" si="4"/>
        <v>151618674.2769227</v>
      </c>
      <c r="W18" s="222">
        <f t="shared" si="5"/>
        <v>60972972.472418845</v>
      </c>
      <c r="X18" s="222">
        <f t="shared" si="6"/>
        <v>66129179.603898585</v>
      </c>
      <c r="Y18" s="222">
        <f t="shared" si="7"/>
        <v>579195489.69649565</v>
      </c>
      <c r="Z18" s="222">
        <f t="shared" si="8"/>
        <v>67378693.799014568</v>
      </c>
      <c r="AA18" s="222">
        <f t="shared" si="1"/>
        <v>-1752446581.7462397</v>
      </c>
    </row>
    <row r="19" spans="2:27" ht="15" thickBot="1" x14ac:dyDescent="0.4">
      <c r="B19" s="87" t="s">
        <v>33</v>
      </c>
      <c r="C19" s="88">
        <f>SUM('ABP Under Contract'!K19:P19)</f>
        <v>102979646</v>
      </c>
      <c r="D19" s="88">
        <f>'REC Spend projected'!H19+'REC Spend projected'!I19+'REC Spend projected'!J19+'REC Spend projected'!K19+'REC Spend projected'!L19</f>
        <v>32506078.82731767</v>
      </c>
      <c r="E19" s="89">
        <f>'Projected ABP Spend'!C197+'Indexed REC Spend'!H110</f>
        <v>51340910.521770552</v>
      </c>
      <c r="F19" s="88">
        <f>'Projected ABP Spend'!C196+'Indexed REC Spend'!H110</f>
        <v>51544930.025661558</v>
      </c>
      <c r="G19" s="88">
        <f>'Projected ABP Spend'!D196+'Indexed REC Spend'!I110</f>
        <v>107228914.11893953</v>
      </c>
      <c r="H19" s="88">
        <f>'Projected ABP Spend'!E196+'Indexed REC Spend'!J110</f>
        <v>129059503.12610967</v>
      </c>
      <c r="I19" s="88">
        <f>'Projected ABP Spend'!F196+'Indexed REC Spend'!K110</f>
        <v>113472870.59637228</v>
      </c>
      <c r="J19" s="88">
        <f>'Projected ABP Spend'!G196+'Indexed REC Spend'!L110</f>
        <v>127515773.68712866</v>
      </c>
      <c r="K19" s="88">
        <f>'Projected ABP Spend'!H196+'Indexed REC Spend'!M110</f>
        <v>8660161.6160000023</v>
      </c>
      <c r="L19" s="88">
        <f>'Projected ABP Spend'!I196+'Indexed REC Spend'!N110</f>
        <v>0</v>
      </c>
      <c r="M19" s="88">
        <f>'Projected ABP Spend'!J196+'Indexed REC Spend'!O110</f>
        <v>0</v>
      </c>
      <c r="N19" s="88">
        <f>'Projected ABP Spend'!K196+'Indexed REC Spend'!P110</f>
        <v>0</v>
      </c>
      <c r="O19" s="88">
        <f t="shared" si="2"/>
        <v>485937223.14455014</v>
      </c>
      <c r="P19" s="88">
        <f>'REC Spend projected'!M19+'REC Spend projected'!N19+'REC Spend projected'!N19+'REC Spend projected'!O19</f>
        <v>67444210.839039311</v>
      </c>
      <c r="Q19" s="88">
        <f t="shared" si="3"/>
        <v>791752999.35833919</v>
      </c>
      <c r="R19" s="88">
        <f>'REC Spend projected'!AA19</f>
        <v>-1928132654.0057821</v>
      </c>
      <c r="S19" s="88">
        <f>'REC Spend projected'!AE19</f>
        <v>-2030853450.3645997</v>
      </c>
      <c r="T19" s="91"/>
      <c r="U19" s="87" t="s">
        <v>33</v>
      </c>
      <c r="V19" s="222">
        <f t="shared" si="4"/>
        <v>135485724.82731766</v>
      </c>
      <c r="W19" s="222">
        <f t="shared" si="5"/>
        <v>51340910.521770552</v>
      </c>
      <c r="X19" s="222">
        <f t="shared" si="6"/>
        <v>51544930.025661558</v>
      </c>
      <c r="Y19" s="222">
        <f t="shared" si="7"/>
        <v>485937223.14455014</v>
      </c>
      <c r="Z19" s="222">
        <f t="shared" si="8"/>
        <v>67444210.839039311</v>
      </c>
      <c r="AA19" s="222">
        <f t="shared" si="1"/>
        <v>-1928132654.0057821</v>
      </c>
    </row>
    <row r="20" spans="2:27" ht="15" thickBot="1" x14ac:dyDescent="0.4">
      <c r="B20" s="87" t="s">
        <v>34</v>
      </c>
      <c r="C20" s="88">
        <f>SUM('ABP Under Contract'!K20:P20)</f>
        <v>102712004</v>
      </c>
      <c r="D20" s="88">
        <f>'REC Spend projected'!H20+'REC Spend projected'!I20+'REC Spend projected'!J20+'REC Spend projected'!K20+'REC Spend projected'!L20</f>
        <v>8806857.5423166361</v>
      </c>
      <c r="E20" s="89">
        <f>'Projected ABP Spend'!C198+'Indexed REC Spend'!H111</f>
        <v>41812903.123117089</v>
      </c>
      <c r="F20" s="88">
        <f>'Projected ABP Spend'!C197+'Indexed REC Spend'!H111</f>
        <v>42015902.529488638</v>
      </c>
      <c r="G20" s="88">
        <f>'Projected ABP Spend'!D197+'Indexed REC Spend'!I111</f>
        <v>61702459.720593058</v>
      </c>
      <c r="H20" s="88">
        <f>'Projected ABP Spend'!E197+'Indexed REC Spend'!J111</f>
        <v>116433841.06969574</v>
      </c>
      <c r="I20" s="88">
        <f>'Projected ABP Spend'!F197+'Indexed REC Spend'!K111</f>
        <v>104627491.64249992</v>
      </c>
      <c r="J20" s="88">
        <f>'Projected ABP Spend'!G197+'Indexed REC Spend'!L111</f>
        <v>74269092.282590553</v>
      </c>
      <c r="K20" s="88">
        <f>'Projected ABP Spend'!H197+'Indexed REC Spend'!M111</f>
        <v>77489900.038256302</v>
      </c>
      <c r="L20" s="88">
        <f>'Projected ABP Spend'!I197+'Indexed REC Spend'!N111</f>
        <v>0</v>
      </c>
      <c r="M20" s="88">
        <f>'Projected ABP Spend'!J197+'Indexed REC Spend'!O111</f>
        <v>0</v>
      </c>
      <c r="N20" s="88">
        <f>'Projected ABP Spend'!K197+'Indexed REC Spend'!P111</f>
        <v>0</v>
      </c>
      <c r="O20" s="88">
        <f t="shared" si="2"/>
        <v>434522784.75363559</v>
      </c>
      <c r="P20" s="88">
        <f>'REC Spend projected'!M20+'REC Spend projected'!N20+'REC Spend projected'!N20+'REC Spend projected'!O20</f>
        <v>67522169.66182524</v>
      </c>
      <c r="Q20" s="88">
        <f t="shared" si="3"/>
        <v>697392621.61038303</v>
      </c>
      <c r="R20" s="88">
        <f>'REC Spend projected'!AA20</f>
        <v>-2030853450.3645997</v>
      </c>
      <c r="S20" s="88">
        <f>'REC Spend projected'!AE20</f>
        <v>-2049207018.8190608</v>
      </c>
      <c r="T20" s="91"/>
      <c r="U20" s="87" t="s">
        <v>34</v>
      </c>
      <c r="V20" s="222">
        <f t="shared" si="4"/>
        <v>111518861.54231663</v>
      </c>
      <c r="W20" s="222">
        <f t="shared" si="5"/>
        <v>41812903.123117089</v>
      </c>
      <c r="X20" s="222">
        <f t="shared" si="6"/>
        <v>42015902.529488638</v>
      </c>
      <c r="Y20" s="222">
        <f t="shared" si="7"/>
        <v>434522784.75363559</v>
      </c>
      <c r="Z20" s="222">
        <f t="shared" si="8"/>
        <v>67522169.66182524</v>
      </c>
      <c r="AA20" s="222">
        <f t="shared" si="1"/>
        <v>-2030853450.3645997</v>
      </c>
    </row>
    <row r="21" spans="2:27" ht="15" thickBot="1" x14ac:dyDescent="0.4">
      <c r="B21" s="87" t="s">
        <v>35</v>
      </c>
      <c r="C21" s="88">
        <f>SUM('ABP Under Contract'!K21:P21)</f>
        <v>102445717</v>
      </c>
      <c r="D21" s="88">
        <f>'REC Spend projected'!H21+'REC Spend projected'!I21+'REC Spend projected'!J21+'REC Spend projected'!K21+'REC Spend projected'!L21</f>
        <v>-9118827.2304330841</v>
      </c>
      <c r="E21" s="89">
        <f>'Projected ABP Spend'!C199+'Indexed REC Spend'!H112</f>
        <v>32521713.352829136</v>
      </c>
      <c r="F21" s="88">
        <f>'Projected ABP Spend'!C198+'Indexed REC Spend'!H112</f>
        <v>32723697.762168825</v>
      </c>
      <c r="G21" s="88">
        <f>'Projected ABP Spend'!D198+'Indexed REC Spend'!I112</f>
        <v>44885885.270639539</v>
      </c>
      <c r="H21" s="88">
        <f>'Projected ABP Spend'!E198+'Indexed REC Spend'!J112</f>
        <v>77091095.067991734</v>
      </c>
      <c r="I21" s="88">
        <f>'Projected ABP Spend'!F198+'Indexed REC Spend'!K112</f>
        <v>96017910.995837137</v>
      </c>
      <c r="J21" s="88">
        <f>'Projected ABP Spend'!G198+'Indexed REC Spend'!L112</f>
        <v>68664102.161526203</v>
      </c>
      <c r="K21" s="88">
        <f>'Projected ABP Spend'!H198+'Indexed REC Spend'!M112</f>
        <v>89043202.260736391</v>
      </c>
      <c r="L21" s="88">
        <f>'Projected ABP Spend'!I198+'Indexed REC Spend'!N112</f>
        <v>3246565.1720000026</v>
      </c>
      <c r="M21" s="88">
        <f>'Projected ABP Spend'!J198+'Indexed REC Spend'!O112</f>
        <v>0</v>
      </c>
      <c r="N21" s="88">
        <f>'Projected ABP Spend'!K198+'Indexed REC Spend'!P112</f>
        <v>0</v>
      </c>
      <c r="O21" s="88">
        <f t="shared" si="2"/>
        <v>378948760.92873102</v>
      </c>
      <c r="P21" s="88">
        <f>'REC Spend projected'!M21+'REC Spend projected'!N21+'REC Spend projected'!N21+'REC Spend projected'!O21</f>
        <v>67559698.762090176</v>
      </c>
      <c r="Q21" s="88">
        <f t="shared" si="3"/>
        <v>605080760.57538605</v>
      </c>
      <c r="R21" s="88">
        <f>'REC Spend projected'!AA21</f>
        <v>-2049207018.8190608</v>
      </c>
      <c r="S21" s="88">
        <f>'REC Spend projected'!AE21</f>
        <v>-1986141602.065618</v>
      </c>
      <c r="T21" s="91"/>
      <c r="U21" s="87" t="s">
        <v>35</v>
      </c>
      <c r="V21" s="222">
        <f t="shared" si="4"/>
        <v>93326889.769566923</v>
      </c>
      <c r="W21" s="222">
        <f t="shared" si="5"/>
        <v>32521713.352829136</v>
      </c>
      <c r="X21" s="222">
        <f t="shared" si="6"/>
        <v>32723697.762168825</v>
      </c>
      <c r="Y21" s="222">
        <f t="shared" si="7"/>
        <v>378948760.92873102</v>
      </c>
      <c r="Z21" s="222">
        <f t="shared" si="8"/>
        <v>67559698.762090176</v>
      </c>
      <c r="AA21" s="222">
        <f t="shared" si="1"/>
        <v>-2049207018.8190608</v>
      </c>
    </row>
    <row r="22" spans="2:27" ht="15" thickBot="1" x14ac:dyDescent="0.4">
      <c r="B22" s="87" t="s">
        <v>36</v>
      </c>
      <c r="C22" s="88">
        <f>SUM('ABP Under Contract'!K22:P22)</f>
        <v>102181018</v>
      </c>
      <c r="D22" s="88">
        <f>'REC Spend projected'!H22+'REC Spend projected'!I22+'REC Spend projected'!J22+'REC Spend projected'!K22+'REC Spend projected'!L22</f>
        <v>-20689430.521767795</v>
      </c>
      <c r="E22" s="89">
        <f>'Projected ABP Spend'!C200+'Indexed REC Spend'!H113</f>
        <v>23249160.842666835</v>
      </c>
      <c r="F22" s="88">
        <f>'Projected ABP Spend'!C199+'Indexed REC Spend'!H113</f>
        <v>23450135.32995984</v>
      </c>
      <c r="G22" s="88">
        <f>'Projected ABP Spend'!D199+'Indexed REC Spend'!I113</f>
        <v>32680593.669304863</v>
      </c>
      <c r="H22" s="88">
        <f>'Projected ABP Spend'!E199+'Indexed REC Spend'!J113</f>
        <v>34498790.611098178</v>
      </c>
      <c r="I22" s="88">
        <f>'Projected ABP Spend'!F199+'Indexed REC Spend'!K113</f>
        <v>87442258.004026905</v>
      </c>
      <c r="J22" s="88">
        <f>'Projected ABP Spend'!G199+'Indexed REC Spend'!L113</f>
        <v>63189246.749260053</v>
      </c>
      <c r="K22" s="88">
        <f>'Projected ABP Spend'!H199+'Indexed REC Spend'!M113</f>
        <v>39268627.694885306</v>
      </c>
      <c r="L22" s="88">
        <f>'Projected ABP Spend'!I199+'Indexed REC Spend'!N113</f>
        <v>61655124.928523712</v>
      </c>
      <c r="M22" s="88">
        <f>'Projected ABP Spend'!J199+'Indexed REC Spend'!O113</f>
        <v>0</v>
      </c>
      <c r="N22" s="88">
        <f>'Projected ABP Spend'!K199+'Indexed REC Spend'!P113</f>
        <v>0</v>
      </c>
      <c r="O22" s="88">
        <f t="shared" si="2"/>
        <v>318734641.65709907</v>
      </c>
      <c r="P22" s="88">
        <f>'REC Spend projected'!M22+'REC Spend projected'!N22+'REC Spend projected'!N22+'REC Spend projected'!O22</f>
        <v>67642751.566603482</v>
      </c>
      <c r="Q22" s="88">
        <f t="shared" si="3"/>
        <v>514568276.87456143</v>
      </c>
      <c r="R22" s="88">
        <f>'REC Spend projected'!AA22</f>
        <v>-1986141602.065618</v>
      </c>
      <c r="S22" s="88">
        <f>'REC Spend projected'!AE22</f>
        <v>-1841859430.8637962</v>
      </c>
      <c r="T22" s="91"/>
      <c r="U22" s="87" t="s">
        <v>36</v>
      </c>
      <c r="V22" s="222">
        <f t="shared" si="4"/>
        <v>81491587.478232205</v>
      </c>
      <c r="W22" s="222">
        <f t="shared" si="5"/>
        <v>23249160.842666835</v>
      </c>
      <c r="X22" s="222">
        <f t="shared" si="6"/>
        <v>23450135.32995984</v>
      </c>
      <c r="Y22" s="222">
        <f t="shared" si="7"/>
        <v>318734641.65709907</v>
      </c>
      <c r="Z22" s="222">
        <f t="shared" si="8"/>
        <v>67642751.566603482</v>
      </c>
      <c r="AA22" s="222">
        <f t="shared" si="1"/>
        <v>-1986141602.065618</v>
      </c>
    </row>
    <row r="23" spans="2:27" ht="15" thickBot="1" x14ac:dyDescent="0.4">
      <c r="B23" s="87" t="s">
        <v>37</v>
      </c>
      <c r="C23" s="88">
        <f>SUM('ABP Under Contract'!K23:P23)</f>
        <v>95335681</v>
      </c>
      <c r="D23" s="88">
        <f>'REC Spend projected'!H23+'REC Spend projected'!I23+'REC Spend projected'!J23+'REC Spend projected'!K23+'REC Spend projected'!L23</f>
        <v>-31755967.682777438</v>
      </c>
      <c r="E23" s="89">
        <f>'Projected ABP Spend'!C201+'Indexed REC Spend'!H114</f>
        <v>14323564.249525819</v>
      </c>
      <c r="F23" s="88">
        <f>'Projected ABP Spend'!C200+'Indexed REC Spend'!H114</f>
        <v>14523533.864382345</v>
      </c>
      <c r="G23" s="88">
        <f>'Projected ABP Spend'!D200+'Indexed REC Spend'!I114</f>
        <v>20955743.390973527</v>
      </c>
      <c r="H23" s="88">
        <f>'Projected ABP Spend'!E200+'Indexed REC Spend'!J114</f>
        <v>18537470.75798095</v>
      </c>
      <c r="I23" s="88">
        <f>'Projected ABP Spend'!F200+'Indexed REC Spend'!K114</f>
        <v>54268415.696494035</v>
      </c>
      <c r="J23" s="88">
        <f>'Projected ABP Spend'!G200+'Indexed REC Spend'!L114</f>
        <v>57931747.440167591</v>
      </c>
      <c r="K23" s="88">
        <f>'Projected ABP Spend'!H200+'Indexed REC Spend'!M114</f>
        <v>33934948.569636092</v>
      </c>
      <c r="L23" s="88">
        <f>'Projected ABP Spend'!I200+'Indexed REC Spend'!N114</f>
        <v>72097972.736062258</v>
      </c>
      <c r="M23" s="88">
        <f>'Projected ABP Spend'!J200+'Indexed REC Spend'!O114</f>
        <v>-2003649.8260000041</v>
      </c>
      <c r="N23" s="88">
        <f>'Projected ABP Spend'!K200+'Indexed REC Spend'!P114</f>
        <v>0</v>
      </c>
      <c r="O23" s="88">
        <f t="shared" si="2"/>
        <v>255722648.76531446</v>
      </c>
      <c r="P23" s="88">
        <f>'REC Spend projected'!M23+'REC Spend projected'!N23+'REC Spend projected'!N23+'REC Spend projected'!O23</f>
        <v>67710238.723197311</v>
      </c>
      <c r="Q23" s="88">
        <f t="shared" si="3"/>
        <v>415859698.91964245</v>
      </c>
      <c r="R23" s="88">
        <f>'REC Spend projected'!AA23</f>
        <v>-1841859430.8637962</v>
      </c>
      <c r="S23" s="88">
        <f>'REC Spend projected'!AE23</f>
        <v>-1613307817.2334099</v>
      </c>
      <c r="T23" s="91"/>
      <c r="U23" s="87" t="s">
        <v>37</v>
      </c>
      <c r="V23" s="222">
        <f t="shared" si="4"/>
        <v>63579713.317222565</v>
      </c>
      <c r="W23" s="222">
        <f t="shared" si="5"/>
        <v>14323564.249525819</v>
      </c>
      <c r="X23" s="222">
        <f t="shared" si="6"/>
        <v>14523533.864382345</v>
      </c>
      <c r="Y23" s="222">
        <f t="shared" si="7"/>
        <v>255722648.76531446</v>
      </c>
      <c r="Z23" s="222">
        <f t="shared" si="8"/>
        <v>67710238.723197311</v>
      </c>
      <c r="AA23" s="222">
        <f t="shared" si="1"/>
        <v>-1841859430.8637962</v>
      </c>
    </row>
    <row r="24" spans="2:27" ht="15" thickBot="1" x14ac:dyDescent="0.4">
      <c r="B24" s="87" t="s">
        <v>38</v>
      </c>
      <c r="C24" s="88">
        <f>SUM('ABP Under Contract'!K24:P24)</f>
        <v>93725104</v>
      </c>
      <c r="D24" s="88">
        <f>'REC Spend projected'!H24+'REC Spend projected'!I24+'REC Spend projected'!J24+'REC Spend projected'!K24+'REC Spend projected'!L24</f>
        <v>-43119476.63313663</v>
      </c>
      <c r="E24" s="89">
        <f>'Projected ABP Spend'!C202+'Indexed REC Spend'!H115</f>
        <v>5767983.1368765756</v>
      </c>
      <c r="F24" s="88">
        <f>'Projected ABP Spend'!C201+'Indexed REC Spend'!H115</f>
        <v>5966952.9036588222</v>
      </c>
      <c r="G24" s="88">
        <f>'Projected ABP Spend'!D201+'Indexed REC Spend'!I115</f>
        <v>9740200.2277570441</v>
      </c>
      <c r="H24" s="88">
        <f>'Projected ABP Spend'!E201+'Indexed REC Spend'!J115</f>
        <v>7292831.4559112303</v>
      </c>
      <c r="I24" s="88">
        <f>'Projected ABP Spend'!F201+'Indexed REC Spend'!K115</f>
        <v>18411269.923421942</v>
      </c>
      <c r="J24" s="88">
        <f>'Projected ABP Spend'!G201+'Indexed REC Spend'!L115</f>
        <v>52904235.020905077</v>
      </c>
      <c r="K24" s="88">
        <f>'Projected ABP Spend'!H201+'Indexed REC Spend'!M115</f>
        <v>28928989.570020076</v>
      </c>
      <c r="L24" s="88">
        <f>'Projected ABP Spend'!I201+'Indexed REC Spend'!N115</f>
        <v>26229940.656175166</v>
      </c>
      <c r="M24" s="88">
        <f>'Projected ABP Spend'!J201+'Indexed REC Spend'!O115</f>
        <v>46825227.694734797</v>
      </c>
      <c r="N24" s="88">
        <f>'Projected ABP Spend'!K201+'Indexed REC Spend'!P115</f>
        <v>0</v>
      </c>
      <c r="O24" s="88">
        <f t="shared" si="2"/>
        <v>190332694.54892534</v>
      </c>
      <c r="P24" s="88">
        <f>'REC Spend projected'!M24+'REC Spend projected'!N24+'REC Spend projected'!N24+'REC Spend projected'!O24</f>
        <v>67790826.711418763</v>
      </c>
      <c r="Q24" s="88">
        <f t="shared" si="3"/>
        <v>320464084.66774285</v>
      </c>
      <c r="R24" s="88">
        <f>'REC Spend projected'!AA24</f>
        <v>-1613307817.2334099</v>
      </c>
      <c r="S24" s="88">
        <f>'REC Spend projected'!AE24</f>
        <v>-1310162780.1249328</v>
      </c>
      <c r="T24" s="91"/>
      <c r="U24" s="87" t="s">
        <v>38</v>
      </c>
      <c r="V24" s="222">
        <f t="shared" si="4"/>
        <v>50605627.36686337</v>
      </c>
      <c r="W24" s="222">
        <f t="shared" si="5"/>
        <v>5767983.1368765756</v>
      </c>
      <c r="X24" s="222">
        <f t="shared" si="6"/>
        <v>5966952.9036588222</v>
      </c>
      <c r="Y24" s="222">
        <f t="shared" si="7"/>
        <v>190332694.54892534</v>
      </c>
      <c r="Z24" s="222">
        <f t="shared" si="8"/>
        <v>67790826.711418763</v>
      </c>
      <c r="AA24" s="222">
        <f t="shared" si="1"/>
        <v>-1613307817.2334099</v>
      </c>
    </row>
    <row r="25" spans="2:27" ht="15" thickBot="1" x14ac:dyDescent="0.4">
      <c r="B25" s="87" t="s">
        <v>39</v>
      </c>
      <c r="C25" s="88">
        <f>SUM('ABP Under Contract'!K25:P25)</f>
        <v>84272037</v>
      </c>
      <c r="D25" s="88">
        <f>'REC Spend projected'!H25+'REC Spend projected'!I25+'REC Spend projected'!J25+'REC Spend projected'!K25+'REC Spend projected'!L25</f>
        <v>-54235686.371110827</v>
      </c>
      <c r="E25" s="89">
        <f>'Projected ABP Spend'!C203+'Indexed REC Spend'!H116</f>
        <v>-3023616.5299745947</v>
      </c>
      <c r="F25" s="88">
        <f>'Projected ABP Spend'!C202+'Indexed REC Spend'!H116</f>
        <v>-2825641.6120262593</v>
      </c>
      <c r="G25" s="88">
        <f>'Projected ABP Spend'!D202+'Indexed REC Spend'!I116</f>
        <v>-1764036.8218476027</v>
      </c>
      <c r="H25" s="88">
        <f>'Projected ABP Spend'!E202+'Indexed REC Spend'!J116</f>
        <v>-4241390.7234976068</v>
      </c>
      <c r="I25" s="88">
        <f>'Projected ABP Spend'!F202+'Indexed REC Spend'!K116</f>
        <v>6450833.6936216466</v>
      </c>
      <c r="J25" s="88">
        <f>'Projected ABP Spend'!G202+'Indexed REC Spend'!L116</f>
        <v>24772107.061358579</v>
      </c>
      <c r="K25" s="88">
        <f>'Projected ABP Spend'!H202+'Indexed REC Spend'!M116</f>
        <v>10123519.464035731</v>
      </c>
      <c r="L25" s="88">
        <f>'Projected ABP Spend'!I202+'Indexed REC Spend'!N116</f>
        <v>20991310.926686063</v>
      </c>
      <c r="M25" s="88">
        <f>'Projected ABP Spend'!J202+'Indexed REC Spend'!O116</f>
        <v>56124913.463875651</v>
      </c>
      <c r="N25" s="88">
        <f>'Projected ABP Spend'!K202+'Indexed REC Spend'!P116</f>
        <v>-7021010.7219999963</v>
      </c>
      <c r="O25" s="88">
        <f t="shared" si="2"/>
        <v>105436246.34223247</v>
      </c>
      <c r="P25" s="88">
        <f>'REC Spend projected'!M25+'REC Spend projected'!N25+'REC Spend projected'!N25+'REC Spend projected'!O25</f>
        <v>67846294.061737657</v>
      </c>
      <c r="Q25" s="88">
        <f t="shared" si="3"/>
        <v>197469632.89085844</v>
      </c>
      <c r="R25" s="88">
        <f>'REC Spend projected'!AA25</f>
        <v>-1310162780.1249328</v>
      </c>
      <c r="S25" s="88">
        <f>'REC Spend projected'!AE25</f>
        <v>-856494208.62372756</v>
      </c>
      <c r="T25" s="91"/>
      <c r="U25" s="87" t="s">
        <v>39</v>
      </c>
      <c r="V25" s="222">
        <f t="shared" si="4"/>
        <v>30036350.628889173</v>
      </c>
      <c r="W25" s="222">
        <f t="shared" si="5"/>
        <v>-3023616.5299745947</v>
      </c>
      <c r="X25" s="222">
        <f t="shared" si="6"/>
        <v>-2825641.6120262593</v>
      </c>
      <c r="Y25" s="222">
        <f t="shared" si="7"/>
        <v>105436246.34223247</v>
      </c>
      <c r="Z25" s="222">
        <f t="shared" si="8"/>
        <v>67846294.061737657</v>
      </c>
      <c r="AA25" s="222">
        <f t="shared" si="1"/>
        <v>-1310162780.1249328</v>
      </c>
    </row>
    <row r="26" spans="2:27" ht="15" thickBot="1" x14ac:dyDescent="0.4">
      <c r="B26" s="87" t="s">
        <v>40</v>
      </c>
      <c r="C26" s="88">
        <f>SUM('ABP Under Contract'!K26:P26)</f>
        <v>80447397</v>
      </c>
      <c r="D26" s="88">
        <f>'REC Spend projected'!H26+'REC Spend projected'!I26+'REC Spend projected'!J26+'REC Spend projected'!K26+'REC Spend projected'!L26</f>
        <v>-95197158.649102286</v>
      </c>
      <c r="E26" s="89">
        <f>'Projected ABP Spend'!C204+'Indexed REC Spend'!H117</f>
        <v>-11639044.015015617</v>
      </c>
      <c r="F26" s="88">
        <f>'Projected ABP Spend'!C203+'Indexed REC Spend'!H117</f>
        <v>-11442058.971657015</v>
      </c>
      <c r="G26" s="88">
        <f>'Projected ABP Spend'!D203+'Indexed REC Spend'!I117</f>
        <v>-13014982.643642351</v>
      </c>
      <c r="H26" s="88">
        <f>'Projected ABP Spend'!E203+'Indexed REC Spend'!J117</f>
        <v>-15521175.211483672</v>
      </c>
      <c r="I26" s="88">
        <f>'Projected ABP Spend'!F203+'Indexed REC Spend'!K117</f>
        <v>-1456735.818248082</v>
      </c>
      <c r="J26" s="88">
        <f>'Projected ABP Spend'!G203+'Indexed REC Spend'!L117</f>
        <v>4984739.4228036478</v>
      </c>
      <c r="K26" s="88">
        <f>'Projected ABP Spend'!H203+'Indexed REC Spend'!M117</f>
        <v>18781935.06647177</v>
      </c>
      <c r="L26" s="88">
        <f>'Projected ABP Spend'!I203+'Indexed REC Spend'!N117</f>
        <v>15958885.351039801</v>
      </c>
      <c r="M26" s="88">
        <f>'Projected ABP Spend'!J203+'Indexed REC Spend'!O117</f>
        <v>13432253.86906033</v>
      </c>
      <c r="N26" s="88">
        <f>'Projected ABP Spend'!K203+'Indexed REC Spend'!P117</f>
        <v>83790476.719019353</v>
      </c>
      <c r="O26" s="88">
        <f t="shared" si="2"/>
        <v>106955396.7550208</v>
      </c>
      <c r="P26" s="88">
        <f>'REC Spend projected'!M26+'REC Spend projected'!N26+'REC Spend projected'!N26+'REC Spend projected'!O26</f>
        <v>67902792.45759207</v>
      </c>
      <c r="Q26" s="88">
        <f t="shared" si="3"/>
        <v>137027324.57683796</v>
      </c>
      <c r="R26" s="88">
        <f>'REC Spend projected'!AA26</f>
        <v>-856494208.62372756</v>
      </c>
      <c r="S26" s="88">
        <f>'REC Spend projected'!AE26</f>
        <v>-288234719.97894323</v>
      </c>
      <c r="T26" s="91"/>
      <c r="U26" s="87" t="s">
        <v>40</v>
      </c>
      <c r="V26" s="222">
        <f t="shared" si="4"/>
        <v>-14749761.649102286</v>
      </c>
      <c r="W26" s="222">
        <f t="shared" si="5"/>
        <v>-11639044.015015617</v>
      </c>
      <c r="X26" s="222">
        <f t="shared" si="6"/>
        <v>-11442058.971657015</v>
      </c>
      <c r="Y26" s="222">
        <f t="shared" si="7"/>
        <v>106955396.7550208</v>
      </c>
      <c r="Z26" s="222">
        <f t="shared" si="8"/>
        <v>67902792.45759207</v>
      </c>
      <c r="AA26" s="222">
        <f t="shared" si="1"/>
        <v>-856494208.62372756</v>
      </c>
    </row>
    <row r="29" spans="2:27" ht="15" thickBot="1" x14ac:dyDescent="0.4">
      <c r="B29" s="1" t="s">
        <v>41</v>
      </c>
    </row>
    <row r="30" spans="2:27" ht="15.75" customHeight="1" thickBot="1" x14ac:dyDescent="0.4">
      <c r="B30" s="309"/>
      <c r="C30" s="310"/>
      <c r="D30" s="310"/>
      <c r="E30" s="311"/>
      <c r="F30" s="312"/>
      <c r="G30" s="316"/>
      <c r="H30" s="313"/>
      <c r="I30" s="314"/>
      <c r="J30" s="313"/>
      <c r="K30" s="314"/>
      <c r="L30" s="81"/>
      <c r="M30" s="241"/>
      <c r="N30" s="241"/>
      <c r="O30" s="241"/>
      <c r="P30" s="241"/>
      <c r="Q30" s="241"/>
      <c r="R30" s="241"/>
      <c r="S30" s="241"/>
    </row>
    <row r="31" spans="2:27" ht="21.5" thickBot="1" x14ac:dyDescent="0.4">
      <c r="B31" s="82" t="s">
        <v>1</v>
      </c>
      <c r="C31" s="83" t="s">
        <v>255</v>
      </c>
      <c r="D31" s="83" t="s">
        <v>256</v>
      </c>
      <c r="E31" s="84" t="s">
        <v>265</v>
      </c>
      <c r="F31" s="84" t="s">
        <v>94</v>
      </c>
      <c r="G31" s="84" t="s">
        <v>95</v>
      </c>
      <c r="H31" s="84" t="s">
        <v>96</v>
      </c>
      <c r="I31" s="84" t="s">
        <v>97</v>
      </c>
      <c r="J31" s="84" t="s">
        <v>98</v>
      </c>
      <c r="K31" s="84" t="s">
        <v>99</v>
      </c>
      <c r="L31" s="84" t="s">
        <v>100</v>
      </c>
      <c r="M31" s="84" t="s">
        <v>101</v>
      </c>
      <c r="N31" s="84" t="s">
        <v>102</v>
      </c>
      <c r="O31" s="84"/>
      <c r="P31" s="84" t="s">
        <v>258</v>
      </c>
      <c r="Q31" s="83" t="s">
        <v>259</v>
      </c>
      <c r="R31" s="83" t="s">
        <v>260</v>
      </c>
      <c r="S31" s="85" t="s">
        <v>251</v>
      </c>
      <c r="U31" s="86" t="s">
        <v>1</v>
      </c>
      <c r="V31" s="85" t="s">
        <v>207</v>
      </c>
      <c r="W31" s="85" t="s">
        <v>266</v>
      </c>
      <c r="X31" s="85" t="s">
        <v>94</v>
      </c>
      <c r="Y31" s="85" t="s">
        <v>262</v>
      </c>
      <c r="Z31" s="85" t="s">
        <v>263</v>
      </c>
      <c r="AA31" s="85" t="s">
        <v>264</v>
      </c>
    </row>
    <row r="32" spans="2:27" ht="15" thickBot="1" x14ac:dyDescent="0.4">
      <c r="B32" s="87" t="s">
        <v>17</v>
      </c>
      <c r="C32" s="88">
        <f>SUM('ABP Under Contract'!K32:P32)</f>
        <v>56133128</v>
      </c>
      <c r="D32" s="88">
        <f>'REC Spend projected'!H31+'REC Spend projected'!I31+'REC Spend projected'!J31+'REC Spend projected'!K31+'REC Spend projected'!L31</f>
        <v>9118128.2799999993</v>
      </c>
      <c r="E32" s="89"/>
      <c r="F32" s="88">
        <f>F4*'REC Spend projected'!$B$29</f>
        <v>0</v>
      </c>
      <c r="G32" s="88">
        <f>G4*'REC Spend projected'!$B$29</f>
        <v>0</v>
      </c>
      <c r="H32" s="88">
        <f>H4*'REC Spend projected'!$B$29</f>
        <v>0</v>
      </c>
      <c r="I32" s="88">
        <f>I4*'REC Spend projected'!$B$29</f>
        <v>0</v>
      </c>
      <c r="J32" s="88">
        <f>J4*'REC Spend projected'!$B$29</f>
        <v>0</v>
      </c>
      <c r="K32" s="88">
        <f>K4*'REC Spend projected'!$B$29</f>
        <v>0</v>
      </c>
      <c r="L32" s="88">
        <f>L4*'REC Spend projected'!$B$29</f>
        <v>0</v>
      </c>
      <c r="M32" s="88">
        <f>M4*'REC Spend projected'!$B$29</f>
        <v>0</v>
      </c>
      <c r="N32" s="88">
        <f>N4*'REC Spend projected'!$B$29</f>
        <v>0</v>
      </c>
      <c r="O32" s="88"/>
      <c r="P32" s="88">
        <f>P4*'REC Spend projected'!$B$29</f>
        <v>5218525.3698853292</v>
      </c>
      <c r="Q32" s="88">
        <f t="shared" ref="Q32:Q52" si="9">SUM(C32:P32)</f>
        <v>70469781.649885327</v>
      </c>
      <c r="R32" s="88">
        <f>'REC Spend projected'!AA31</f>
        <v>87829264.295962796</v>
      </c>
      <c r="S32" s="88">
        <f>'REC Spend projected'!AE31</f>
        <v>75064014.786746681</v>
      </c>
      <c r="U32" s="87" t="s">
        <v>17</v>
      </c>
      <c r="V32" s="222">
        <f>SUM(C32:D32)</f>
        <v>65251256.280000001</v>
      </c>
      <c r="W32" s="222">
        <f>E32</f>
        <v>0</v>
      </c>
      <c r="X32" s="222">
        <f>F32</f>
        <v>0</v>
      </c>
      <c r="Y32" s="222">
        <f>SUM(G32:N32)</f>
        <v>0</v>
      </c>
      <c r="Z32" s="222">
        <f t="shared" ref="Z32:Z54" si="10">P32</f>
        <v>5218525.3698853292</v>
      </c>
      <c r="AA32" s="222">
        <f t="shared" ref="AA32:AA54" si="11">R32</f>
        <v>87829264.295962796</v>
      </c>
    </row>
    <row r="33" spans="2:27" ht="15" thickBot="1" x14ac:dyDescent="0.4">
      <c r="B33" s="87" t="s">
        <v>18</v>
      </c>
      <c r="C33" s="88">
        <f>SUM('ABP Under Contract'!K33:P33)</f>
        <v>63499755</v>
      </c>
      <c r="D33" s="88">
        <f>'REC Spend projected'!H32+'REC Spend projected'!I32+'REC Spend projected'!J32+'REC Spend projected'!K32+'REC Spend projected'!L32</f>
        <v>10985217.937169807</v>
      </c>
      <c r="E33" s="89"/>
      <c r="F33" s="88">
        <f>F5*'REC Spend projected'!$B$29</f>
        <v>0</v>
      </c>
      <c r="G33" s="88">
        <f>G5*'REC Spend projected'!$B$29</f>
        <v>0</v>
      </c>
      <c r="H33" s="88">
        <f>H5*'REC Spend projected'!$B$29</f>
        <v>0</v>
      </c>
      <c r="I33" s="88">
        <f>I5*'REC Spend projected'!$B$29</f>
        <v>0</v>
      </c>
      <c r="J33" s="88">
        <f>J5*'REC Spend projected'!$B$29</f>
        <v>0</v>
      </c>
      <c r="K33" s="88">
        <f>K5*'REC Spend projected'!$B$29</f>
        <v>0</v>
      </c>
      <c r="L33" s="88">
        <f>L5*'REC Spend projected'!$B$29</f>
        <v>0</v>
      </c>
      <c r="M33" s="88">
        <f>M5*'REC Spend projected'!$B$29</f>
        <v>0</v>
      </c>
      <c r="N33" s="88">
        <f>N5*'REC Spend projected'!$B$29</f>
        <v>0</v>
      </c>
      <c r="O33" s="88"/>
      <c r="P33" s="88">
        <f>P5*'REC Spend projected'!$B$29</f>
        <v>24310842.858277723</v>
      </c>
      <c r="Q33" s="88">
        <f t="shared" si="9"/>
        <v>98795815.795447528</v>
      </c>
      <c r="R33" s="88">
        <f>'REC Spend projected'!AA32</f>
        <v>75064014.786746681</v>
      </c>
      <c r="S33" s="88">
        <f>'REC Spend projected'!AE32</f>
        <v>115124658.1839239</v>
      </c>
      <c r="U33" s="87" t="s">
        <v>18</v>
      </c>
      <c r="V33" s="222">
        <f t="shared" ref="V33:V54" si="12">SUM(C33:D33)</f>
        <v>74484972.937169805</v>
      </c>
      <c r="W33" s="222">
        <f t="shared" ref="W33:W54" si="13">E33</f>
        <v>0</v>
      </c>
      <c r="X33" s="222">
        <f t="shared" ref="X33:X54" si="14">F33</f>
        <v>0</v>
      </c>
      <c r="Y33" s="222">
        <f t="shared" ref="Y33:Y54" si="15">SUM(G33:N33)</f>
        <v>0</v>
      </c>
      <c r="Z33" s="222">
        <f t="shared" si="10"/>
        <v>24310842.858277723</v>
      </c>
      <c r="AA33" s="222">
        <f t="shared" si="11"/>
        <v>75064014.786746681</v>
      </c>
    </row>
    <row r="34" spans="2:27" ht="15" thickBot="1" x14ac:dyDescent="0.4">
      <c r="B34" s="87" t="s">
        <v>19</v>
      </c>
      <c r="C34" s="88">
        <f>SUM('ABP Under Contract'!K34:P34)</f>
        <v>71220641</v>
      </c>
      <c r="D34" s="88">
        <f>'REC Spend projected'!H33+'REC Spend projected'!I33+'REC Spend projected'!J33+'REC Spend projected'!K33+'REC Spend projected'!L33</f>
        <v>11508673.347169807</v>
      </c>
      <c r="E34" s="89"/>
      <c r="F34" s="88">
        <f>F6*'REC Spend projected'!$B$29</f>
        <v>0</v>
      </c>
      <c r="G34" s="88">
        <f>G6*'REC Spend projected'!$B$29</f>
        <v>0</v>
      </c>
      <c r="H34" s="88">
        <f>H6*'REC Spend projected'!$B$29</f>
        <v>0</v>
      </c>
      <c r="I34" s="88">
        <f>I6*'REC Spend projected'!$B$29</f>
        <v>0</v>
      </c>
      <c r="J34" s="88">
        <f>J6*'REC Spend projected'!$B$29</f>
        <v>0</v>
      </c>
      <c r="K34" s="88">
        <f>K6*'REC Spend projected'!$B$29</f>
        <v>0</v>
      </c>
      <c r="L34" s="88">
        <f>L6*'REC Spend projected'!$B$29</f>
        <v>0</v>
      </c>
      <c r="M34" s="88">
        <f>M6*'REC Spend projected'!$B$29</f>
        <v>0</v>
      </c>
      <c r="N34" s="88">
        <f>N6*'REC Spend projected'!$B$29</f>
        <v>0</v>
      </c>
      <c r="O34" s="88"/>
      <c r="P34" s="88">
        <f>P6*'REC Spend projected'!$B$29</f>
        <v>19584845.639281254</v>
      </c>
      <c r="Q34" s="88">
        <f t="shared" si="9"/>
        <v>102314159.98645106</v>
      </c>
      <c r="R34" s="88">
        <f>'REC Spend projected'!AA33</f>
        <v>115124658.1839239</v>
      </c>
      <c r="S34" s="88">
        <f>'REC Spend projected'!AE33</f>
        <v>170788990.33455092</v>
      </c>
      <c r="U34" s="87" t="s">
        <v>19</v>
      </c>
      <c r="V34" s="222">
        <f t="shared" si="12"/>
        <v>82729314.347169802</v>
      </c>
      <c r="W34" s="222">
        <f t="shared" si="13"/>
        <v>0</v>
      </c>
      <c r="X34" s="222">
        <f t="shared" si="14"/>
        <v>0</v>
      </c>
      <c r="Y34" s="222">
        <f t="shared" si="15"/>
        <v>0</v>
      </c>
      <c r="Z34" s="222">
        <f t="shared" si="10"/>
        <v>19584845.639281254</v>
      </c>
      <c r="AA34" s="222">
        <f t="shared" si="11"/>
        <v>115124658.1839239</v>
      </c>
    </row>
    <row r="35" spans="2:27" ht="15" thickBot="1" x14ac:dyDescent="0.4">
      <c r="B35" s="87" t="s">
        <v>20</v>
      </c>
      <c r="C35" s="88">
        <f>SUM('ABP Under Contract'!K35:P35)</f>
        <v>77712280</v>
      </c>
      <c r="D35" s="88">
        <f>'REC Spend projected'!H34+'REC Spend projected'!I34+'REC Spend projected'!J34+'REC Spend projected'!K34+'REC Spend projected'!L34</f>
        <v>10028071.880758878</v>
      </c>
      <c r="E35" s="89"/>
      <c r="F35" s="88">
        <f>F7*'REC Spend projected'!$B$29</f>
        <v>0</v>
      </c>
      <c r="G35" s="88">
        <f>G7*'REC Spend projected'!$B$29</f>
        <v>0</v>
      </c>
      <c r="H35" s="88">
        <f>H7*'REC Spend projected'!$B$29</f>
        <v>0</v>
      </c>
      <c r="I35" s="88">
        <f>I7*'REC Spend projected'!$B$29</f>
        <v>0</v>
      </c>
      <c r="J35" s="88">
        <f>J7*'REC Spend projected'!$B$29</f>
        <v>0</v>
      </c>
      <c r="K35" s="88">
        <f>K7*'REC Spend projected'!$B$29</f>
        <v>0</v>
      </c>
      <c r="L35" s="88">
        <f>L7*'REC Spend projected'!$B$29</f>
        <v>0</v>
      </c>
      <c r="M35" s="88">
        <f>M7*'REC Spend projected'!$B$29</f>
        <v>0</v>
      </c>
      <c r="N35" s="88">
        <f>N7*'REC Spend projected'!$B$29</f>
        <v>0</v>
      </c>
      <c r="O35" s="88"/>
      <c r="P35" s="88">
        <f>P7*'REC Spend projected'!$B$29</f>
        <v>19492970.126412395</v>
      </c>
      <c r="Q35" s="88">
        <f t="shared" si="9"/>
        <v>107233322.00717127</v>
      </c>
      <c r="R35" s="88">
        <f>'REC Spend projected'!AA34</f>
        <v>170788990.33455092</v>
      </c>
      <c r="S35" s="88">
        <f>'REC Spend projected'!AE34</f>
        <v>163874137.07741001</v>
      </c>
      <c r="U35" s="87" t="s">
        <v>20</v>
      </c>
      <c r="V35" s="222">
        <f t="shared" si="12"/>
        <v>87740351.880758882</v>
      </c>
      <c r="W35" s="222">
        <f t="shared" si="13"/>
        <v>0</v>
      </c>
      <c r="X35" s="222">
        <f t="shared" si="14"/>
        <v>0</v>
      </c>
      <c r="Y35" s="222">
        <f t="shared" si="15"/>
        <v>0</v>
      </c>
      <c r="Z35" s="222">
        <f t="shared" si="10"/>
        <v>19492970.126412395</v>
      </c>
      <c r="AA35" s="222">
        <f t="shared" si="11"/>
        <v>170788990.33455092</v>
      </c>
    </row>
    <row r="36" spans="2:27" ht="15" thickBot="1" x14ac:dyDescent="0.4">
      <c r="B36" s="87" t="s">
        <v>22</v>
      </c>
      <c r="C36" s="88">
        <f>SUM('ABP Under Contract'!K36:P36)</f>
        <v>86706493</v>
      </c>
      <c r="D36" s="88">
        <f>'REC Spend projected'!H35+'REC Spend projected'!I35+'REC Spend projected'!J35+'REC Spend projected'!K35+'REC Spend projected'!L35</f>
        <v>11164730.694534605</v>
      </c>
      <c r="E36" s="89"/>
      <c r="F36" s="88">
        <f>F8*'REC Spend projected'!$B$29</f>
        <v>0</v>
      </c>
      <c r="G36" s="88">
        <f>G8*'REC Spend projected'!$B$29</f>
        <v>0</v>
      </c>
      <c r="H36" s="88">
        <f>H8*'REC Spend projected'!$B$29</f>
        <v>0</v>
      </c>
      <c r="I36" s="88">
        <f>I8*'REC Spend projected'!$B$29</f>
        <v>0</v>
      </c>
      <c r="J36" s="88">
        <f>J8*'REC Spend projected'!$B$29</f>
        <v>0</v>
      </c>
      <c r="K36" s="88">
        <f>K8*'REC Spend projected'!$B$29</f>
        <v>0</v>
      </c>
      <c r="L36" s="88">
        <f>L8*'REC Spend projected'!$B$29</f>
        <v>0</v>
      </c>
      <c r="M36" s="88">
        <f>M8*'REC Spend projected'!$B$29</f>
        <v>0</v>
      </c>
      <c r="N36" s="88">
        <f>N8*'REC Spend projected'!$B$29</f>
        <v>0</v>
      </c>
      <c r="O36" s="88"/>
      <c r="P36" s="88">
        <f>P8*'REC Spend projected'!$B$29</f>
        <v>25256924.295411348</v>
      </c>
      <c r="Q36" s="88">
        <f t="shared" si="9"/>
        <v>123128147.98994595</v>
      </c>
      <c r="R36" s="88">
        <f>'REC Spend projected'!AA35</f>
        <v>163874137.07741001</v>
      </c>
      <c r="S36" s="88">
        <f>'REC Spend projected'!AE35</f>
        <v>218548822.06168774</v>
      </c>
      <c r="U36" s="87" t="s">
        <v>22</v>
      </c>
      <c r="V36" s="222">
        <f t="shared" si="12"/>
        <v>97871223.6945346</v>
      </c>
      <c r="W36" s="222">
        <f t="shared" si="13"/>
        <v>0</v>
      </c>
      <c r="X36" s="222">
        <f t="shared" si="14"/>
        <v>0</v>
      </c>
      <c r="Y36" s="222">
        <f t="shared" si="15"/>
        <v>0</v>
      </c>
      <c r="Z36" s="222">
        <f t="shared" si="10"/>
        <v>25256924.295411348</v>
      </c>
      <c r="AA36" s="222">
        <f t="shared" si="11"/>
        <v>163874137.07741001</v>
      </c>
    </row>
    <row r="37" spans="2:27" ht="15" thickBot="1" x14ac:dyDescent="0.4">
      <c r="B37" s="87" t="s">
        <v>23</v>
      </c>
      <c r="C37" s="88">
        <f>SUM('ABP Under Contract'!K37:P37)</f>
        <v>71312642</v>
      </c>
      <c r="D37" s="88">
        <f>'REC Spend projected'!H36+'REC Spend projected'!I36+'REC Spend projected'!J36+'REC Spend projected'!K36+'REC Spend projected'!L36</f>
        <v>14999440.319881484</v>
      </c>
      <c r="E37" s="89"/>
      <c r="F37" s="88">
        <f>F9*'REC Spend projected'!$B$29</f>
        <v>0</v>
      </c>
      <c r="G37" s="88">
        <f>G9*'REC Spend projected'!$B$29</f>
        <v>0</v>
      </c>
      <c r="H37" s="88">
        <f>H9*'REC Spend projected'!$B$29</f>
        <v>0</v>
      </c>
      <c r="I37" s="88">
        <f>I9*'REC Spend projected'!$B$29</f>
        <v>0</v>
      </c>
      <c r="J37" s="88">
        <f>J9*'REC Spend projected'!$B$29</f>
        <v>0</v>
      </c>
      <c r="K37" s="88">
        <f>K9*'REC Spend projected'!$B$29</f>
        <v>0</v>
      </c>
      <c r="L37" s="88">
        <f>L9*'REC Spend projected'!$B$29</f>
        <v>0</v>
      </c>
      <c r="M37" s="88">
        <f>M9*'REC Spend projected'!$B$29</f>
        <v>0</v>
      </c>
      <c r="N37" s="88">
        <f>N9*'REC Spend projected'!$B$29</f>
        <v>0</v>
      </c>
      <c r="O37" s="88"/>
      <c r="P37" s="88">
        <f>P9*'REC Spend projected'!$B$29</f>
        <v>19403432.280157723</v>
      </c>
      <c r="Q37" s="88">
        <f t="shared" si="9"/>
        <v>105715514.60003921</v>
      </c>
      <c r="R37" s="88">
        <f>'REC Spend projected'!AA36</f>
        <v>218548822.06168774</v>
      </c>
      <c r="S37" s="88">
        <f>'REC Spend projected'!AE36</f>
        <v>204328615.58721015</v>
      </c>
      <c r="U37" s="87" t="s">
        <v>23</v>
      </c>
      <c r="V37" s="222">
        <f t="shared" si="12"/>
        <v>86312082.319881484</v>
      </c>
      <c r="W37" s="222">
        <f t="shared" si="13"/>
        <v>0</v>
      </c>
      <c r="X37" s="222">
        <f t="shared" si="14"/>
        <v>0</v>
      </c>
      <c r="Y37" s="222">
        <f t="shared" si="15"/>
        <v>0</v>
      </c>
      <c r="Z37" s="222">
        <f t="shared" si="10"/>
        <v>19403432.280157723</v>
      </c>
      <c r="AA37" s="222">
        <f t="shared" si="11"/>
        <v>218548822.06168774</v>
      </c>
    </row>
    <row r="38" spans="2:27" ht="15" thickBot="1" x14ac:dyDescent="0.4">
      <c r="B38" s="87" t="s">
        <v>24</v>
      </c>
      <c r="C38" s="88">
        <f>SUM('ABP Under Contract'!K38:P38)</f>
        <v>53088923</v>
      </c>
      <c r="D38" s="88">
        <f>'REC Spend projected'!H37+'REC Spend projected'!I37+'REC Spend projected'!J37+'REC Spend projected'!K37+'REC Spend projected'!L37</f>
        <v>36412371.04146789</v>
      </c>
      <c r="E38" s="89"/>
      <c r="F38" s="88">
        <f>F10*'REC Spend projected'!$B$29</f>
        <v>57229322.279709175</v>
      </c>
      <c r="G38" s="88">
        <f>G10*'REC Spend projected'!$B$29</f>
        <v>0</v>
      </c>
      <c r="H38" s="88">
        <f>H10*'REC Spend projected'!$B$29</f>
        <v>0</v>
      </c>
      <c r="I38" s="88">
        <f>I10*'REC Spend projected'!$B$29</f>
        <v>0</v>
      </c>
      <c r="J38" s="88">
        <f>J10*'REC Spend projected'!$B$29</f>
        <v>0</v>
      </c>
      <c r="K38" s="88">
        <f>K10*'REC Spend projected'!$B$29</f>
        <v>0</v>
      </c>
      <c r="L38" s="88">
        <f>L10*'REC Spend projected'!$B$29</f>
        <v>0</v>
      </c>
      <c r="M38" s="88">
        <f>M10*'REC Spend projected'!$B$29</f>
        <v>0</v>
      </c>
      <c r="N38" s="88">
        <f>N10*'REC Spend projected'!$B$29</f>
        <v>0</v>
      </c>
      <c r="O38" s="88"/>
      <c r="P38" s="88">
        <f>P10*'REC Spend projected'!$B$29</f>
        <v>19371956.421201203</v>
      </c>
      <c r="Q38" s="88">
        <f t="shared" si="9"/>
        <v>166102572.74237826</v>
      </c>
      <c r="R38" s="88">
        <f>'REC Spend projected'!AA37</f>
        <v>204328615.58721015</v>
      </c>
      <c r="S38" s="88">
        <f>'REC Spend projected'!AE37</f>
        <v>163431572.72789508</v>
      </c>
      <c r="U38" s="87" t="s">
        <v>24</v>
      </c>
      <c r="V38" s="222">
        <f t="shared" si="12"/>
        <v>89501294.04146789</v>
      </c>
      <c r="W38" s="222">
        <f t="shared" si="13"/>
        <v>0</v>
      </c>
      <c r="X38" s="222">
        <f t="shared" si="14"/>
        <v>57229322.279709175</v>
      </c>
      <c r="Y38" s="222">
        <f t="shared" si="15"/>
        <v>0</v>
      </c>
      <c r="Z38" s="222">
        <f t="shared" si="10"/>
        <v>19371956.421201203</v>
      </c>
      <c r="AA38" s="222">
        <f t="shared" si="11"/>
        <v>204328615.58721015</v>
      </c>
    </row>
    <row r="39" spans="2:27" ht="15" thickBot="1" x14ac:dyDescent="0.4">
      <c r="B39" s="87" t="s">
        <v>25</v>
      </c>
      <c r="C39" s="88">
        <f>SUM('ABP Under Contract'!K39:P39)</f>
        <v>47817859</v>
      </c>
      <c r="D39" s="88">
        <f>'REC Spend projected'!H38+'REC Spend projected'!I38+'REC Spend projected'!J38+'REC Spend projected'!K38+'REC Spend projected'!L38</f>
        <v>37738654.518351048</v>
      </c>
      <c r="E39" s="89"/>
      <c r="F39" s="88">
        <f>F11*'REC Spend projected'!$B$29</f>
        <v>92150666.2531721</v>
      </c>
      <c r="G39" s="88">
        <f>G11*'REC Spend projected'!$B$29</f>
        <v>16022994.55849318</v>
      </c>
      <c r="H39" s="88">
        <f>H11*'REC Spend projected'!$B$29</f>
        <v>0</v>
      </c>
      <c r="I39" s="88">
        <f>I11*'REC Spend projected'!$B$29</f>
        <v>0</v>
      </c>
      <c r="J39" s="88">
        <f>J11*'REC Spend projected'!$B$29</f>
        <v>0</v>
      </c>
      <c r="K39" s="88">
        <f>K11*'REC Spend projected'!$B$29</f>
        <v>0</v>
      </c>
      <c r="L39" s="88">
        <f>L11*'REC Spend projected'!$B$29</f>
        <v>0</v>
      </c>
      <c r="M39" s="88">
        <f>M11*'REC Spend projected'!$B$29</f>
        <v>0</v>
      </c>
      <c r="N39" s="88">
        <f>N11*'REC Spend projected'!$B$29</f>
        <v>0</v>
      </c>
      <c r="O39" s="88"/>
      <c r="P39" s="88">
        <f>P11*'REC Spend projected'!$B$29</f>
        <v>25156594.69036714</v>
      </c>
      <c r="Q39" s="88">
        <f t="shared" si="9"/>
        <v>218886769.02038345</v>
      </c>
      <c r="R39" s="88">
        <f>'REC Spend projected'!AA38</f>
        <v>163431572.72789508</v>
      </c>
      <c r="S39" s="88">
        <f>'REC Spend projected'!AE38</f>
        <v>81516985.676412433</v>
      </c>
      <c r="U39" s="87" t="s">
        <v>25</v>
      </c>
      <c r="V39" s="222">
        <f t="shared" si="12"/>
        <v>85556513.518351048</v>
      </c>
      <c r="W39" s="222">
        <f t="shared" si="13"/>
        <v>0</v>
      </c>
      <c r="X39" s="222">
        <f t="shared" si="14"/>
        <v>92150666.2531721</v>
      </c>
      <c r="Y39" s="222">
        <f t="shared" si="15"/>
        <v>16022994.55849318</v>
      </c>
      <c r="Z39" s="222">
        <f t="shared" si="10"/>
        <v>25156594.69036714</v>
      </c>
      <c r="AA39" s="222">
        <f t="shared" si="11"/>
        <v>163431572.72789508</v>
      </c>
    </row>
    <row r="40" spans="2:27" ht="15" thickBot="1" x14ac:dyDescent="0.4">
      <c r="B40" s="90" t="s">
        <v>26</v>
      </c>
      <c r="C40" s="88">
        <f>SUM('ABP Under Contract'!K40:P40)</f>
        <v>46504539</v>
      </c>
      <c r="D40" s="88">
        <f>'REC Spend projected'!H39+'REC Spend projected'!I39+'REC Spend projected'!J39+'REC Spend projected'!K39+'REC Spend projected'!L39</f>
        <v>32755632.496531513</v>
      </c>
      <c r="E40" s="89"/>
      <c r="F40" s="88">
        <f>F12*'REC Spend projected'!$B$29</f>
        <v>53581228.612351499</v>
      </c>
      <c r="G40" s="88">
        <f>G12*'REC Spend projected'!$B$29</f>
        <v>84927511.66825904</v>
      </c>
      <c r="H40" s="88">
        <f>H12*'REC Spend projected'!$B$29</f>
        <v>0</v>
      </c>
      <c r="I40" s="88">
        <f>I12*'REC Spend projected'!$B$29</f>
        <v>0</v>
      </c>
      <c r="J40" s="88">
        <f>J12*'REC Spend projected'!$B$29</f>
        <v>0</v>
      </c>
      <c r="K40" s="88">
        <f>K12*'REC Spend projected'!$B$29</f>
        <v>0</v>
      </c>
      <c r="L40" s="88">
        <f>L12*'REC Spend projected'!$B$29</f>
        <v>0</v>
      </c>
      <c r="M40" s="88">
        <f>M12*'REC Spend projected'!$B$29</f>
        <v>0</v>
      </c>
      <c r="N40" s="88">
        <f>N12*'REC Spend projected'!$B$29</f>
        <v>0</v>
      </c>
      <c r="O40" s="88"/>
      <c r="P40" s="88">
        <f>P12*'REC Spend projected'!$B$29</f>
        <v>19377058.141635623</v>
      </c>
      <c r="Q40" s="88">
        <f t="shared" si="9"/>
        <v>237145969.91877767</v>
      </c>
      <c r="R40" s="88">
        <f>'REC Spend projected'!AA39</f>
        <v>81516985.676412433</v>
      </c>
      <c r="S40" s="88">
        <f>'REC Spend projected'!AE39</f>
        <v>-24163880.477246344</v>
      </c>
      <c r="U40" s="90" t="s">
        <v>26</v>
      </c>
      <c r="V40" s="222">
        <f t="shared" si="12"/>
        <v>79260171.496531516</v>
      </c>
      <c r="W40" s="222">
        <f t="shared" si="13"/>
        <v>0</v>
      </c>
      <c r="X40" s="222">
        <f t="shared" si="14"/>
        <v>53581228.612351499</v>
      </c>
      <c r="Y40" s="222">
        <f t="shared" si="15"/>
        <v>84927511.66825904</v>
      </c>
      <c r="Z40" s="222">
        <f t="shared" si="10"/>
        <v>19377058.141635623</v>
      </c>
      <c r="AA40" s="222">
        <f t="shared" si="11"/>
        <v>81516985.676412433</v>
      </c>
    </row>
    <row r="41" spans="2:27" ht="15" thickBot="1" x14ac:dyDescent="0.4">
      <c r="B41" s="87" t="s">
        <v>27</v>
      </c>
      <c r="C41" s="88">
        <f>SUM('ABP Under Contract'!K41:P41)</f>
        <v>45251938</v>
      </c>
      <c r="D41" s="88">
        <f>'REC Spend projected'!H40+'REC Spend projected'!I40+'REC Spend projected'!J40+'REC Spend projected'!K40+'REC Spend projected'!L40</f>
        <v>26936340.708865806</v>
      </c>
      <c r="E41" s="89"/>
      <c r="F41" s="88">
        <f>F13*'REC Spend projected'!$B$29</f>
        <v>49719933.563154593</v>
      </c>
      <c r="G41" s="88">
        <f>G13*'REC Spend projected'!$B$29</f>
        <v>93556803.153222948</v>
      </c>
      <c r="H41" s="88">
        <f>H13*'REC Spend projected'!$B$29</f>
        <v>13661022.969957933</v>
      </c>
      <c r="I41" s="88">
        <f>I13*'REC Spend projected'!$B$29</f>
        <v>0</v>
      </c>
      <c r="J41" s="88">
        <f>J13*'REC Spend projected'!$B$29</f>
        <v>0</v>
      </c>
      <c r="K41" s="88">
        <f>K13*'REC Spend projected'!$B$29</f>
        <v>0</v>
      </c>
      <c r="L41" s="88">
        <f>L13*'REC Spend projected'!$B$29</f>
        <v>0</v>
      </c>
      <c r="M41" s="88">
        <f>M13*'REC Spend projected'!$B$29</f>
        <v>0</v>
      </c>
      <c r="N41" s="88">
        <f>N13*'REC Spend projected'!$B$29</f>
        <v>0</v>
      </c>
      <c r="O41" s="88"/>
      <c r="P41" s="88">
        <f>P13*'REC Spend projected'!$B$29</f>
        <v>19381104.099283114</v>
      </c>
      <c r="Q41" s="88">
        <f t="shared" si="9"/>
        <v>248507142.49448436</v>
      </c>
      <c r="R41" s="88">
        <f>'REC Spend projected'!AA40</f>
        <v>-24163880.477246344</v>
      </c>
      <c r="S41" s="88">
        <f>'REC Spend projected'!AE40</f>
        <v>-139639531.07315999</v>
      </c>
      <c r="U41" s="87" t="s">
        <v>27</v>
      </c>
      <c r="V41" s="222">
        <f t="shared" si="12"/>
        <v>72188278.708865806</v>
      </c>
      <c r="W41" s="222">
        <f t="shared" si="13"/>
        <v>0</v>
      </c>
      <c r="X41" s="222">
        <f t="shared" si="14"/>
        <v>49719933.563154593</v>
      </c>
      <c r="Y41" s="222">
        <f t="shared" si="15"/>
        <v>107217826.12318088</v>
      </c>
      <c r="Z41" s="222">
        <f t="shared" si="10"/>
        <v>19381104.099283114</v>
      </c>
      <c r="AA41" s="222">
        <f t="shared" si="11"/>
        <v>-24163880.477246344</v>
      </c>
    </row>
    <row r="42" spans="2:27" ht="15" thickBot="1" x14ac:dyDescent="0.4">
      <c r="B42" s="87" t="s">
        <v>28</v>
      </c>
      <c r="C42" s="88">
        <f>SUM('ABP Under Contract'!K42:P42)</f>
        <v>41807640</v>
      </c>
      <c r="D42" s="88">
        <f>'REC Spend projected'!H41+'REC Spend projected'!I41+'REC Spend projected'!J41+'REC Spend projected'!K41+'REC Spend projected'!L41</f>
        <v>26021770.599710822</v>
      </c>
      <c r="E42" s="89"/>
      <c r="F42" s="88">
        <f>F14*'REC Spend projected'!$B$29</f>
        <v>45309198.61578612</v>
      </c>
      <c r="G42" s="88">
        <f>G14*'REC Spend projected'!$B$29</f>
        <v>52091564.185966179</v>
      </c>
      <c r="H42" s="88">
        <f>H14*'REC Spend projected'!$B$29</f>
        <v>70126367.624939024</v>
      </c>
      <c r="I42" s="88">
        <f>I14*'REC Spend projected'!$B$29</f>
        <v>0</v>
      </c>
      <c r="J42" s="88">
        <f>J14*'REC Spend projected'!$B$29</f>
        <v>0</v>
      </c>
      <c r="K42" s="88">
        <f>K14*'REC Spend projected'!$B$29</f>
        <v>0</v>
      </c>
      <c r="L42" s="88">
        <f>L14*'REC Spend projected'!$B$29</f>
        <v>0</v>
      </c>
      <c r="M42" s="88">
        <f>M14*'REC Spend projected'!$B$29</f>
        <v>0</v>
      </c>
      <c r="N42" s="88">
        <f>N14*'REC Spend projected'!$B$29</f>
        <v>0</v>
      </c>
      <c r="O42" s="88"/>
      <c r="P42" s="88">
        <f>P14*'REC Spend projected'!$B$29</f>
        <v>25203217.458176211</v>
      </c>
      <c r="Q42" s="88">
        <f t="shared" si="9"/>
        <v>260559758.48457837</v>
      </c>
      <c r="R42" s="88">
        <f>'REC Spend projected'!AA41</f>
        <v>-139639531.07315999</v>
      </c>
      <c r="S42" s="88">
        <f>'REC Spend projected'!AE41</f>
        <v>-249963673.63769785</v>
      </c>
      <c r="U42" s="87" t="s">
        <v>28</v>
      </c>
      <c r="V42" s="222">
        <f t="shared" si="12"/>
        <v>67829410.599710822</v>
      </c>
      <c r="W42" s="222">
        <f t="shared" si="13"/>
        <v>0</v>
      </c>
      <c r="X42" s="222">
        <f t="shared" si="14"/>
        <v>45309198.61578612</v>
      </c>
      <c r="Y42" s="222">
        <f t="shared" si="15"/>
        <v>122217931.8109052</v>
      </c>
      <c r="Z42" s="222">
        <f t="shared" si="10"/>
        <v>25203217.458176211</v>
      </c>
      <c r="AA42" s="222">
        <f t="shared" si="11"/>
        <v>-139639531.07315999</v>
      </c>
    </row>
    <row r="43" spans="2:27" ht="15" thickBot="1" x14ac:dyDescent="0.4">
      <c r="B43" s="87" t="s">
        <v>29</v>
      </c>
      <c r="C43" s="88">
        <f>SUM('ABP Under Contract'!K43:P43)</f>
        <v>40092541</v>
      </c>
      <c r="D43" s="88">
        <f>'REC Spend projected'!H42+'REC Spend projected'!I42+'REC Spend projected'!J42+'REC Spend projected'!K42+'REC Spend projected'!L42</f>
        <v>24170895.95321317</v>
      </c>
      <c r="E43" s="89"/>
      <c r="F43" s="88">
        <f>F15*'REC Spend projected'!$B$29</f>
        <v>44581443.944371767</v>
      </c>
      <c r="G43" s="88">
        <f>G15*'REC Spend projected'!$B$29</f>
        <v>51034768.170991614</v>
      </c>
      <c r="H43" s="88">
        <f>H15*'REC Spend projected'!$B$29</f>
        <v>81751708.320489988</v>
      </c>
      <c r="I43" s="88">
        <f>I15*'REC Spend projected'!$B$29</f>
        <v>8304062.6312346682</v>
      </c>
      <c r="J43" s="88">
        <f>J15*'REC Spend projected'!$B$29</f>
        <v>0</v>
      </c>
      <c r="K43" s="88">
        <f>K15*'REC Spend projected'!$B$29</f>
        <v>0</v>
      </c>
      <c r="L43" s="88">
        <f>L15*'REC Spend projected'!$B$29</f>
        <v>0</v>
      </c>
      <c r="M43" s="88">
        <f>M15*'REC Spend projected'!$B$29</f>
        <v>0</v>
      </c>
      <c r="N43" s="88">
        <f>N15*'REC Spend projected'!$B$29</f>
        <v>0</v>
      </c>
      <c r="O43" s="88"/>
      <c r="P43" s="88">
        <f>P15*'REC Spend projected'!$B$29</f>
        <v>19439042.636702746</v>
      </c>
      <c r="Q43" s="88">
        <f t="shared" si="9"/>
        <v>269374462.657004</v>
      </c>
      <c r="R43" s="88">
        <f>'REC Spend projected'!AA42</f>
        <v>-249963673.63769785</v>
      </c>
      <c r="S43" s="88">
        <f>'REC Spend projected'!AE42</f>
        <v>-363882265.43406844</v>
      </c>
      <c r="U43" s="87" t="s">
        <v>29</v>
      </c>
      <c r="V43" s="222">
        <f t="shared" si="12"/>
        <v>64263436.95321317</v>
      </c>
      <c r="W43" s="222">
        <f t="shared" si="13"/>
        <v>0</v>
      </c>
      <c r="X43" s="222">
        <f t="shared" si="14"/>
        <v>44581443.944371767</v>
      </c>
      <c r="Y43" s="222">
        <f t="shared" si="15"/>
        <v>141090539.12271628</v>
      </c>
      <c r="Z43" s="222">
        <f t="shared" si="10"/>
        <v>19439042.636702746</v>
      </c>
      <c r="AA43" s="222">
        <f t="shared" si="11"/>
        <v>-249963673.63769785</v>
      </c>
    </row>
    <row r="44" spans="2:27" ht="15" thickBot="1" x14ac:dyDescent="0.4">
      <c r="B44" s="87" t="s">
        <v>30</v>
      </c>
      <c r="C44" s="88">
        <f>SUM('ABP Under Contract'!K44:P44)</f>
        <v>39968985</v>
      </c>
      <c r="D44" s="88">
        <f>'REC Spend projected'!H43+'REC Spend projected'!I43+'REC Spend projected'!J43+'REC Spend projected'!K43+'REC Spend projected'!L43</f>
        <v>21131806.5473128</v>
      </c>
      <c r="E44" s="89"/>
      <c r="F44" s="88">
        <f>F16*'REC Spend projected'!$B$29</f>
        <v>43148186.275584348</v>
      </c>
      <c r="G44" s="88">
        <f>G16*'REC Spend projected'!$B$29</f>
        <v>49121942.155239351</v>
      </c>
      <c r="H44" s="88">
        <f>H16*'REC Spend projected'!$B$29</f>
        <v>47039430.578098297</v>
      </c>
      <c r="I44" s="88">
        <f>I16*'REC Spend projected'!$B$29</f>
        <v>59799343.787370175</v>
      </c>
      <c r="J44" s="88">
        <f>J16*'REC Spend projected'!$B$29</f>
        <v>0</v>
      </c>
      <c r="K44" s="88">
        <f>K16*'REC Spend projected'!$B$29</f>
        <v>0</v>
      </c>
      <c r="L44" s="88">
        <f>L16*'REC Spend projected'!$B$29</f>
        <v>0</v>
      </c>
      <c r="M44" s="88">
        <f>M16*'REC Spend projected'!$B$29</f>
        <v>0</v>
      </c>
      <c r="N44" s="88">
        <f>N16*'REC Spend projected'!$B$29</f>
        <v>0</v>
      </c>
      <c r="O44" s="88"/>
      <c r="P44" s="88">
        <f>P16*'REC Spend projected'!$B$29</f>
        <v>19472044.576388851</v>
      </c>
      <c r="Q44" s="88">
        <f t="shared" si="9"/>
        <v>279681738.91999382</v>
      </c>
      <c r="R44" s="88">
        <f>'REC Spend projected'!AA43</f>
        <v>-363882265.43406844</v>
      </c>
      <c r="S44" s="88">
        <f>'REC Spend projected'!AE43</f>
        <v>-477108942.02180624</v>
      </c>
      <c r="U44" s="87" t="s">
        <v>30</v>
      </c>
      <c r="V44" s="222">
        <f t="shared" si="12"/>
        <v>61100791.547312796</v>
      </c>
      <c r="W44" s="222">
        <f t="shared" si="13"/>
        <v>0</v>
      </c>
      <c r="X44" s="222">
        <f t="shared" si="14"/>
        <v>43148186.275584348</v>
      </c>
      <c r="Y44" s="222">
        <f t="shared" si="15"/>
        <v>155960716.52070782</v>
      </c>
      <c r="Z44" s="222">
        <f t="shared" si="10"/>
        <v>19472044.576388851</v>
      </c>
      <c r="AA44" s="222">
        <f t="shared" si="11"/>
        <v>-363882265.43406844</v>
      </c>
    </row>
    <row r="45" spans="2:27" ht="15" thickBot="1" x14ac:dyDescent="0.4">
      <c r="B45" s="87" t="s">
        <v>31</v>
      </c>
      <c r="C45" s="88">
        <f>SUM('ABP Under Contract'!K45:P45)</f>
        <v>39846205</v>
      </c>
      <c r="D45" s="88">
        <f>'REC Spend projected'!H44+'REC Spend projected'!I44+'REC Spend projected'!J44+'REC Spend projected'!K44+'REC Spend projected'!L44</f>
        <v>17929542.6273872</v>
      </c>
      <c r="E45" s="89"/>
      <c r="F45" s="88">
        <f>F17*'REC Spend projected'!$B$29</f>
        <v>31592608.81296945</v>
      </c>
      <c r="G45" s="88">
        <f>G17*'REC Spend projected'!$B$29</f>
        <v>46024754.438592665</v>
      </c>
      <c r="H45" s="88">
        <f>H17*'REC Spend projected'!$B$29</f>
        <v>43862351.353615403</v>
      </c>
      <c r="I45" s="88">
        <f>I17*'REC Spend projected'!$B$29</f>
        <v>67700359.327179983</v>
      </c>
      <c r="J45" s="88">
        <f>J17*'REC Spend projected'!$B$29</f>
        <v>3901585.0952701718</v>
      </c>
      <c r="K45" s="88">
        <f>K17*'REC Spend projected'!$B$29</f>
        <v>0</v>
      </c>
      <c r="L45" s="88">
        <f>L17*'REC Spend projected'!$B$29</f>
        <v>0</v>
      </c>
      <c r="M45" s="88">
        <f>M17*'REC Spend projected'!$B$29</f>
        <v>0</v>
      </c>
      <c r="N45" s="88">
        <f>N17*'REC Spend projected'!$B$29</f>
        <v>0</v>
      </c>
      <c r="O45" s="88"/>
      <c r="P45" s="88">
        <f>P17*'REC Spend projected'!$B$29</f>
        <v>19487971.4640413</v>
      </c>
      <c r="Q45" s="88">
        <f t="shared" si="9"/>
        <v>270345378.11905617</v>
      </c>
      <c r="R45" s="88">
        <f>'REC Spend projected'!AA44</f>
        <v>-477108942.02180624</v>
      </c>
      <c r="S45" s="88">
        <f>'REC Spend projected'!AE44</f>
        <v>-560026099.15042925</v>
      </c>
      <c r="U45" s="87" t="s">
        <v>31</v>
      </c>
      <c r="V45" s="222">
        <f t="shared" si="12"/>
        <v>57775747.627387196</v>
      </c>
      <c r="W45" s="222">
        <f t="shared" si="13"/>
        <v>0</v>
      </c>
      <c r="X45" s="222">
        <f t="shared" si="14"/>
        <v>31592608.81296945</v>
      </c>
      <c r="Y45" s="222">
        <f t="shared" si="15"/>
        <v>161489050.2146582</v>
      </c>
      <c r="Z45" s="222">
        <f t="shared" si="10"/>
        <v>19487971.4640413</v>
      </c>
      <c r="AA45" s="222">
        <f t="shared" si="11"/>
        <v>-477108942.02180624</v>
      </c>
    </row>
    <row r="46" spans="2:27" ht="15" thickBot="1" x14ac:dyDescent="0.4">
      <c r="B46" s="87" t="s">
        <v>32</v>
      </c>
      <c r="C46" s="88">
        <f>SUM('ABP Under Contract'!K46:P46)</f>
        <v>39723981</v>
      </c>
      <c r="D46" s="88">
        <f>'REC Spend projected'!H45+'REC Spend projected'!I45+'REC Spend projected'!J45+'REC Spend projected'!K45+'REC Spend projected'!L45</f>
        <v>14288779.277906213</v>
      </c>
      <c r="E46" s="89"/>
      <c r="F46" s="88">
        <f>F18*'REC Spend projected'!$B$29</f>
        <v>19151956.188956659</v>
      </c>
      <c r="G46" s="88">
        <f>G18*'REC Spend projected'!$B$29</f>
        <v>43250657.433582619</v>
      </c>
      <c r="H46" s="88">
        <f>H18*'REC Spend projected'!$B$29</f>
        <v>41081294.654471964</v>
      </c>
      <c r="I46" s="88">
        <f>I18*'REC Spend projected'!$B$29</f>
        <v>35524054.007113546</v>
      </c>
      <c r="J46" s="88">
        <f>J18*'REC Spend projected'!$B$29</f>
        <v>47887291.341030844</v>
      </c>
      <c r="K46" s="88">
        <f>K18*'REC Spend projected'!$B$29</f>
        <v>0</v>
      </c>
      <c r="L46" s="88">
        <f>L18*'REC Spend projected'!$B$29</f>
        <v>0</v>
      </c>
      <c r="M46" s="88">
        <f>M18*'REC Spend projected'!$B$29</f>
        <v>0</v>
      </c>
      <c r="N46" s="88">
        <f>N18*'REC Spend projected'!$B$29</f>
        <v>0</v>
      </c>
      <c r="O46" s="88"/>
      <c r="P46" s="88">
        <f>P18*'REC Spend projected'!$B$29</f>
        <v>19513833.370341349</v>
      </c>
      <c r="Q46" s="88">
        <f t="shared" si="9"/>
        <v>260421847.2734032</v>
      </c>
      <c r="R46" s="88">
        <f>'REC Spend projected'!AA45</f>
        <v>-560026099.15042925</v>
      </c>
      <c r="S46" s="88">
        <f>'REC Spend projected'!AE45</f>
        <v>-628258453.04290164</v>
      </c>
      <c r="U46" s="87" t="s">
        <v>32</v>
      </c>
      <c r="V46" s="222">
        <f t="shared" si="12"/>
        <v>54012760.277906209</v>
      </c>
      <c r="W46" s="222">
        <f t="shared" si="13"/>
        <v>0</v>
      </c>
      <c r="X46" s="222">
        <f t="shared" si="14"/>
        <v>19151956.188956659</v>
      </c>
      <c r="Y46" s="222">
        <f t="shared" si="15"/>
        <v>167743297.43619898</v>
      </c>
      <c r="Z46" s="222">
        <f t="shared" si="10"/>
        <v>19513833.370341349</v>
      </c>
      <c r="AA46" s="222">
        <f t="shared" si="11"/>
        <v>-560026099.15042925</v>
      </c>
    </row>
    <row r="47" spans="2:27" ht="15" thickBot="1" x14ac:dyDescent="0.4">
      <c r="B47" s="87" t="s">
        <v>33</v>
      </c>
      <c r="C47" s="88">
        <f>SUM('ABP Under Contract'!K47:P47)</f>
        <v>39601858</v>
      </c>
      <c r="D47" s="88">
        <f>'REC Spend projected'!H46+'REC Spend projected'!I46+'REC Spend projected'!J46+'REC Spend projected'!K46+'REC Spend projected'!L46</f>
        <v>9681686.5982920416</v>
      </c>
      <c r="E47" s="89"/>
      <c r="F47" s="88">
        <f>F19*'REC Spend projected'!$B$29</f>
        <v>14928148.928012833</v>
      </c>
      <c r="G47" s="88">
        <f>G19*'REC Spend projected'!$B$29</f>
        <v>31055027.110517114</v>
      </c>
      <c r="H47" s="88">
        <f>H19*'REC Spend projected'!$B$29</f>
        <v>37377477.906803608</v>
      </c>
      <c r="I47" s="88">
        <f>I19*'REC Spend projected'!$B$29</f>
        <v>32863366.207082801</v>
      </c>
      <c r="J47" s="88">
        <f>J19*'REC Spend projected'!$B$29</f>
        <v>36930391.782946363</v>
      </c>
      <c r="K47" s="88">
        <f>K19*'REC Spend projected'!$B$29</f>
        <v>2508106.6611196562</v>
      </c>
      <c r="L47" s="88">
        <f>L19*'REC Spend projected'!$B$29</f>
        <v>0</v>
      </c>
      <c r="M47" s="88">
        <f>M19*'REC Spend projected'!$B$29</f>
        <v>0</v>
      </c>
      <c r="N47" s="88">
        <f>N19*'REC Spend projected'!$B$29</f>
        <v>0</v>
      </c>
      <c r="O47" s="88"/>
      <c r="P47" s="88">
        <f>P19*'REC Spend projected'!$B$29</f>
        <v>19532808.042153396</v>
      </c>
      <c r="Q47" s="88">
        <f t="shared" si="9"/>
        <v>224478871.23692781</v>
      </c>
      <c r="R47" s="88">
        <f>'REC Spend projected'!AA46</f>
        <v>-628258453.04290164</v>
      </c>
      <c r="S47" s="88">
        <f>'REC Spend projected'!AE46</f>
        <v>-675978803.707762</v>
      </c>
      <c r="U47" s="87" t="s">
        <v>33</v>
      </c>
      <c r="V47" s="222">
        <f t="shared" si="12"/>
        <v>49283544.598292038</v>
      </c>
      <c r="W47" s="222">
        <f t="shared" si="13"/>
        <v>0</v>
      </c>
      <c r="X47" s="222">
        <f t="shared" si="14"/>
        <v>14928148.928012833</v>
      </c>
      <c r="Y47" s="222">
        <f t="shared" si="15"/>
        <v>140734369.66846958</v>
      </c>
      <c r="Z47" s="222">
        <f t="shared" si="10"/>
        <v>19532808.042153396</v>
      </c>
      <c r="AA47" s="222">
        <f t="shared" si="11"/>
        <v>-628258453.04290164</v>
      </c>
    </row>
    <row r="48" spans="2:27" ht="15" thickBot="1" x14ac:dyDescent="0.4">
      <c r="B48" s="87" t="s">
        <v>34</v>
      </c>
      <c r="C48" s="88">
        <f>SUM('ABP Under Contract'!K48:P48)</f>
        <v>39480874</v>
      </c>
      <c r="D48" s="88">
        <f>'REC Spend projected'!H47+'REC Spend projected'!I47+'REC Spend projected'!J47+'REC Spend projected'!K47+'REC Spend projected'!L47</f>
        <v>2775265.3236604566</v>
      </c>
      <c r="E48" s="89"/>
      <c r="F48" s="88">
        <f>F20*'REC Spend projected'!$B$29</f>
        <v>12168406.281525986</v>
      </c>
      <c r="G48" s="88">
        <f>G20*'REC Spend projected'!$B$29</f>
        <v>17869914.800061934</v>
      </c>
      <c r="H48" s="88">
        <f>H20*'REC Spend projected'!$B$29</f>
        <v>33720905.603784196</v>
      </c>
      <c r="I48" s="88">
        <f>I20*'REC Spend projected'!$B$29</f>
        <v>30301617.955947757</v>
      </c>
      <c r="J48" s="88">
        <f>J20*'REC Spend projected'!$B$29</f>
        <v>21509391.317261964</v>
      </c>
      <c r="K48" s="88">
        <f>K20*'REC Spend projected'!$B$29</f>
        <v>22442183.307107333</v>
      </c>
      <c r="L48" s="88">
        <f>L20*'REC Spend projected'!$B$29</f>
        <v>0</v>
      </c>
      <c r="M48" s="88">
        <f>M20*'REC Spend projected'!$B$29</f>
        <v>0</v>
      </c>
      <c r="N48" s="88">
        <f>N20*'REC Spend projected'!$B$29</f>
        <v>0</v>
      </c>
      <c r="O48" s="88"/>
      <c r="P48" s="88">
        <f>P20*'REC Spend projected'!$B$29</f>
        <v>19555386.032194737</v>
      </c>
      <c r="Q48" s="88">
        <f t="shared" si="9"/>
        <v>199823944.62154436</v>
      </c>
      <c r="R48" s="88">
        <f>'REC Spend projected'!AA47</f>
        <v>-675978803.707762</v>
      </c>
      <c r="S48" s="88">
        <f>'REC Spend projected'!AE47</f>
        <v>-699975010.37877977</v>
      </c>
      <c r="U48" s="87" t="s">
        <v>34</v>
      </c>
      <c r="V48" s="222">
        <f t="shared" si="12"/>
        <v>42256139.323660456</v>
      </c>
      <c r="W48" s="222">
        <f t="shared" si="13"/>
        <v>0</v>
      </c>
      <c r="X48" s="222">
        <f t="shared" si="14"/>
        <v>12168406.281525986</v>
      </c>
      <c r="Y48" s="222">
        <f t="shared" si="15"/>
        <v>125844012.98416318</v>
      </c>
      <c r="Z48" s="222">
        <f t="shared" si="10"/>
        <v>19555386.032194737</v>
      </c>
      <c r="AA48" s="222">
        <f t="shared" si="11"/>
        <v>-675978803.707762</v>
      </c>
    </row>
    <row r="49" spans="2:27" ht="15" thickBot="1" x14ac:dyDescent="0.4">
      <c r="B49" s="87" t="s">
        <v>35</v>
      </c>
      <c r="C49" s="88">
        <f>SUM('ABP Under Contract'!K49:P49)</f>
        <v>39360548</v>
      </c>
      <c r="D49" s="88">
        <f>'REC Spend projected'!H48+'REC Spend projected'!I48+'REC Spend projected'!J48+'REC Spend projected'!K48+'REC Spend projected'!L48</f>
        <v>-2437942.782868328</v>
      </c>
      <c r="E49" s="89"/>
      <c r="F49" s="88">
        <f>F21*'REC Spend projected'!$B$29</f>
        <v>9477250.8843398467</v>
      </c>
      <c r="G49" s="88">
        <f>G21*'REC Spend projected'!$B$29</f>
        <v>12999594.329688968</v>
      </c>
      <c r="H49" s="88">
        <f>H21*'REC Spend projected'!$B$29</f>
        <v>22326683.684033301</v>
      </c>
      <c r="I49" s="88">
        <f>I21*'REC Spend projected'!$B$29</f>
        <v>27808160.266954228</v>
      </c>
      <c r="J49" s="88">
        <f>J21*'REC Spend projected'!$B$29</f>
        <v>19886106.015960105</v>
      </c>
      <c r="K49" s="88">
        <f>K21*'REC Spend projected'!$B$29</f>
        <v>25788184.865391742</v>
      </c>
      <c r="L49" s="88">
        <f>L21*'REC Spend projected'!$B$29</f>
        <v>940251.70599683258</v>
      </c>
      <c r="M49" s="88">
        <f>M21*'REC Spend projected'!$B$29</f>
        <v>0</v>
      </c>
      <c r="N49" s="88">
        <f>N21*'REC Spend projected'!$B$29</f>
        <v>0</v>
      </c>
      <c r="O49" s="88"/>
      <c r="P49" s="88">
        <f>P21*'REC Spend projected'!$B$29</f>
        <v>19566254.996370465</v>
      </c>
      <c r="Q49" s="88">
        <f t="shared" si="9"/>
        <v>175715091.96586716</v>
      </c>
      <c r="R49" s="88">
        <f>'REC Spend projected'!AA48</f>
        <v>-699975010.37877977</v>
      </c>
      <c r="S49" s="88">
        <f>'REC Spend projected'!AE48</f>
        <v>-700731739.86562824</v>
      </c>
      <c r="U49" s="87" t="s">
        <v>35</v>
      </c>
      <c r="V49" s="222">
        <f t="shared" si="12"/>
        <v>36922605.217131674</v>
      </c>
      <c r="W49" s="222">
        <f t="shared" si="13"/>
        <v>0</v>
      </c>
      <c r="X49" s="222">
        <f t="shared" si="14"/>
        <v>9477250.8843398467</v>
      </c>
      <c r="Y49" s="222">
        <f t="shared" si="15"/>
        <v>109748980.86802518</v>
      </c>
      <c r="Z49" s="222">
        <f t="shared" si="10"/>
        <v>19566254.996370465</v>
      </c>
      <c r="AA49" s="222">
        <f t="shared" si="11"/>
        <v>-699975010.37877977</v>
      </c>
    </row>
    <row r="50" spans="2:27" ht="15" thickBot="1" x14ac:dyDescent="0.4">
      <c r="B50" s="87" t="s">
        <v>36</v>
      </c>
      <c r="C50" s="88">
        <f>SUM('ABP Under Contract'!K50:P50)</f>
        <v>39240708</v>
      </c>
      <c r="D50" s="88">
        <f>'REC Spend projected'!H49+'REC Spend projected'!I49+'REC Spend projected'!J49+'REC Spend projected'!K49+'REC Spend projected'!L49</f>
        <v>-5788954.9781319136</v>
      </c>
      <c r="E50" s="89"/>
      <c r="F50" s="88">
        <f>F22*'REC Spend projected'!$B$29</f>
        <v>6791494.5740233911</v>
      </c>
      <c r="G50" s="88">
        <f>G22*'REC Spend projected'!$B$29</f>
        <v>9464767.3225742225</v>
      </c>
      <c r="H50" s="88">
        <f>H22*'REC Spend projected'!$B$29</f>
        <v>9991343.1606641244</v>
      </c>
      <c r="I50" s="88">
        <f>I22*'REC Spend projected'!$B$29</f>
        <v>25324528.512037341</v>
      </c>
      <c r="J50" s="88">
        <f>J22*'REC Spend projected'!$B$29</f>
        <v>18300509.587505218</v>
      </c>
      <c r="K50" s="88">
        <f>K22*'REC Spend projected'!$B$29</f>
        <v>11372756.198060498</v>
      </c>
      <c r="L50" s="88">
        <f>L22*'REC Spend projected'!$B$29</f>
        <v>17856205.967299219</v>
      </c>
      <c r="M50" s="88">
        <f>M22*'REC Spend projected'!$B$29</f>
        <v>0</v>
      </c>
      <c r="N50" s="88">
        <f>N22*'REC Spend projected'!$B$29</f>
        <v>0</v>
      </c>
      <c r="O50" s="88"/>
      <c r="P50" s="88">
        <f>P22*'REC Spend projected'!$B$29</f>
        <v>19590308.276373878</v>
      </c>
      <c r="Q50" s="88">
        <f t="shared" si="9"/>
        <v>152143666.62040597</v>
      </c>
      <c r="R50" s="88">
        <f>'REC Spend projected'!AA49</f>
        <v>-700731739.86562824</v>
      </c>
      <c r="S50" s="88">
        <f>'REC Spend projected'!AE49</f>
        <v>-678768711.70705748</v>
      </c>
      <c r="U50" s="87" t="s">
        <v>36</v>
      </c>
      <c r="V50" s="222">
        <f t="shared" si="12"/>
        <v>33451753.021868087</v>
      </c>
      <c r="W50" s="222">
        <f t="shared" si="13"/>
        <v>0</v>
      </c>
      <c r="X50" s="222">
        <f t="shared" si="14"/>
        <v>6791494.5740233911</v>
      </c>
      <c r="Y50" s="222">
        <f t="shared" si="15"/>
        <v>92310110.748140633</v>
      </c>
      <c r="Z50" s="222">
        <f t="shared" si="10"/>
        <v>19590308.276373878</v>
      </c>
      <c r="AA50" s="222">
        <f t="shared" si="11"/>
        <v>-700731739.86562824</v>
      </c>
    </row>
    <row r="51" spans="2:27" ht="15" thickBot="1" x14ac:dyDescent="0.4">
      <c r="B51" s="87" t="s">
        <v>37</v>
      </c>
      <c r="C51" s="88">
        <f>SUM('ABP Under Contract'!K51:P51)</f>
        <v>39121334</v>
      </c>
      <c r="D51" s="88">
        <f>'REC Spend projected'!H50+'REC Spend projected'!I50+'REC Spend projected'!J50+'REC Spend projected'!K50+'REC Spend projected'!L50</f>
        <v>-8993982.4129289798</v>
      </c>
      <c r="E51" s="89"/>
      <c r="F51" s="88">
        <f>F23*'REC Spend projected'!$B$29</f>
        <v>4206223.1218589135</v>
      </c>
      <c r="G51" s="88">
        <f>G23*'REC Spend projected'!$B$29</f>
        <v>6069082.9938450074</v>
      </c>
      <c r="H51" s="88">
        <f>H23*'REC Spend projected'!$B$29</f>
        <v>5368716.6533362819</v>
      </c>
      <c r="I51" s="88">
        <f>I23*'REC Spend projected'!$B$29</f>
        <v>15716909.329419049</v>
      </c>
      <c r="J51" s="88">
        <f>J23*'REC Spend projected'!$B$29</f>
        <v>16777862.595143732</v>
      </c>
      <c r="K51" s="88">
        <f>K23*'REC Spend projected'!$B$29</f>
        <v>9828046.4414207302</v>
      </c>
      <c r="L51" s="88">
        <f>L23*'REC Spend projected'!$B$29</f>
        <v>20880604.045362316</v>
      </c>
      <c r="M51" s="88">
        <f>M23*'REC Spend projected'!$B$29</f>
        <v>-580285.64569248667</v>
      </c>
      <c r="N51" s="88">
        <f>N23*'REC Spend projected'!$B$29</f>
        <v>0</v>
      </c>
      <c r="O51" s="88"/>
      <c r="P51" s="88">
        <f>P23*'REC Spend projected'!$B$29</f>
        <v>19609853.52212083</v>
      </c>
      <c r="Q51" s="88">
        <f t="shared" si="9"/>
        <v>128004364.64388539</v>
      </c>
      <c r="R51" s="88">
        <f>'REC Spend projected'!AA50</f>
        <v>-678768711.70705748</v>
      </c>
      <c r="S51" s="88">
        <f>'REC Spend projected'!AE50</f>
        <v>-633051555.99609125</v>
      </c>
      <c r="U51" s="87" t="s">
        <v>37</v>
      </c>
      <c r="V51" s="222">
        <f t="shared" si="12"/>
        <v>30127351.58707102</v>
      </c>
      <c r="W51" s="222">
        <f t="shared" si="13"/>
        <v>0</v>
      </c>
      <c r="X51" s="222">
        <f t="shared" si="14"/>
        <v>4206223.1218589135</v>
      </c>
      <c r="Y51" s="222">
        <f t="shared" si="15"/>
        <v>74060936.412834629</v>
      </c>
      <c r="Z51" s="222">
        <f t="shared" si="10"/>
        <v>19609853.52212083</v>
      </c>
      <c r="AA51" s="222">
        <f t="shared" si="11"/>
        <v>-678768711.70705748</v>
      </c>
    </row>
    <row r="52" spans="2:27" ht="15" thickBot="1" x14ac:dyDescent="0.4">
      <c r="B52" s="87" t="s">
        <v>38</v>
      </c>
      <c r="C52" s="88">
        <f>SUM('ABP Under Contract'!K52:P52)</f>
        <v>37628743</v>
      </c>
      <c r="D52" s="88">
        <f>'REC Spend projected'!H51+'REC Spend projected'!I51+'REC Spend projected'!J51+'REC Spend projected'!K51+'REC Spend projected'!L51</f>
        <v>-12285017.125194872</v>
      </c>
      <c r="E52" s="89"/>
      <c r="F52" s="88">
        <f>F24*'REC Spend projected'!$B$29</f>
        <v>1728114.8999118125</v>
      </c>
      <c r="G52" s="88">
        <f>G24*'REC Spend projected'!$B$29</f>
        <v>2820901.2897336935</v>
      </c>
      <c r="H52" s="88">
        <f>H24*'REC Spend projected'!$B$29</f>
        <v>2112108.2912817905</v>
      </c>
      <c r="I52" s="88">
        <f>I24*'REC Spend projected'!$B$29</f>
        <v>5332167.0867310222</v>
      </c>
      <c r="J52" s="88">
        <f>J24*'REC Spend projected'!$B$29</f>
        <v>15321823.095336074</v>
      </c>
      <c r="K52" s="88">
        <f>K24*'REC Spend projected'!$B$29</f>
        <v>8378249.1201984501</v>
      </c>
      <c r="L52" s="88">
        <f>L24*'REC Spend projected'!$B$29</f>
        <v>7596565.9531089058</v>
      </c>
      <c r="M52" s="88">
        <f>M24*'REC Spend projected'!$B$29</f>
        <v>13561255.632069131</v>
      </c>
      <c r="N52" s="88">
        <f>N24*'REC Spend projected'!$B$29</f>
        <v>0</v>
      </c>
      <c r="O52" s="88"/>
      <c r="P52" s="88">
        <f>P24*'REC Spend projected'!$B$29</f>
        <v>19633192.956074465</v>
      </c>
      <c r="Q52" s="88">
        <f t="shared" si="9"/>
        <v>101828104.19925046</v>
      </c>
      <c r="R52" s="88">
        <f>'REC Spend projected'!AA51</f>
        <v>-633051555.99609125</v>
      </c>
      <c r="S52" s="88">
        <f>'REC Spend projected'!AE51</f>
        <v>-566509059.14686835</v>
      </c>
      <c r="U52" s="87" t="s">
        <v>38</v>
      </c>
      <c r="V52" s="222">
        <f t="shared" si="12"/>
        <v>25343725.87480513</v>
      </c>
      <c r="W52" s="222">
        <f t="shared" si="13"/>
        <v>0</v>
      </c>
      <c r="X52" s="222">
        <f t="shared" si="14"/>
        <v>1728114.8999118125</v>
      </c>
      <c r="Y52" s="222">
        <f t="shared" si="15"/>
        <v>55123070.46845907</v>
      </c>
      <c r="Z52" s="222">
        <f t="shared" si="10"/>
        <v>19633192.956074465</v>
      </c>
      <c r="AA52" s="222">
        <f t="shared" si="11"/>
        <v>-633051555.99609125</v>
      </c>
    </row>
    <row r="53" spans="2:27" ht="15" thickBot="1" x14ac:dyDescent="0.4">
      <c r="B53" s="87" t="s">
        <v>39</v>
      </c>
      <c r="C53" s="88">
        <f>SUM('ABP Under Contract'!K53:P53)</f>
        <v>37517366</v>
      </c>
      <c r="D53" s="88">
        <f>'REC Spend projected'!H52+'REC Spend projected'!I52+'REC Spend projected'!J52+'REC Spend projected'!K52+'REC Spend projected'!L52</f>
        <v>-15504430.448695172</v>
      </c>
      <c r="E53" s="89"/>
      <c r="F53" s="88">
        <f>F25*'REC Spend projected'!$B$29</f>
        <v>-818346.22300424532</v>
      </c>
      <c r="G53" s="88">
        <f>G25*'REC Spend projected'!$B$29</f>
        <v>-510890.29275874881</v>
      </c>
      <c r="H53" s="88">
        <f>H25*'REC Spend projected'!$B$29</f>
        <v>-1228367.4136475218</v>
      </c>
      <c r="I53" s="88">
        <f>I25*'REC Spend projected'!$B$29</f>
        <v>1868253.697119867</v>
      </c>
      <c r="J53" s="88">
        <f>J25*'REC Spend projected'!$B$29</f>
        <v>7174356.4941990227</v>
      </c>
      <c r="K53" s="88">
        <f>K25*'REC Spend projected'!$B$29</f>
        <v>2931916.0227693492</v>
      </c>
      <c r="L53" s="88">
        <f>L25*'REC Spend projected'!$B$29</f>
        <v>6079383.8608721783</v>
      </c>
      <c r="M53" s="88">
        <f>M25*'REC Spend projected'!$B$29</f>
        <v>16254577.634375496</v>
      </c>
      <c r="N53" s="88">
        <f>N25*'REC Spend projected'!$B$29</f>
        <v>-2033385.1191768234</v>
      </c>
      <c r="O53" s="88"/>
      <c r="P53" s="88">
        <f>P25*'REC Spend projected'!$B$29</f>
        <v>19649257.094017625</v>
      </c>
      <c r="Q53" s="88">
        <f t="shared" ref="Q53:Q54" si="16">SUM(C53:P53)</f>
        <v>71379691.306071043</v>
      </c>
      <c r="R53" s="88">
        <f>'REC Spend projected'!AA52</f>
        <v>-566509059.14686835</v>
      </c>
      <c r="S53" s="88">
        <f>'REC Spend projected'!AE52</f>
        <v>-456908265.22347844</v>
      </c>
      <c r="U53" s="87" t="s">
        <v>39</v>
      </c>
      <c r="V53" s="222">
        <f t="shared" si="12"/>
        <v>22012935.551304828</v>
      </c>
      <c r="W53" s="222">
        <f t="shared" si="13"/>
        <v>0</v>
      </c>
      <c r="X53" s="222">
        <f t="shared" si="14"/>
        <v>-818346.22300424532</v>
      </c>
      <c r="Y53" s="222">
        <f t="shared" si="15"/>
        <v>30535844.883752819</v>
      </c>
      <c r="Z53" s="222">
        <f t="shared" si="10"/>
        <v>19649257.094017625</v>
      </c>
      <c r="AA53" s="222">
        <f t="shared" si="11"/>
        <v>-566509059.14686835</v>
      </c>
    </row>
    <row r="54" spans="2:27" ht="15" thickBot="1" x14ac:dyDescent="0.4">
      <c r="B54" s="87" t="s">
        <v>40</v>
      </c>
      <c r="C54" s="88">
        <f>SUM('ABP Under Contract'!K54:P54)</f>
        <v>33809737</v>
      </c>
      <c r="D54" s="88">
        <f>'REC Spend projected'!H53+'REC Spend projected'!I53+'REC Spend projected'!J53+'REC Spend projected'!K53+'REC Spend projected'!L53</f>
        <v>-27367458.648987647</v>
      </c>
      <c r="E54" s="89"/>
      <c r="F54" s="88">
        <f>F26*'REC Spend projected'!$B$29</f>
        <v>-3313783.9218515656</v>
      </c>
      <c r="G54" s="88">
        <f>G26*'REC Spend projected'!$B$29</f>
        <v>-3769325.1131210853</v>
      </c>
      <c r="H54" s="88">
        <f>H26*'REC Spend projected'!$B$29</f>
        <v>-4495154.3241877845</v>
      </c>
      <c r="I54" s="88">
        <f>I26*'REC Spend projected'!$B$29</f>
        <v>-421891.52711530711</v>
      </c>
      <c r="J54" s="88">
        <f>J26*'REC Spend projected'!$B$29</f>
        <v>1443651.8282962695</v>
      </c>
      <c r="K54" s="88">
        <f>K26*'REC Spend projected'!$B$29</f>
        <v>5439517.0133894971</v>
      </c>
      <c r="L54" s="88">
        <f>L26*'REC Spend projected'!$B$29</f>
        <v>4621921.440708112</v>
      </c>
      <c r="M54" s="88">
        <f>M26*'REC Spend projected'!$B$29</f>
        <v>3890172.8277908475</v>
      </c>
      <c r="N54" s="88">
        <f>N26*'REC Spend projected'!$B$29</f>
        <v>24266920.424336322</v>
      </c>
      <c r="O54" s="88"/>
      <c r="P54" s="88">
        <f>P26*'REC Spend projected'!$B$29</f>
        <v>19665619.837493822</v>
      </c>
      <c r="Q54" s="88">
        <f t="shared" si="16"/>
        <v>53769926.836751476</v>
      </c>
      <c r="R54" s="88">
        <f>'REC Spend projected'!AA52</f>
        <v>-566509059.14686835</v>
      </c>
      <c r="S54" s="88">
        <f>'REC Spend projected'!AE53</f>
        <v>-314665727.60523808</v>
      </c>
      <c r="U54" s="87" t="s">
        <v>40</v>
      </c>
      <c r="V54" s="222">
        <f t="shared" si="12"/>
        <v>6442278.3510123529</v>
      </c>
      <c r="W54" s="222">
        <f t="shared" si="13"/>
        <v>0</v>
      </c>
      <c r="X54" s="222">
        <f t="shared" si="14"/>
        <v>-3313783.9218515656</v>
      </c>
      <c r="Y54" s="222">
        <f t="shared" si="15"/>
        <v>30975812.570096869</v>
      </c>
      <c r="Z54" s="222">
        <f t="shared" si="10"/>
        <v>19665619.837493822</v>
      </c>
      <c r="AA54" s="222">
        <f t="shared" si="11"/>
        <v>-566509059.14686835</v>
      </c>
    </row>
    <row r="57" spans="2:27" ht="15" thickBot="1" x14ac:dyDescent="0.4">
      <c r="B57" s="1" t="s">
        <v>43</v>
      </c>
    </row>
    <row r="58" spans="2:27" ht="15.75" customHeight="1" thickBot="1" x14ac:dyDescent="0.4">
      <c r="B58" s="309"/>
      <c r="C58" s="310"/>
      <c r="D58" s="310"/>
      <c r="E58" s="311"/>
      <c r="F58" s="312"/>
      <c r="G58" s="316"/>
      <c r="H58" s="313"/>
      <c r="I58" s="314"/>
      <c r="J58" s="313"/>
      <c r="K58" s="314"/>
      <c r="L58" s="81"/>
      <c r="M58" s="241"/>
      <c r="N58" s="241"/>
      <c r="O58" s="241"/>
      <c r="P58" s="241"/>
      <c r="Q58" s="241"/>
      <c r="R58" s="241"/>
      <c r="S58" s="241"/>
    </row>
    <row r="59" spans="2:27" ht="21.5" thickBot="1" x14ac:dyDescent="0.4">
      <c r="B59" s="82" t="s">
        <v>1</v>
      </c>
      <c r="C59" s="83" t="s">
        <v>255</v>
      </c>
      <c r="D59" s="83" t="s">
        <v>256</v>
      </c>
      <c r="E59" s="84" t="s">
        <v>265</v>
      </c>
      <c r="F59" s="84" t="s">
        <v>94</v>
      </c>
      <c r="G59" s="84" t="s">
        <v>95</v>
      </c>
      <c r="H59" s="84" t="s">
        <v>96</v>
      </c>
      <c r="I59" s="84" t="s">
        <v>97</v>
      </c>
      <c r="J59" s="84" t="s">
        <v>98</v>
      </c>
      <c r="K59" s="84" t="s">
        <v>99</v>
      </c>
      <c r="L59" s="84" t="s">
        <v>100</v>
      </c>
      <c r="M59" s="84" t="s">
        <v>101</v>
      </c>
      <c r="N59" s="84" t="s">
        <v>102</v>
      </c>
      <c r="O59" s="84"/>
      <c r="P59" s="84" t="s">
        <v>258</v>
      </c>
      <c r="Q59" s="83" t="s">
        <v>259</v>
      </c>
      <c r="R59" s="83" t="s">
        <v>260</v>
      </c>
      <c r="S59" s="85" t="s">
        <v>251</v>
      </c>
      <c r="U59" s="203" t="s">
        <v>1</v>
      </c>
      <c r="V59" s="85" t="s">
        <v>207</v>
      </c>
      <c r="W59" s="85" t="s">
        <v>266</v>
      </c>
      <c r="X59" s="85" t="s">
        <v>94</v>
      </c>
      <c r="Y59" s="85" t="s">
        <v>262</v>
      </c>
      <c r="Z59" s="85" t="s">
        <v>263</v>
      </c>
      <c r="AA59" s="85" t="s">
        <v>264</v>
      </c>
    </row>
    <row r="60" spans="2:27" ht="15" thickBot="1" x14ac:dyDescent="0.4">
      <c r="B60" s="87" t="s">
        <v>17</v>
      </c>
      <c r="C60" s="88">
        <f>SUM('ABP Under Contract'!K62:P62)</f>
        <v>160454350</v>
      </c>
      <c r="D60" s="88">
        <f>'REC Spend projected'!H58+'REC Spend projected'!I58+'REC Spend projected'!J58+'REC Spend projected'!K58+'REC Spend projected'!L58</f>
        <v>27118112.830711424</v>
      </c>
      <c r="E60" s="89"/>
      <c r="F60" s="88">
        <f>F4*'REC Spend projected'!$B$56</f>
        <v>0</v>
      </c>
      <c r="G60" s="88">
        <f>G4*'REC Spend projected'!$B$56</f>
        <v>0</v>
      </c>
      <c r="H60" s="88">
        <f>H4*'REC Spend projected'!$B$56</f>
        <v>0</v>
      </c>
      <c r="I60" s="88">
        <f>I4*'REC Spend projected'!$B$56</f>
        <v>0</v>
      </c>
      <c r="J60" s="88">
        <f>J4*'REC Spend projected'!$B$56</f>
        <v>0</v>
      </c>
      <c r="K60" s="88">
        <f>K4*'REC Spend projected'!$B$56</f>
        <v>0</v>
      </c>
      <c r="L60" s="88">
        <f>L4*'REC Spend projected'!$B$56</f>
        <v>0</v>
      </c>
      <c r="M60" s="88">
        <f>M4*'REC Spend projected'!$B$56</f>
        <v>0</v>
      </c>
      <c r="N60" s="88">
        <f>N4*'REC Spend projected'!$B$56</f>
        <v>0</v>
      </c>
      <c r="O60" s="88"/>
      <c r="P60" s="88">
        <f>P4*'REC Spend projected'!$B$56</f>
        <v>12710186.330507539</v>
      </c>
      <c r="Q60" s="88">
        <f t="shared" ref="Q60:Q80" si="17">SUM(C60:P60)</f>
        <v>200282649.16121897</v>
      </c>
      <c r="R60" s="88">
        <f>'REC Spend projected'!AA58</f>
        <v>204555086.45917991</v>
      </c>
      <c r="S60" s="88">
        <f>'REC Spend projected'!AE58</f>
        <v>172262504.0511311</v>
      </c>
      <c r="U60" s="204" t="s">
        <v>17</v>
      </c>
      <c r="V60" s="222">
        <f>SUM(C60:D60)</f>
        <v>187572462.83071142</v>
      </c>
      <c r="W60" s="222">
        <f>E60</f>
        <v>0</v>
      </c>
      <c r="X60" s="222">
        <f>F60</f>
        <v>0</v>
      </c>
      <c r="Y60" s="222">
        <f>SUM(G60:N60)</f>
        <v>0</v>
      </c>
      <c r="Z60" s="222">
        <f t="shared" ref="Z60:Z82" si="18">P60</f>
        <v>12710186.330507539</v>
      </c>
      <c r="AA60" s="222">
        <f t="shared" ref="AA60:AA82" si="19">R60</f>
        <v>204555086.45917991</v>
      </c>
    </row>
    <row r="61" spans="2:27" ht="15" thickBot="1" x14ac:dyDescent="0.4">
      <c r="B61" s="87" t="s">
        <v>18</v>
      </c>
      <c r="C61" s="88">
        <f>SUM('ABP Under Contract'!K63:P63)</f>
        <v>143075681</v>
      </c>
      <c r="D61" s="88">
        <f>'REC Spend projected'!H59+'REC Spend projected'!I59+'REC Spend projected'!J59+'REC Spend projected'!K59+'REC Spend projected'!L59</f>
        <v>32362467.661667578</v>
      </c>
      <c r="E61" s="89"/>
      <c r="F61" s="88">
        <f>F5*'REC Spend projected'!$B$56</f>
        <v>0</v>
      </c>
      <c r="G61" s="88">
        <f>G5*'REC Spend projected'!$B$56</f>
        <v>0</v>
      </c>
      <c r="H61" s="88">
        <f>H5*'REC Spend projected'!$B$56</f>
        <v>0</v>
      </c>
      <c r="I61" s="88">
        <f>I5*'REC Spend projected'!$B$56</f>
        <v>0</v>
      </c>
      <c r="J61" s="88">
        <f>J5*'REC Spend projected'!$B$56</f>
        <v>0</v>
      </c>
      <c r="K61" s="88">
        <f>K5*'REC Spend projected'!$B$56</f>
        <v>0</v>
      </c>
      <c r="L61" s="88">
        <f>L5*'REC Spend projected'!$B$56</f>
        <v>0</v>
      </c>
      <c r="M61" s="88">
        <f>M5*'REC Spend projected'!$B$56</f>
        <v>0</v>
      </c>
      <c r="N61" s="88">
        <f>N5*'REC Spend projected'!$B$56</f>
        <v>0</v>
      </c>
      <c r="O61" s="88"/>
      <c r="P61" s="88">
        <f>P5*'REC Spend projected'!$B$56</f>
        <v>59211237.02176965</v>
      </c>
      <c r="Q61" s="88">
        <f t="shared" si="17"/>
        <v>234649385.68343723</v>
      </c>
      <c r="R61" s="88">
        <f>'REC Spend projected'!AA58</f>
        <v>204555086.45917991</v>
      </c>
      <c r="S61" s="88">
        <f>'REC Spend projected'!AE59</f>
        <v>272903811.36222088</v>
      </c>
      <c r="U61" s="204" t="s">
        <v>18</v>
      </c>
      <c r="V61" s="222">
        <f t="shared" ref="V61:V82" si="20">SUM(C61:D61)</f>
        <v>175438148.66166759</v>
      </c>
      <c r="W61" s="222">
        <f t="shared" ref="W61:W82" si="21">E61</f>
        <v>0</v>
      </c>
      <c r="X61" s="222">
        <f t="shared" ref="X61:X82" si="22">F61</f>
        <v>0</v>
      </c>
      <c r="Y61" s="222">
        <f t="shared" ref="Y61:Y82" si="23">SUM(G61:N61)</f>
        <v>0</v>
      </c>
      <c r="Z61" s="222">
        <f t="shared" si="18"/>
        <v>59211237.02176965</v>
      </c>
      <c r="AA61" s="222">
        <f t="shared" si="19"/>
        <v>204555086.45917991</v>
      </c>
    </row>
    <row r="62" spans="2:27" ht="15" thickBot="1" x14ac:dyDescent="0.4">
      <c r="B62" s="87" t="s">
        <v>19</v>
      </c>
      <c r="C62" s="88">
        <f>SUM('ABP Under Contract'!K64:P64)</f>
        <v>182610483</v>
      </c>
      <c r="D62" s="88">
        <f>'REC Spend projected'!H60+'REC Spend projected'!I60+'REC Spend projected'!J60+'REC Spend projected'!K60+'REC Spend projected'!L60</f>
        <v>33454514.518896408</v>
      </c>
      <c r="E62" s="89"/>
      <c r="F62" s="88">
        <f>F6*'REC Spend projected'!$B$56</f>
        <v>0</v>
      </c>
      <c r="G62" s="88">
        <f>G6*'REC Spend projected'!$B$56</f>
        <v>0</v>
      </c>
      <c r="H62" s="88">
        <f>H6*'REC Spend projected'!$B$56</f>
        <v>0</v>
      </c>
      <c r="I62" s="88">
        <f>I6*'REC Spend projected'!$B$56</f>
        <v>0</v>
      </c>
      <c r="J62" s="88">
        <f>J6*'REC Spend projected'!$B$56</f>
        <v>0</v>
      </c>
      <c r="K62" s="88">
        <f>K6*'REC Spend projected'!$B$56</f>
        <v>0</v>
      </c>
      <c r="L62" s="88">
        <f>L6*'REC Spend projected'!$B$56</f>
        <v>0</v>
      </c>
      <c r="M62" s="88">
        <f>M6*'REC Spend projected'!$B$56</f>
        <v>0</v>
      </c>
      <c r="N62" s="88">
        <f>N6*'REC Spend projected'!$B$56</f>
        <v>0</v>
      </c>
      <c r="O62" s="88"/>
      <c r="P62" s="88">
        <f>P6*'REC Spend projected'!$B$56</f>
        <v>47700647.153309263</v>
      </c>
      <c r="Q62" s="88">
        <f t="shared" si="17"/>
        <v>263765644.67220566</v>
      </c>
      <c r="R62" s="88">
        <f>'REC Spend projected'!AA59</f>
        <v>172262504.0511311</v>
      </c>
      <c r="S62" s="88">
        <f>'REC Spend projected'!AE60</f>
        <v>437770608.55086136</v>
      </c>
      <c r="U62" s="204" t="s">
        <v>19</v>
      </c>
      <c r="V62" s="222">
        <f t="shared" si="20"/>
        <v>216064997.5188964</v>
      </c>
      <c r="W62" s="222">
        <f t="shared" si="21"/>
        <v>0</v>
      </c>
      <c r="X62" s="222">
        <f t="shared" si="22"/>
        <v>0</v>
      </c>
      <c r="Y62" s="222">
        <f t="shared" si="23"/>
        <v>0</v>
      </c>
      <c r="Z62" s="222">
        <f t="shared" si="18"/>
        <v>47700647.153309263</v>
      </c>
      <c r="AA62" s="222">
        <f t="shared" si="19"/>
        <v>172262504.0511311</v>
      </c>
    </row>
    <row r="63" spans="2:27" ht="15" thickBot="1" x14ac:dyDescent="0.4">
      <c r="B63" s="87" t="s">
        <v>20</v>
      </c>
      <c r="C63" s="88">
        <f>SUM('ABP Under Contract'!K65:P65)</f>
        <v>385043991.417</v>
      </c>
      <c r="D63" s="88">
        <f>'REC Spend projected'!H61+'REC Spend projected'!I61+'REC Spend projected'!J61+'REC Spend projected'!K61+'REC Spend projected'!L61</f>
        <v>30213283.199631654</v>
      </c>
      <c r="E63" s="89"/>
      <c r="F63" s="88">
        <f>F7*'REC Spend projected'!$B$56</f>
        <v>0</v>
      </c>
      <c r="G63" s="88">
        <f>G7*'REC Spend projected'!$B$56</f>
        <v>0</v>
      </c>
      <c r="H63" s="88">
        <f>H7*'REC Spend projected'!$B$56</f>
        <v>0</v>
      </c>
      <c r="I63" s="88">
        <f>I7*'REC Spend projected'!$B$56</f>
        <v>0</v>
      </c>
      <c r="J63" s="88">
        <f>J7*'REC Spend projected'!$B$56</f>
        <v>0</v>
      </c>
      <c r="K63" s="88">
        <f>K7*'REC Spend projected'!$B$56</f>
        <v>0</v>
      </c>
      <c r="L63" s="88">
        <f>L7*'REC Spend projected'!$B$56</f>
        <v>0</v>
      </c>
      <c r="M63" s="88">
        <f>M7*'REC Spend projected'!$B$56</f>
        <v>0</v>
      </c>
      <c r="N63" s="88">
        <f>N7*'REC Spend projected'!$B$56</f>
        <v>0</v>
      </c>
      <c r="O63" s="88"/>
      <c r="P63" s="88">
        <f>P7*'REC Spend projected'!$B$56</f>
        <v>47476876.105933897</v>
      </c>
      <c r="Q63" s="88">
        <f t="shared" si="17"/>
        <v>462734150.72256553</v>
      </c>
      <c r="R63" s="88">
        <f>'REC Spend projected'!AA60</f>
        <v>272903811.36222088</v>
      </c>
      <c r="S63" s="88">
        <f>'REC Spend projected'!AE61</f>
        <v>451713050.17213798</v>
      </c>
      <c r="U63" s="204" t="s">
        <v>20</v>
      </c>
      <c r="V63" s="222">
        <f t="shared" si="20"/>
        <v>415257274.61663163</v>
      </c>
      <c r="W63" s="222">
        <f t="shared" si="21"/>
        <v>0</v>
      </c>
      <c r="X63" s="222">
        <f t="shared" si="22"/>
        <v>0</v>
      </c>
      <c r="Y63" s="222">
        <f t="shared" si="23"/>
        <v>0</v>
      </c>
      <c r="Z63" s="222">
        <f t="shared" si="18"/>
        <v>47476876.105933897</v>
      </c>
      <c r="AA63" s="222">
        <f t="shared" si="19"/>
        <v>272903811.36222088</v>
      </c>
    </row>
    <row r="64" spans="2:27" ht="15" thickBot="1" x14ac:dyDescent="0.4">
      <c r="B64" s="87" t="s">
        <v>22</v>
      </c>
      <c r="C64" s="88">
        <f>SUM('ABP Under Contract'!K66:P66)</f>
        <v>160311731.604</v>
      </c>
      <c r="D64" s="88">
        <f>'REC Spend projected'!H62+'REC Spend projected'!I62+'REC Spend projected'!J62+'REC Spend projected'!K62+'REC Spend projected'!L62</f>
        <v>33170105.630135309</v>
      </c>
      <c r="E64" s="89"/>
      <c r="F64" s="88">
        <f>F8*'REC Spend projected'!$B$56</f>
        <v>0</v>
      </c>
      <c r="G64" s="88">
        <f>G8*'REC Spend projected'!$B$56</f>
        <v>0</v>
      </c>
      <c r="H64" s="88">
        <f>H8*'REC Spend projected'!$B$56</f>
        <v>0</v>
      </c>
      <c r="I64" s="88">
        <f>I8*'REC Spend projected'!$B$56</f>
        <v>0</v>
      </c>
      <c r="J64" s="88">
        <f>J8*'REC Spend projected'!$B$56</f>
        <v>0</v>
      </c>
      <c r="K64" s="88">
        <f>K8*'REC Spend projected'!$B$56</f>
        <v>0</v>
      </c>
      <c r="L64" s="88">
        <f>L8*'REC Spend projected'!$B$56</f>
        <v>0</v>
      </c>
      <c r="M64" s="88">
        <f>M8*'REC Spend projected'!$B$56</f>
        <v>0</v>
      </c>
      <c r="N64" s="88">
        <f>N8*'REC Spend projected'!$B$56</f>
        <v>0</v>
      </c>
      <c r="O64" s="88"/>
      <c r="P64" s="88">
        <f>P8*'REC Spend projected'!$B$56</f>
        <v>61515503.169289969</v>
      </c>
      <c r="Q64" s="88">
        <f t="shared" si="17"/>
        <v>254997340.40342528</v>
      </c>
      <c r="R64" s="88">
        <f>'REC Spend projected'!AA61</f>
        <v>437770608.55086136</v>
      </c>
      <c r="S64" s="88">
        <f>'REC Spend projected'!AE62</f>
        <v>429901025.77733564</v>
      </c>
      <c r="U64" s="204" t="s">
        <v>22</v>
      </c>
      <c r="V64" s="222">
        <f t="shared" si="20"/>
        <v>193481837.2341353</v>
      </c>
      <c r="W64" s="222">
        <f t="shared" si="21"/>
        <v>0</v>
      </c>
      <c r="X64" s="222">
        <f t="shared" si="22"/>
        <v>0</v>
      </c>
      <c r="Y64" s="222">
        <f t="shared" si="23"/>
        <v>0</v>
      </c>
      <c r="Z64" s="222">
        <f t="shared" si="18"/>
        <v>61515503.169289969</v>
      </c>
      <c r="AA64" s="222">
        <f t="shared" si="19"/>
        <v>437770608.55086136</v>
      </c>
    </row>
    <row r="65" spans="2:27" ht="15" thickBot="1" x14ac:dyDescent="0.4">
      <c r="B65" s="87" t="s">
        <v>23</v>
      </c>
      <c r="C65" s="88">
        <f>SUM('ABP Under Contract'!K67:P67)</f>
        <v>112306236.03</v>
      </c>
      <c r="D65" s="88">
        <f>'REC Spend projected'!H63+'REC Spend projected'!I63+'REC Spend projected'!J63+'REC Spend projected'!K63+'REC Spend projected'!L63</f>
        <v>43302548.934662461</v>
      </c>
      <c r="E65" s="89"/>
      <c r="F65" s="88">
        <f>F9*'REC Spend projected'!$B$56</f>
        <v>0</v>
      </c>
      <c r="G65" s="88">
        <f>G9*'REC Spend projected'!$B$56</f>
        <v>0</v>
      </c>
      <c r="H65" s="88">
        <f>H9*'REC Spend projected'!$B$56</f>
        <v>0</v>
      </c>
      <c r="I65" s="88">
        <f>I9*'REC Spend projected'!$B$56</f>
        <v>0</v>
      </c>
      <c r="J65" s="88">
        <f>J9*'REC Spend projected'!$B$56</f>
        <v>0</v>
      </c>
      <c r="K65" s="88">
        <f>K9*'REC Spend projected'!$B$56</f>
        <v>0</v>
      </c>
      <c r="L65" s="88">
        <f>L9*'REC Spend projected'!$B$56</f>
        <v>0</v>
      </c>
      <c r="M65" s="88">
        <f>M9*'REC Spend projected'!$B$56</f>
        <v>0</v>
      </c>
      <c r="N65" s="88">
        <f>N9*'REC Spend projected'!$B$56</f>
        <v>0</v>
      </c>
      <c r="O65" s="88"/>
      <c r="P65" s="88">
        <f>P9*'REC Spend projected'!$B$56</f>
        <v>47258798.655147411</v>
      </c>
      <c r="Q65" s="88">
        <f t="shared" si="17"/>
        <v>202867583.61980987</v>
      </c>
      <c r="R65" s="88">
        <f>'REC Spend projected'!AA62</f>
        <v>451713050.17213798</v>
      </c>
      <c r="S65" s="88">
        <f>'REC Spend projected'!AE63</f>
        <v>426356546.11338532</v>
      </c>
      <c r="U65" s="204" t="s">
        <v>23</v>
      </c>
      <c r="V65" s="222">
        <f t="shared" si="20"/>
        <v>155608784.96466246</v>
      </c>
      <c r="W65" s="222">
        <f t="shared" si="21"/>
        <v>0</v>
      </c>
      <c r="X65" s="222">
        <f t="shared" si="22"/>
        <v>0</v>
      </c>
      <c r="Y65" s="222">
        <f t="shared" si="23"/>
        <v>0</v>
      </c>
      <c r="Z65" s="222">
        <f t="shared" si="18"/>
        <v>47258798.655147411</v>
      </c>
      <c r="AA65" s="222">
        <f t="shared" si="19"/>
        <v>451713050.17213798</v>
      </c>
    </row>
    <row r="66" spans="2:27" ht="15" thickBot="1" x14ac:dyDescent="0.4">
      <c r="B66" s="87" t="s">
        <v>24</v>
      </c>
      <c r="C66" s="88">
        <f>SUM('ABP Under Contract'!K68:P68)</f>
        <v>94546252.719999999</v>
      </c>
      <c r="D66" s="88">
        <f>'REC Spend projected'!H64+'REC Spend projected'!I64+'REC Spend projected'!J64+'REC Spend projected'!K64+'REC Spend projected'!L64</f>
        <v>95956048.877466738</v>
      </c>
      <c r="E66" s="89"/>
      <c r="F66" s="88">
        <f>F10*'REC Spend projected'!$B$56</f>
        <v>139387144.48747689</v>
      </c>
      <c r="G66" s="88">
        <f>G10*'REC Spend projected'!$B$56</f>
        <v>0</v>
      </c>
      <c r="H66" s="88">
        <f>H10*'REC Spend projected'!$B$56</f>
        <v>0</v>
      </c>
      <c r="I66" s="88">
        <f>I10*'REC Spend projected'!$B$56</f>
        <v>0</v>
      </c>
      <c r="J66" s="88">
        <f>J10*'REC Spend projected'!$B$56</f>
        <v>0</v>
      </c>
      <c r="K66" s="88">
        <f>K10*'REC Spend projected'!$B$56</f>
        <v>0</v>
      </c>
      <c r="L66" s="88">
        <f>L10*'REC Spend projected'!$B$56</f>
        <v>0</v>
      </c>
      <c r="M66" s="88">
        <f>M10*'REC Spend projected'!$B$56</f>
        <v>0</v>
      </c>
      <c r="N66" s="88">
        <f>N10*'REC Spend projected'!$B$56</f>
        <v>0</v>
      </c>
      <c r="O66" s="88"/>
      <c r="P66" s="88">
        <f>P10*'REC Spend projected'!$B$56</f>
        <v>47182136.379141465</v>
      </c>
      <c r="Q66" s="88">
        <f t="shared" si="17"/>
        <v>377071582.4640851</v>
      </c>
      <c r="R66" s="88">
        <f>'REC Spend projected'!AA63</f>
        <v>429901025.77733564</v>
      </c>
      <c r="S66" s="88">
        <f>'REC Spend projected'!AE64</f>
        <v>359716474.07459295</v>
      </c>
      <c r="U66" s="204" t="s">
        <v>24</v>
      </c>
      <c r="V66" s="222">
        <f t="shared" si="20"/>
        <v>190502301.59746674</v>
      </c>
      <c r="W66" s="222">
        <f t="shared" si="21"/>
        <v>0</v>
      </c>
      <c r="X66" s="222">
        <f t="shared" si="22"/>
        <v>139387144.48747689</v>
      </c>
      <c r="Y66" s="222">
        <f t="shared" si="23"/>
        <v>0</v>
      </c>
      <c r="Z66" s="222">
        <f t="shared" si="18"/>
        <v>47182136.379141465</v>
      </c>
      <c r="AA66" s="222">
        <f t="shared" si="19"/>
        <v>429901025.77733564</v>
      </c>
    </row>
    <row r="67" spans="2:27" ht="15" thickBot="1" x14ac:dyDescent="0.4">
      <c r="B67" s="87" t="s">
        <v>25</v>
      </c>
      <c r="C67" s="88">
        <f>SUM('ABP Under Contract'!K69:P69)</f>
        <v>90228278.289999992</v>
      </c>
      <c r="D67" s="88">
        <f>'REC Spend projected'!H65+'REC Spend projected'!I65+'REC Spend projected'!J65+'REC Spend projected'!K65+'REC Spend projected'!L65</f>
        <v>95654382.238795638</v>
      </c>
      <c r="E67" s="89"/>
      <c r="F67" s="88">
        <f>F11*'REC Spend projected'!$B$56</f>
        <v>224441208.10779297</v>
      </c>
      <c r="G67" s="88">
        <f>G11*'REC Spend projected'!$B$56</f>
        <v>39025439.559304431</v>
      </c>
      <c r="H67" s="88">
        <f>H11*'REC Spend projected'!$B$56</f>
        <v>0</v>
      </c>
      <c r="I67" s="88">
        <f>I11*'REC Spend projected'!$B$56</f>
        <v>0</v>
      </c>
      <c r="J67" s="88">
        <f>J11*'REC Spend projected'!$B$56</f>
        <v>0</v>
      </c>
      <c r="K67" s="88">
        <f>K11*'REC Spend projected'!$B$56</f>
        <v>0</v>
      </c>
      <c r="L67" s="88">
        <f>L11*'REC Spend projected'!$B$56</f>
        <v>0</v>
      </c>
      <c r="M67" s="88">
        <f>M11*'REC Spend projected'!$B$56</f>
        <v>0</v>
      </c>
      <c r="N67" s="88">
        <f>N11*'REC Spend projected'!$B$56</f>
        <v>0</v>
      </c>
      <c r="O67" s="88"/>
      <c r="P67" s="88">
        <f>P11*'REC Spend projected'!$B$56</f>
        <v>61271141.422590993</v>
      </c>
      <c r="Q67" s="88">
        <f t="shared" si="17"/>
        <v>510620449.61848396</v>
      </c>
      <c r="R67" s="88">
        <f>'REC Spend projected'!AA64</f>
        <v>426356546.11338532</v>
      </c>
      <c r="S67" s="88">
        <f>'REC Spend projected'!AE65</f>
        <v>189413371.77252889</v>
      </c>
      <c r="U67" s="204" t="s">
        <v>25</v>
      </c>
      <c r="V67" s="222">
        <f t="shared" si="20"/>
        <v>185882660.52879563</v>
      </c>
      <c r="W67" s="222">
        <f t="shared" si="21"/>
        <v>0</v>
      </c>
      <c r="X67" s="222">
        <f t="shared" si="22"/>
        <v>224441208.10779297</v>
      </c>
      <c r="Y67" s="222">
        <f t="shared" si="23"/>
        <v>39025439.559304431</v>
      </c>
      <c r="Z67" s="222">
        <f t="shared" si="18"/>
        <v>61271141.422590993</v>
      </c>
      <c r="AA67" s="222">
        <f t="shared" si="19"/>
        <v>426356546.11338532</v>
      </c>
    </row>
    <row r="68" spans="2:27" ht="15" thickBot="1" x14ac:dyDescent="0.4">
      <c r="B68" s="90" t="s">
        <v>26</v>
      </c>
      <c r="C68" s="88">
        <f>SUM('ABP Under Contract'!K70:P70)</f>
        <v>90075999.680000007</v>
      </c>
      <c r="D68" s="88">
        <f>'REC Spend projected'!H66+'REC Spend projected'!I66+'REC Spend projected'!J66+'REC Spend projected'!K66+'REC Spend projected'!L66</f>
        <v>83515434.907480225</v>
      </c>
      <c r="E68" s="89"/>
      <c r="F68" s="88">
        <f>F12*'REC Spend projected'!$B$56</f>
        <v>130501885.34303786</v>
      </c>
      <c r="G68" s="88">
        <f>G12*'REC Spend projected'!$B$56</f>
        <v>206848567.62776363</v>
      </c>
      <c r="H68" s="88">
        <f>H12*'REC Spend projected'!$B$56</f>
        <v>0</v>
      </c>
      <c r="I68" s="88">
        <f>I12*'REC Spend projected'!$B$56</f>
        <v>0</v>
      </c>
      <c r="J68" s="88">
        <f>J12*'REC Spend projected'!$B$56</f>
        <v>0</v>
      </c>
      <c r="K68" s="88">
        <f>K12*'REC Spend projected'!$B$56</f>
        <v>0</v>
      </c>
      <c r="L68" s="88">
        <f>L12*'REC Spend projected'!$B$56</f>
        <v>0</v>
      </c>
      <c r="M68" s="88">
        <f>M12*'REC Spend projected'!$B$56</f>
        <v>0</v>
      </c>
      <c r="N68" s="88">
        <f>N12*'REC Spend projected'!$B$56</f>
        <v>0</v>
      </c>
      <c r="O68" s="88"/>
      <c r="P68" s="88">
        <f>P12*'REC Spend projected'!$B$56</f>
        <v>47194562.07658118</v>
      </c>
      <c r="Q68" s="88">
        <f t="shared" si="17"/>
        <v>558136449.6348629</v>
      </c>
      <c r="R68" s="88">
        <f>'REC Spend projected'!AA65</f>
        <v>359716474.07459295</v>
      </c>
      <c r="S68" s="88">
        <f>'REC Spend projected'!AE66</f>
        <v>-27307330.449250937</v>
      </c>
      <c r="U68" s="205" t="s">
        <v>26</v>
      </c>
      <c r="V68" s="222">
        <f t="shared" si="20"/>
        <v>173591434.58748025</v>
      </c>
      <c r="W68" s="222">
        <f t="shared" si="21"/>
        <v>0</v>
      </c>
      <c r="X68" s="222">
        <f t="shared" si="22"/>
        <v>130501885.34303786</v>
      </c>
      <c r="Y68" s="222">
        <f t="shared" si="23"/>
        <v>206848567.62776363</v>
      </c>
      <c r="Z68" s="222">
        <f t="shared" si="18"/>
        <v>47194562.07658118</v>
      </c>
      <c r="AA68" s="222">
        <f t="shared" si="19"/>
        <v>359716474.07459295</v>
      </c>
    </row>
    <row r="69" spans="2:27" ht="15" thickBot="1" x14ac:dyDescent="0.4">
      <c r="B69" s="87" t="s">
        <v>27</v>
      </c>
      <c r="C69" s="88">
        <f>SUM('ABP Under Contract'!K71:P71)</f>
        <v>82913659.069999993</v>
      </c>
      <c r="D69" s="88">
        <f>'REC Spend projected'!H67+'REC Spend projected'!I67+'REC Spend projected'!J67+'REC Spend projected'!K67+'REC Spend projected'!L67</f>
        <v>69201904.502703741</v>
      </c>
      <c r="E69" s="89"/>
      <c r="F69" s="88">
        <f>F13*'REC Spend projected'!$B$56</f>
        <v>121097355.12161301</v>
      </c>
      <c r="G69" s="88">
        <f>G13*'REC Spend projected'!$B$56</f>
        <v>227865980.57493177</v>
      </c>
      <c r="H69" s="88">
        <f>H13*'REC Spend projected'!$B$56</f>
        <v>33272646.026692446</v>
      </c>
      <c r="I69" s="88">
        <f>I13*'REC Spend projected'!$B$56</f>
        <v>0</v>
      </c>
      <c r="J69" s="88">
        <f>J13*'REC Spend projected'!$B$56</f>
        <v>0</v>
      </c>
      <c r="K69" s="88">
        <f>K13*'REC Spend projected'!$B$56</f>
        <v>0</v>
      </c>
      <c r="L69" s="88">
        <f>L13*'REC Spend projected'!$B$56</f>
        <v>0</v>
      </c>
      <c r="M69" s="88">
        <f>M13*'REC Spend projected'!$B$56</f>
        <v>0</v>
      </c>
      <c r="N69" s="88">
        <f>N13*'REC Spend projected'!$B$56</f>
        <v>0</v>
      </c>
      <c r="O69" s="88"/>
      <c r="P69" s="88">
        <f>P13*'REC Spend projected'!$B$56</f>
        <v>47204416.369114026</v>
      </c>
      <c r="Q69" s="88">
        <f t="shared" si="17"/>
        <v>581555961.66505492</v>
      </c>
      <c r="R69" s="88">
        <f>'REC Spend projected'!AA66</f>
        <v>189413371.77252889</v>
      </c>
      <c r="S69" s="88">
        <f>'REC Spend projected'!AE67</f>
        <v>-267278740.71025974</v>
      </c>
      <c r="U69" s="204" t="s">
        <v>27</v>
      </c>
      <c r="V69" s="222">
        <f t="shared" si="20"/>
        <v>152115563.57270372</v>
      </c>
      <c r="W69" s="222">
        <f t="shared" si="21"/>
        <v>0</v>
      </c>
      <c r="X69" s="222">
        <f t="shared" si="22"/>
        <v>121097355.12161301</v>
      </c>
      <c r="Y69" s="222">
        <f t="shared" si="23"/>
        <v>261138626.60162422</v>
      </c>
      <c r="Z69" s="222">
        <f t="shared" si="18"/>
        <v>47204416.369114026</v>
      </c>
      <c r="AA69" s="222">
        <f t="shared" si="19"/>
        <v>189413371.77252889</v>
      </c>
    </row>
    <row r="70" spans="2:27" ht="15" thickBot="1" x14ac:dyDescent="0.4">
      <c r="B70" s="87" t="s">
        <v>28</v>
      </c>
      <c r="C70" s="88">
        <f>SUM('ABP Under Contract'!K72:P72)</f>
        <v>64121281.219999999</v>
      </c>
      <c r="D70" s="88">
        <f>'REC Spend projected'!H68+'REC Spend projected'!I68+'REC Spend projected'!J68+'REC Spend projected'!K68+'REC Spend projected'!L68</f>
        <v>66939832.049263149</v>
      </c>
      <c r="E70" s="89"/>
      <c r="F70" s="88">
        <f>F14*'REC Spend projected'!$B$56</f>
        <v>110354614.77602635</v>
      </c>
      <c r="G70" s="88">
        <f>G14*'REC Spend projected'!$B$56</f>
        <v>126873674.09804738</v>
      </c>
      <c r="H70" s="88">
        <f>H14*'REC Spend projected'!$B$56</f>
        <v>170799054.5256719</v>
      </c>
      <c r="I70" s="88">
        <f>I14*'REC Spend projected'!$B$56</f>
        <v>0</v>
      </c>
      <c r="J70" s="88">
        <f>J14*'REC Spend projected'!$B$56</f>
        <v>0</v>
      </c>
      <c r="K70" s="88">
        <f>K14*'REC Spend projected'!$B$56</f>
        <v>0</v>
      </c>
      <c r="L70" s="88">
        <f>L14*'REC Spend projected'!$B$56</f>
        <v>0</v>
      </c>
      <c r="M70" s="88">
        <f>M14*'REC Spend projected'!$B$56</f>
        <v>0</v>
      </c>
      <c r="N70" s="88">
        <f>N14*'REC Spend projected'!$B$56</f>
        <v>0</v>
      </c>
      <c r="O70" s="88"/>
      <c r="P70" s="88">
        <f>P14*'REC Spend projected'!$B$56</f>
        <v>61384695.352886498</v>
      </c>
      <c r="Q70" s="88">
        <f t="shared" si="17"/>
        <v>600473152.02189517</v>
      </c>
      <c r="R70" s="88">
        <f>'REC Spend projected'!AA67</f>
        <v>-27307330.449250937</v>
      </c>
      <c r="S70" s="88">
        <f>'REC Spend projected'!AE68</f>
        <v>-501237998.45968533</v>
      </c>
      <c r="U70" s="204" t="s">
        <v>28</v>
      </c>
      <c r="V70" s="222">
        <f t="shared" si="20"/>
        <v>131061113.26926315</v>
      </c>
      <c r="W70" s="222">
        <f t="shared" si="21"/>
        <v>0</v>
      </c>
      <c r="X70" s="222">
        <f t="shared" si="22"/>
        <v>110354614.77602635</v>
      </c>
      <c r="Y70" s="222">
        <f t="shared" si="23"/>
        <v>297672728.62371927</v>
      </c>
      <c r="Z70" s="222">
        <f t="shared" si="18"/>
        <v>61384695.352886498</v>
      </c>
      <c r="AA70" s="222">
        <f t="shared" si="19"/>
        <v>-27307330.449250937</v>
      </c>
    </row>
    <row r="71" spans="2:27" ht="15" thickBot="1" x14ac:dyDescent="0.4">
      <c r="B71" s="87" t="s">
        <v>29</v>
      </c>
      <c r="C71" s="88">
        <f>SUM('ABP Under Contract'!K73:P73)</f>
        <v>63971267.780000001</v>
      </c>
      <c r="D71" s="88">
        <f>'REC Spend projected'!H69+'REC Spend projected'!I69+'REC Spend projected'!J69+'REC Spend projected'!K69+'REC Spend projected'!L69</f>
        <v>62389486.947552882</v>
      </c>
      <c r="E71" s="89"/>
      <c r="F71" s="88">
        <f>F15*'REC Spend projected'!$B$56</f>
        <v>108582103.0373746</v>
      </c>
      <c r="G71" s="88">
        <f>G15*'REC Spend projected'!$B$56</f>
        <v>124299752.67166564</v>
      </c>
      <c r="H71" s="88">
        <f>H15*'REC Spend projected'!$B$56</f>
        <v>199113613.89310709</v>
      </c>
      <c r="I71" s="88">
        <f>I15*'REC Spend projected'!$B$56</f>
        <v>20225288.920175664</v>
      </c>
      <c r="J71" s="88">
        <f>J15*'REC Spend projected'!$B$56</f>
        <v>0</v>
      </c>
      <c r="K71" s="88">
        <f>K15*'REC Spend projected'!$B$56</f>
        <v>0</v>
      </c>
      <c r="L71" s="88">
        <f>L15*'REC Spend projected'!$B$56</f>
        <v>0</v>
      </c>
      <c r="M71" s="88">
        <f>M15*'REC Spend projected'!$B$56</f>
        <v>0</v>
      </c>
      <c r="N71" s="88">
        <f>N15*'REC Spend projected'!$B$56</f>
        <v>0</v>
      </c>
      <c r="O71" s="88"/>
      <c r="P71" s="88">
        <f>P15*'REC Spend projected'!$B$56</f>
        <v>47345530.870649315</v>
      </c>
      <c r="Q71" s="88">
        <f t="shared" si="17"/>
        <v>625927044.12052524</v>
      </c>
      <c r="R71" s="88">
        <f>'REC Spend projected'!AA68</f>
        <v>-267278740.71025974</v>
      </c>
      <c r="S71" s="88">
        <f>'REC Spend projected'!AE69</f>
        <v>-730675529.20502615</v>
      </c>
      <c r="U71" s="204" t="s">
        <v>29</v>
      </c>
      <c r="V71" s="222">
        <f t="shared" si="20"/>
        <v>126360754.72755289</v>
      </c>
      <c r="W71" s="222">
        <f t="shared" si="21"/>
        <v>0</v>
      </c>
      <c r="X71" s="222">
        <f t="shared" si="22"/>
        <v>108582103.0373746</v>
      </c>
      <c r="Y71" s="222">
        <f t="shared" si="23"/>
        <v>343638655.4849484</v>
      </c>
      <c r="Z71" s="222">
        <f t="shared" si="18"/>
        <v>47345530.870649315</v>
      </c>
      <c r="AA71" s="222">
        <f t="shared" si="19"/>
        <v>-267278740.71025974</v>
      </c>
    </row>
    <row r="72" spans="2:27" ht="15" thickBot="1" x14ac:dyDescent="0.4">
      <c r="B72" s="87" t="s">
        <v>30</v>
      </c>
      <c r="C72" s="88">
        <f>SUM('ABP Under Contract'!K74:P74)</f>
        <v>63821658.729999997</v>
      </c>
      <c r="D72" s="88">
        <f>'REC Spend projected'!H70+'REC Spend projected'!I70+'REC Spend projected'!J70+'REC Spend projected'!K70+'REC Spend projected'!L70</f>
        <v>54987512.273447976</v>
      </c>
      <c r="E72" s="89"/>
      <c r="F72" s="88">
        <f>F16*'REC Spend projected'!$B$56</f>
        <v>105091275.5068538</v>
      </c>
      <c r="G72" s="88">
        <f>G16*'REC Spend projected'!$B$56</f>
        <v>119640893.44328023</v>
      </c>
      <c r="H72" s="88">
        <f>H16*'REC Spend projected'!$B$56</f>
        <v>114568749.81940368</v>
      </c>
      <c r="I72" s="88">
        <f>I16*'REC Spend projected'!$B$56</f>
        <v>145646662.24785542</v>
      </c>
      <c r="J72" s="88">
        <f>J16*'REC Spend projected'!$B$56</f>
        <v>0</v>
      </c>
      <c r="K72" s="88">
        <f>K16*'REC Spend projected'!$B$56</f>
        <v>0</v>
      </c>
      <c r="L72" s="88">
        <f>L16*'REC Spend projected'!$B$56</f>
        <v>0</v>
      </c>
      <c r="M72" s="88">
        <f>M16*'REC Spend projected'!$B$56</f>
        <v>0</v>
      </c>
      <c r="N72" s="88">
        <f>N16*'REC Spend projected'!$B$56</f>
        <v>0</v>
      </c>
      <c r="O72" s="88"/>
      <c r="P72" s="88">
        <f>P16*'REC Spend projected'!$B$56</f>
        <v>47425910.053071067</v>
      </c>
      <c r="Q72" s="88">
        <f t="shared" si="17"/>
        <v>651182662.07391214</v>
      </c>
      <c r="R72" s="88">
        <f>'REC Spend projected'!AA69</f>
        <v>-501237998.45968533</v>
      </c>
      <c r="S72" s="88">
        <f>'REC Spend projected'!AE70</f>
        <v>-954631427.53976369</v>
      </c>
      <c r="U72" s="204" t="s">
        <v>30</v>
      </c>
      <c r="V72" s="222">
        <f t="shared" si="20"/>
        <v>118809171.00344798</v>
      </c>
      <c r="W72" s="222">
        <f t="shared" si="21"/>
        <v>0</v>
      </c>
      <c r="X72" s="222">
        <f t="shared" si="22"/>
        <v>105091275.5068538</v>
      </c>
      <c r="Y72" s="222">
        <f t="shared" si="23"/>
        <v>379856305.51053935</v>
      </c>
      <c r="Z72" s="222">
        <f t="shared" si="18"/>
        <v>47425910.053071067</v>
      </c>
      <c r="AA72" s="222">
        <f t="shared" si="19"/>
        <v>-501237998.45968533</v>
      </c>
    </row>
    <row r="73" spans="2:27" ht="15" thickBot="1" x14ac:dyDescent="0.4">
      <c r="B73" s="87" t="s">
        <v>31</v>
      </c>
      <c r="C73" s="88">
        <f>SUM('ABP Under Contract'!K75:P75)</f>
        <v>63672711.439999998</v>
      </c>
      <c r="D73" s="88">
        <f>'REC Spend projected'!H71+'REC Spend projected'!I71+'REC Spend projected'!J71+'REC Spend projected'!K71+'REC Spend projected'!L71</f>
        <v>47206234.731990024</v>
      </c>
      <c r="E73" s="89"/>
      <c r="F73" s="88">
        <f>F17*'REC Spend projected'!$B$56</f>
        <v>76946630.746857882</v>
      </c>
      <c r="G73" s="88">
        <f>G17*'REC Spend projected'!$B$56</f>
        <v>112097415.12538072</v>
      </c>
      <c r="H73" s="88">
        <f>H17*'REC Spend projected'!$B$56</f>
        <v>106830688.57264015</v>
      </c>
      <c r="I73" s="88">
        <f>I17*'REC Spend projected'!$B$56</f>
        <v>164890293.84745136</v>
      </c>
      <c r="J73" s="88">
        <f>J17*'REC Spend projected'!$B$56</f>
        <v>9502660.2402633466</v>
      </c>
      <c r="K73" s="88">
        <f>K17*'REC Spend projected'!$B$56</f>
        <v>0</v>
      </c>
      <c r="L73" s="88">
        <f>L17*'REC Spend projected'!$B$56</f>
        <v>0</v>
      </c>
      <c r="M73" s="88">
        <f>M17*'REC Spend projected'!$B$56</f>
        <v>0</v>
      </c>
      <c r="N73" s="88">
        <f>N17*'REC Spend projected'!$B$56</f>
        <v>0</v>
      </c>
      <c r="O73" s="88"/>
      <c r="P73" s="88">
        <f>P17*'REC Spend projected'!$B$56</f>
        <v>47464701.415645614</v>
      </c>
      <c r="Q73" s="88">
        <f t="shared" si="17"/>
        <v>628611336.12022913</v>
      </c>
      <c r="R73" s="88">
        <f>'REC Spend projected'!AA70</f>
        <v>-730675529.20502615</v>
      </c>
      <c r="S73" s="88">
        <f>'REC Spend projected'!AE71</f>
        <v>-1102951236.7558868</v>
      </c>
      <c r="U73" s="204" t="s">
        <v>31</v>
      </c>
      <c r="V73" s="222">
        <f t="shared" si="20"/>
        <v>110878946.17199002</v>
      </c>
      <c r="W73" s="222">
        <f t="shared" si="21"/>
        <v>0</v>
      </c>
      <c r="X73" s="222">
        <f t="shared" si="22"/>
        <v>76946630.746857882</v>
      </c>
      <c r="Y73" s="222">
        <f t="shared" si="23"/>
        <v>393321057.78573561</v>
      </c>
      <c r="Z73" s="222">
        <f t="shared" si="18"/>
        <v>47464701.415645614</v>
      </c>
      <c r="AA73" s="222">
        <f t="shared" si="19"/>
        <v>-730675529.20502615</v>
      </c>
    </row>
    <row r="74" spans="2:27" ht="15" thickBot="1" x14ac:dyDescent="0.4">
      <c r="B74" s="87" t="s">
        <v>32</v>
      </c>
      <c r="C74" s="88">
        <f>SUM('ABP Under Contract'!K76:P76)</f>
        <v>63524797.5</v>
      </c>
      <c r="D74" s="88">
        <f>'REC Spend projected'!H72+'REC Spend projected'!I72+'REC Spend projected'!J72+'REC Spend projected'!K72+'REC Spend projected'!L72</f>
        <v>38338829.233834341</v>
      </c>
      <c r="E74" s="89"/>
      <c r="F74" s="88">
        <f>F18*'REC Spend projected'!$B$56</f>
        <v>46646306.092539921</v>
      </c>
      <c r="G74" s="88">
        <f>G18*'REC Spend projected'!$B$56</f>
        <v>105340853.19774264</v>
      </c>
      <c r="H74" s="88">
        <f>H18*'REC Spend projected'!$B$56</f>
        <v>100057175.68606851</v>
      </c>
      <c r="I74" s="88">
        <f>I18*'REC Spend projected'!$B$56</f>
        <v>86522017.934608176</v>
      </c>
      <c r="J74" s="88">
        <f>J18*'REC Spend projected'!$B$56</f>
        <v>116633790.71033946</v>
      </c>
      <c r="K74" s="88">
        <f>K18*'REC Spend projected'!$B$56</f>
        <v>0</v>
      </c>
      <c r="L74" s="88">
        <f>L18*'REC Spend projected'!$B$56</f>
        <v>0</v>
      </c>
      <c r="M74" s="88">
        <f>M18*'REC Spend projected'!$B$56</f>
        <v>0</v>
      </c>
      <c r="N74" s="88">
        <f>N18*'REC Spend projected'!$B$56</f>
        <v>0</v>
      </c>
      <c r="O74" s="88"/>
      <c r="P74" s="88">
        <f>P18*'REC Spend projected'!$B$56</f>
        <v>47527690.406718194</v>
      </c>
      <c r="Q74" s="88">
        <f t="shared" si="17"/>
        <v>604591460.76185131</v>
      </c>
      <c r="R74" s="88">
        <f>'REC Spend projected'!AA71</f>
        <v>-954631427.53976369</v>
      </c>
      <c r="S74" s="88">
        <f>'REC Spend projected'!AE72</f>
        <v>-1212529276.9257514</v>
      </c>
      <c r="U74" s="204" t="s">
        <v>32</v>
      </c>
      <c r="V74" s="222">
        <f t="shared" si="20"/>
        <v>101863626.73383434</v>
      </c>
      <c r="W74" s="222">
        <f t="shared" si="21"/>
        <v>0</v>
      </c>
      <c r="X74" s="222">
        <f t="shared" si="22"/>
        <v>46646306.092539921</v>
      </c>
      <c r="Y74" s="222">
        <f t="shared" si="23"/>
        <v>408553837.52875876</v>
      </c>
      <c r="Z74" s="222">
        <f t="shared" si="18"/>
        <v>47527690.406718194</v>
      </c>
      <c r="AA74" s="222">
        <f t="shared" si="19"/>
        <v>-954631427.53976369</v>
      </c>
    </row>
    <row r="75" spans="2:27" ht="15" thickBot="1" x14ac:dyDescent="0.4">
      <c r="B75" s="87" t="s">
        <v>33</v>
      </c>
      <c r="C75" s="88">
        <f>SUM('ABP Under Contract'!K77:P77)</f>
        <v>63377789.260000005</v>
      </c>
      <c r="D75" s="88">
        <f>'REC Spend projected'!H73+'REC Spend projected'!I73+'REC Spend projected'!J73+'REC Spend projected'!K73+'REC Spend projected'!L73</f>
        <v>27155613.88182538</v>
      </c>
      <c r="E75" s="89"/>
      <c r="F75" s="88">
        <f>F19*'REC Spend projected'!$B$56</f>
        <v>36358844.883565024</v>
      </c>
      <c r="G75" s="88">
        <f>G19*'REC Spend projected'!$B$56</f>
        <v>75637302.321346968</v>
      </c>
      <c r="H75" s="88">
        <f>H19*'REC Spend projected'!$B$56</f>
        <v>91036197.984478131</v>
      </c>
      <c r="I75" s="88">
        <f>I19*'REC Spend projected'!$B$56</f>
        <v>80041674.291775197</v>
      </c>
      <c r="J75" s="88">
        <f>J19*'REC Spend projected'!$B$56</f>
        <v>89947279.652720585</v>
      </c>
      <c r="K75" s="88">
        <f>K19*'REC Spend projected'!$B$56</f>
        <v>6108718.6015382828</v>
      </c>
      <c r="L75" s="88">
        <f>L19*'REC Spend projected'!$B$56</f>
        <v>0</v>
      </c>
      <c r="M75" s="88">
        <f>M19*'REC Spend projected'!$B$56</f>
        <v>0</v>
      </c>
      <c r="N75" s="88">
        <f>N19*'REC Spend projected'!$B$56</f>
        <v>0</v>
      </c>
      <c r="O75" s="88"/>
      <c r="P75" s="88">
        <f>P19*'REC Spend projected'!$B$56</f>
        <v>47573904.92081888</v>
      </c>
      <c r="Q75" s="88">
        <f t="shared" si="17"/>
        <v>517237325.79806846</v>
      </c>
      <c r="R75" s="88">
        <f>'REC Spend projected'!AA72</f>
        <v>-1102951236.7558868</v>
      </c>
      <c r="S75" s="88">
        <f>'REC Spend projected'!AE73</f>
        <v>-1270003271.1306863</v>
      </c>
      <c r="U75" s="204" t="s">
        <v>33</v>
      </c>
      <c r="V75" s="222">
        <f t="shared" si="20"/>
        <v>90533403.141825378</v>
      </c>
      <c r="W75" s="222">
        <f t="shared" si="21"/>
        <v>0</v>
      </c>
      <c r="X75" s="222">
        <f t="shared" si="22"/>
        <v>36358844.883565024</v>
      </c>
      <c r="Y75" s="222">
        <f t="shared" si="23"/>
        <v>342771172.85185921</v>
      </c>
      <c r="Z75" s="222">
        <f t="shared" si="18"/>
        <v>47573904.92081888</v>
      </c>
      <c r="AA75" s="222">
        <f t="shared" si="19"/>
        <v>-1102951236.7558868</v>
      </c>
    </row>
    <row r="76" spans="2:27" ht="15" thickBot="1" x14ac:dyDescent="0.4">
      <c r="B76" s="87" t="s">
        <v>34</v>
      </c>
      <c r="C76" s="88">
        <f>SUM('ABP Under Contract'!K78:P78)</f>
        <v>63231129.899999999</v>
      </c>
      <c r="D76" s="88">
        <f>'REC Spend projected'!H74+'REC Spend projected'!I74+'REC Spend projected'!J74+'REC Spend projected'!K74+'REC Spend projected'!L74</f>
        <v>10461622.138060642</v>
      </c>
      <c r="E76" s="89"/>
      <c r="F76" s="88">
        <f>F20*'REC Spend projected'!$B$56</f>
        <v>29637244.282844637</v>
      </c>
      <c r="G76" s="88">
        <f>G20*'REC Spend projected'!$B$56</f>
        <v>43523779.366827622</v>
      </c>
      <c r="H76" s="88">
        <f>H20*'REC Spend projected'!$B$56</f>
        <v>82130288.362854302</v>
      </c>
      <c r="I76" s="88">
        <f>I20*'REC Spend projected'!$B$56</f>
        <v>73802306.789285943</v>
      </c>
      <c r="J76" s="88">
        <f>J20*'REC Spend projected'!$B$56</f>
        <v>52388050.669610523</v>
      </c>
      <c r="K76" s="88">
        <f>K20*'REC Spend projected'!$B$56</f>
        <v>54659949.176985227</v>
      </c>
      <c r="L76" s="88">
        <f>L20*'REC Spend projected'!$B$56</f>
        <v>0</v>
      </c>
      <c r="M76" s="88">
        <f>M20*'REC Spend projected'!$B$56</f>
        <v>0</v>
      </c>
      <c r="N76" s="88">
        <f>N20*'REC Spend projected'!$B$56</f>
        <v>0</v>
      </c>
      <c r="O76" s="88"/>
      <c r="P76" s="88">
        <f>P20*'REC Spend projected'!$B$56</f>
        <v>47628895.639470898</v>
      </c>
      <c r="Q76" s="88">
        <f t="shared" si="17"/>
        <v>457463266.32593971</v>
      </c>
      <c r="R76" s="88">
        <f>'REC Spend projected'!AA73</f>
        <v>-1212529276.9257514</v>
      </c>
      <c r="S76" s="88">
        <f>'REC Spend projected'!AE74</f>
        <v>-1267224412.3329957</v>
      </c>
      <c r="U76" s="204" t="s">
        <v>34</v>
      </c>
      <c r="V76" s="222">
        <f t="shared" si="20"/>
        <v>73692752.038060635</v>
      </c>
      <c r="W76" s="222">
        <f t="shared" si="21"/>
        <v>0</v>
      </c>
      <c r="X76" s="222">
        <f t="shared" si="22"/>
        <v>29637244.282844637</v>
      </c>
      <c r="Y76" s="222">
        <f t="shared" si="23"/>
        <v>306504374.36556363</v>
      </c>
      <c r="Z76" s="222">
        <f t="shared" si="18"/>
        <v>47628895.639470898</v>
      </c>
      <c r="AA76" s="222">
        <f t="shared" si="19"/>
        <v>-1212529276.9257514</v>
      </c>
    </row>
    <row r="77" spans="2:27" ht="15" thickBot="1" x14ac:dyDescent="0.4">
      <c r="B77" s="87" t="s">
        <v>35</v>
      </c>
      <c r="C77" s="88">
        <f>SUM('ABP Under Contract'!K79:P79)</f>
        <v>63085169.599999994</v>
      </c>
      <c r="D77" s="88">
        <f>'REC Spend projected'!H75+'REC Spend projected'!I75+'REC Spend projected'!J75+'REC Spend projected'!K75+'REC Spend projected'!L75</f>
        <v>-2171173.1914448766</v>
      </c>
      <c r="E77" s="89"/>
      <c r="F77" s="88">
        <f>F21*'REC Spend projected'!$B$56</f>
        <v>23082694.076003641</v>
      </c>
      <c r="G77" s="88">
        <f>G21*'REC Spend projected'!$B$56</f>
        <v>31661677.282405686</v>
      </c>
      <c r="H77" s="88">
        <f>H21*'REC Spend projected'!$B$56</f>
        <v>54378639.491523914</v>
      </c>
      <c r="I77" s="88">
        <f>I21*'REC Spend projected'!$B$56</f>
        <v>67729267.07250464</v>
      </c>
      <c r="J77" s="88">
        <f>J21*'REC Spend projected'!$B$56</f>
        <v>48434393.805895001</v>
      </c>
      <c r="K77" s="88">
        <f>K21*'REC Spend projected'!$B$56</f>
        <v>62809435.910034858</v>
      </c>
      <c r="L77" s="88">
        <f>L21*'REC Spend projected'!$B$56</f>
        <v>2290067.3147556125</v>
      </c>
      <c r="M77" s="88">
        <f>M21*'REC Spend projected'!$B$56</f>
        <v>0</v>
      </c>
      <c r="N77" s="88">
        <f>N21*'REC Spend projected'!$B$56</f>
        <v>0</v>
      </c>
      <c r="O77" s="88"/>
      <c r="P77" s="88">
        <f>P21*'REC Spend projected'!$B$56</f>
        <v>47655367.976022199</v>
      </c>
      <c r="Q77" s="88">
        <f t="shared" si="17"/>
        <v>398955539.33770066</v>
      </c>
      <c r="R77" s="88">
        <f>'REC Spend projected'!AA74</f>
        <v>-1270003271.1306863</v>
      </c>
      <c r="S77" s="88">
        <f>'REC Spend projected'!AE75</f>
        <v>-1206657966.6515288</v>
      </c>
      <c r="U77" s="204" t="s">
        <v>35</v>
      </c>
      <c r="V77" s="222">
        <f t="shared" si="20"/>
        <v>60913996.40855512</v>
      </c>
      <c r="W77" s="222">
        <f t="shared" si="21"/>
        <v>0</v>
      </c>
      <c r="X77" s="222">
        <f t="shared" si="22"/>
        <v>23082694.076003641</v>
      </c>
      <c r="Y77" s="222">
        <f t="shared" si="23"/>
        <v>267303480.87711972</v>
      </c>
      <c r="Z77" s="222">
        <f t="shared" si="18"/>
        <v>47655367.976022199</v>
      </c>
      <c r="AA77" s="222">
        <f t="shared" si="19"/>
        <v>-1270003271.1306863</v>
      </c>
    </row>
    <row r="78" spans="2:27" ht="15" thickBot="1" x14ac:dyDescent="0.4">
      <c r="B78" s="87" t="s">
        <v>36</v>
      </c>
      <c r="C78" s="88">
        <f>SUM('ABP Under Contract'!K80:P80)</f>
        <v>62940308.82</v>
      </c>
      <c r="D78" s="88">
        <f>'REC Spend projected'!H76+'REC Spend projected'!I76+'REC Spend projected'!J76+'REC Spend projected'!K76+'REC Spend projected'!L76</f>
        <v>-10332863.780014191</v>
      </c>
      <c r="E78" s="89"/>
      <c r="F78" s="88">
        <f>F22*'REC Spend projected'!$B$56</f>
        <v>16541293.829211572</v>
      </c>
      <c r="G78" s="88">
        <f>G22*'REC Spend projected'!$B$56</f>
        <v>23052289.242288526</v>
      </c>
      <c r="H78" s="88">
        <f>H22*'REC Spend projected'!$B$56</f>
        <v>24334811.898571577</v>
      </c>
      <c r="I78" s="88">
        <f>I22*'REC Spend projected'!$B$56</f>
        <v>61680159.298970386</v>
      </c>
      <c r="J78" s="88">
        <f>J22*'REC Spend projected'!$B$56</f>
        <v>44572531.570454381</v>
      </c>
      <c r="K78" s="88">
        <f>K22*'REC Spend projected'!$B$56</f>
        <v>27699367.181951582</v>
      </c>
      <c r="L78" s="88">
        <f>L22*'REC Spend projected'!$B$56</f>
        <v>43490390.275764965</v>
      </c>
      <c r="M78" s="88">
        <f>M22*'REC Spend projected'!$B$56</f>
        <v>0</v>
      </c>
      <c r="N78" s="88">
        <f>N22*'REC Spend projected'!$B$56</f>
        <v>0</v>
      </c>
      <c r="O78" s="88"/>
      <c r="P78" s="88">
        <f>P22*'REC Spend projected'!$B$56</f>
        <v>47713951.895622842</v>
      </c>
      <c r="Q78" s="88">
        <f t="shared" si="17"/>
        <v>341692240.23282164</v>
      </c>
      <c r="R78" s="88">
        <f>'REC Spend projected'!AA75</f>
        <v>-1267224412.3329957</v>
      </c>
      <c r="S78" s="88">
        <f>'REC Spend projected'!AE76</f>
        <v>-1087987797.6281409</v>
      </c>
      <c r="U78" s="204" t="s">
        <v>36</v>
      </c>
      <c r="V78" s="222">
        <f t="shared" si="20"/>
        <v>52607445.039985806</v>
      </c>
      <c r="W78" s="222">
        <f t="shared" si="21"/>
        <v>0</v>
      </c>
      <c r="X78" s="222">
        <f t="shared" si="22"/>
        <v>16541293.829211572</v>
      </c>
      <c r="Y78" s="222">
        <f t="shared" si="23"/>
        <v>224829549.46800143</v>
      </c>
      <c r="Z78" s="222">
        <f t="shared" si="18"/>
        <v>47713951.895622842</v>
      </c>
      <c r="AA78" s="222">
        <f t="shared" si="19"/>
        <v>-1267224412.3329957</v>
      </c>
    </row>
    <row r="79" spans="2:27" ht="15" thickBot="1" x14ac:dyDescent="0.4">
      <c r="B79" s="87" t="s">
        <v>37</v>
      </c>
      <c r="C79" s="88">
        <f>SUM('ABP Under Contract'!K81:P81)</f>
        <v>56214347.109999999</v>
      </c>
      <c r="D79" s="88">
        <f>'REC Spend projected'!H77+'REC Spend projected'!I77+'REC Spend projected'!J77+'REC Spend projected'!K77+'REC Spend projected'!L77</f>
        <v>-18138995.398294397</v>
      </c>
      <c r="E79" s="89"/>
      <c r="F79" s="88">
        <f>F23*'REC Spend projected'!$B$56</f>
        <v>10244633.461979445</v>
      </c>
      <c r="G79" s="88">
        <f>G23*'REC Spend projected'!$B$56</f>
        <v>14781795.668223346</v>
      </c>
      <c r="H79" s="88">
        <f>H23*'REC Spend projected'!$B$56</f>
        <v>13075990.664600799</v>
      </c>
      <c r="I79" s="88">
        <f>I23*'REC Spend projected'!$B$56</f>
        <v>38279941.546206951</v>
      </c>
      <c r="J79" s="88">
        <f>J23*'REC Spend projected'!$B$56</f>
        <v>40863988.329449378</v>
      </c>
      <c r="K79" s="88">
        <f>K23*'REC Spend projected'!$B$56</f>
        <v>23937088.100825679</v>
      </c>
      <c r="L79" s="88">
        <f>L23*'REC Spend projected'!$B$56</f>
        <v>50856582.903981611</v>
      </c>
      <c r="M79" s="88">
        <f>M23*'REC Spend projected'!$B$56</f>
        <v>-1413337.7072827097</v>
      </c>
      <c r="N79" s="88">
        <f>N23*'REC Spend projected'!$B$56</f>
        <v>0</v>
      </c>
      <c r="O79" s="88"/>
      <c r="P79" s="88">
        <f>P23*'REC Spend projected'!$B$56</f>
        <v>47761556.093688615</v>
      </c>
      <c r="Q79" s="88">
        <f t="shared" si="17"/>
        <v>276463590.77337867</v>
      </c>
      <c r="R79" s="88">
        <f>'REC Spend projected'!AA76</f>
        <v>-1206657966.6515288</v>
      </c>
      <c r="S79" s="88">
        <f>'REC Spend projected'!AE77</f>
        <v>-909213399.33430421</v>
      </c>
      <c r="U79" s="204" t="s">
        <v>37</v>
      </c>
      <c r="V79" s="222">
        <f t="shared" si="20"/>
        <v>38075351.711705603</v>
      </c>
      <c r="W79" s="222">
        <f t="shared" si="21"/>
        <v>0</v>
      </c>
      <c r="X79" s="222">
        <f t="shared" si="22"/>
        <v>10244633.461979445</v>
      </c>
      <c r="Y79" s="222">
        <f t="shared" si="23"/>
        <v>180382049.50600505</v>
      </c>
      <c r="Z79" s="222">
        <f t="shared" si="18"/>
        <v>47761556.093688615</v>
      </c>
      <c r="AA79" s="222">
        <f t="shared" si="19"/>
        <v>-1206657966.6515288</v>
      </c>
    </row>
    <row r="80" spans="2:27" ht="15" thickBot="1" x14ac:dyDescent="0.4">
      <c r="B80" s="87" t="s">
        <v>38</v>
      </c>
      <c r="C80" s="88">
        <f>SUM('ABP Under Contract'!K82:P82)</f>
        <v>56096361</v>
      </c>
      <c r="D80" s="88">
        <f>'REC Spend projected'!H78+'REC Spend projected'!I78+'REC Spend projected'!J78+'REC Spend projected'!K78+'REC Spend projected'!L78</f>
        <v>-26154605.450600602</v>
      </c>
      <c r="E80" s="89"/>
      <c r="F80" s="88">
        <f>F24*'REC Spend projected'!$B$56</f>
        <v>4208978.7481263448</v>
      </c>
      <c r="G80" s="88">
        <f>G24*'REC Spend projected'!$B$56</f>
        <v>6870557.9586503245</v>
      </c>
      <c r="H80" s="88">
        <f>H24*'REC Spend projected'!$B$56</f>
        <v>5144229.0742358398</v>
      </c>
      <c r="I80" s="88">
        <f>I24*'REC Spend projected'!$B$56</f>
        <v>12986970.918805761</v>
      </c>
      <c r="J80" s="88">
        <f>J24*'REC Spend projected'!$B$56</f>
        <v>37317673.607300013</v>
      </c>
      <c r="K80" s="88">
        <f>K24*'REC Spend projected'!$B$56</f>
        <v>20405976.764174115</v>
      </c>
      <c r="L80" s="88">
        <f>L24*'REC Spend projected'!$B$56</f>
        <v>18502117.340118524</v>
      </c>
      <c r="M80" s="88">
        <f>M24*'REC Spend projected'!$B$56</f>
        <v>33029653.732052468</v>
      </c>
      <c r="N80" s="88">
        <f>N24*'REC Spend projected'!$B$56</f>
        <v>0</v>
      </c>
      <c r="O80" s="88"/>
      <c r="P80" s="88">
        <f>P24*'REC Spend projected'!$B$56</f>
        <v>47818401.377245381</v>
      </c>
      <c r="Q80" s="88">
        <f t="shared" si="17"/>
        <v>216226315.07010818</v>
      </c>
      <c r="R80" s="88">
        <f>'REC Spend projected'!AA77</f>
        <v>-1087987797.6281409</v>
      </c>
      <c r="S80" s="88">
        <f>'REC Spend projected'!AE78</f>
        <v>-677031341.76762843</v>
      </c>
      <c r="U80" s="204" t="s">
        <v>38</v>
      </c>
      <c r="V80" s="222">
        <f t="shared" si="20"/>
        <v>29941755.549399398</v>
      </c>
      <c r="W80" s="222">
        <f t="shared" si="21"/>
        <v>0</v>
      </c>
      <c r="X80" s="222">
        <f t="shared" si="22"/>
        <v>4208978.7481263448</v>
      </c>
      <c r="Y80" s="222">
        <f t="shared" si="23"/>
        <v>134257179.39533705</v>
      </c>
      <c r="Z80" s="222">
        <f t="shared" si="18"/>
        <v>47818401.377245381</v>
      </c>
      <c r="AA80" s="222">
        <f t="shared" si="19"/>
        <v>-1087987797.6281409</v>
      </c>
    </row>
    <row r="81" spans="2:27" ht="15" thickBot="1" x14ac:dyDescent="0.4">
      <c r="B81" s="87" t="s">
        <v>39</v>
      </c>
      <c r="C81" s="88">
        <f>SUM('ABP Under Contract'!K83:P83)</f>
        <v>46754670.299999997</v>
      </c>
      <c r="D81" s="88">
        <f>'REC Spend projected'!H79+'REC Spend projected'!I79+'REC Spend projected'!J79+'REC Spend projected'!K79+'REC Spend projected'!L79</f>
        <v>-33995775.190378346</v>
      </c>
      <c r="E81" s="89"/>
      <c r="F81" s="88">
        <f>F25*'REC Spend projected'!$B$56</f>
        <v>-1993155.5832370305</v>
      </c>
      <c r="G81" s="88">
        <f>G25*'REC Spend projected'!$B$56</f>
        <v>-1244319.1045661108</v>
      </c>
      <c r="H81" s="88">
        <f>H25*'REC Spend projected'!$B$56</f>
        <v>-2991798.9476262149</v>
      </c>
      <c r="I81" s="88">
        <f>I25*'REC Spend projected'!$B$56</f>
        <v>4550299.350863344</v>
      </c>
      <c r="J81" s="88">
        <f>J25*'REC Spend projected'!$B$56</f>
        <v>17473788.355801392</v>
      </c>
      <c r="K81" s="88">
        <f>K25*'REC Spend projected'!$B$56</f>
        <v>7140944.2923945915</v>
      </c>
      <c r="L81" s="88">
        <f>L25*'REC Spend projected'!$B$56</f>
        <v>14806884.353244722</v>
      </c>
      <c r="M81" s="88">
        <f>M25*'REC Spend projected'!$B$56</f>
        <v>39589480.899879724</v>
      </c>
      <c r="N81" s="88">
        <f>N25*'REC Spend projected'!$B$56</f>
        <v>-4952491.7317756778</v>
      </c>
      <c r="O81" s="88"/>
      <c r="P81" s="88">
        <f>P25*'REC Spend projected'!$B$56</f>
        <v>47857527.025206156</v>
      </c>
      <c r="Q81" s="88">
        <f t="shared" ref="Q81:Q82" si="24">SUM(C81:P81)</f>
        <v>132996054.01980656</v>
      </c>
      <c r="R81" s="88">
        <f>'REC Spend projected'!AA78</f>
        <v>-909213399.33430421</v>
      </c>
      <c r="S81" s="88">
        <f>'REC Spend projected'!AE79</f>
        <v>-338128567.56872058</v>
      </c>
      <c r="U81" s="204" t="s">
        <v>39</v>
      </c>
      <c r="V81" s="222">
        <f t="shared" si="20"/>
        <v>12758895.109621651</v>
      </c>
      <c r="W81" s="222">
        <f t="shared" si="21"/>
        <v>0</v>
      </c>
      <c r="X81" s="222">
        <f t="shared" si="22"/>
        <v>-1993155.5832370305</v>
      </c>
      <c r="Y81" s="222">
        <f t="shared" si="23"/>
        <v>74372787.468215778</v>
      </c>
      <c r="Z81" s="222">
        <f t="shared" si="18"/>
        <v>47857527.025206156</v>
      </c>
      <c r="AA81" s="222">
        <f t="shared" si="19"/>
        <v>-909213399.33430421</v>
      </c>
    </row>
    <row r="82" spans="2:27" ht="15" thickBot="1" x14ac:dyDescent="0.4">
      <c r="B82" s="87" t="s">
        <v>40</v>
      </c>
      <c r="C82" s="88">
        <f>SUM('ABP Under Contract'!K84:P84)</f>
        <v>46637659.009999998</v>
      </c>
      <c r="D82" s="88">
        <f>'REC Spend projected'!H80+'REC Spend projected'!I80+'REC Spend projected'!J80+'REC Spend projected'!K80+'REC Spend projected'!L80</f>
        <v>-62889243.782080553</v>
      </c>
      <c r="E82" s="89"/>
      <c r="F82" s="88">
        <f>F26*'REC Spend projected'!$B$56</f>
        <v>-8071017.7915066741</v>
      </c>
      <c r="G82" s="88">
        <f>G26*'REC Spend projected'!$B$56</f>
        <v>-9180529.1978647877</v>
      </c>
      <c r="H82" s="88">
        <f>H26*'REC Spend projected'!$B$56</f>
        <v>-10948351.305240257</v>
      </c>
      <c r="I82" s="88">
        <f>I26*'REC Spend projected'!$B$56</f>
        <v>-1027554.6329318235</v>
      </c>
      <c r="J82" s="88">
        <f>J26*'REC Spend projected'!$B$56</f>
        <v>3516143.4377441113</v>
      </c>
      <c r="K82" s="88">
        <f>K26*'REC Spend projected'!$B$56</f>
        <v>13248431.288102677</v>
      </c>
      <c r="L82" s="88">
        <f>L26*'REC Spend projected'!$B$56</f>
        <v>11257103.981015775</v>
      </c>
      <c r="M82" s="88">
        <f>M26*'REC Spend projected'!$B$56</f>
        <v>9474864.6398140602</v>
      </c>
      <c r="N82" s="88">
        <f>N26*'REC Spend projected'!$B$56</f>
        <v>59104259.996668614</v>
      </c>
      <c r="O82" s="88"/>
      <c r="P82" s="88">
        <f>P26*'REC Spend projected'!$B$56</f>
        <v>47897379.953709856</v>
      </c>
      <c r="Q82" s="88">
        <f t="shared" si="24"/>
        <v>99019145.597431004</v>
      </c>
      <c r="R82" s="88">
        <f>'REC Spend projected'!AA79</f>
        <v>-677031341.76762843</v>
      </c>
      <c r="S82" s="88">
        <f>'REC Spend projected'!AE80</f>
        <v>82158896.243033767</v>
      </c>
      <c r="U82" s="204" t="s">
        <v>40</v>
      </c>
      <c r="V82" s="222">
        <f t="shared" si="20"/>
        <v>-16251584.772080556</v>
      </c>
      <c r="W82" s="222">
        <f t="shared" si="21"/>
        <v>0</v>
      </c>
      <c r="X82" s="222">
        <f t="shared" si="22"/>
        <v>-8071017.7915066741</v>
      </c>
      <c r="Y82" s="222">
        <f t="shared" si="23"/>
        <v>75444368.207308367</v>
      </c>
      <c r="Z82" s="222">
        <f t="shared" si="18"/>
        <v>47897379.953709856</v>
      </c>
      <c r="AA82" s="222">
        <f t="shared" si="19"/>
        <v>-677031341.76762843</v>
      </c>
    </row>
    <row r="85" spans="2:27" ht="15" thickBot="1" x14ac:dyDescent="0.4">
      <c r="B85" s="1" t="s">
        <v>236</v>
      </c>
    </row>
    <row r="86" spans="2:27" ht="15.75" customHeight="1" thickBot="1" x14ac:dyDescent="0.4">
      <c r="B86" s="309"/>
      <c r="C86" s="310"/>
      <c r="D86" s="310"/>
      <c r="E86" s="311"/>
      <c r="F86" s="312"/>
      <c r="G86" s="316"/>
      <c r="H86" s="313"/>
      <c r="I86" s="314"/>
      <c r="J86" s="313"/>
      <c r="K86" s="314"/>
      <c r="L86" s="81"/>
      <c r="M86" s="241"/>
      <c r="N86" s="241"/>
      <c r="O86" s="241"/>
      <c r="P86" s="241"/>
      <c r="Q86" s="241"/>
      <c r="R86" s="241"/>
      <c r="S86" s="241"/>
    </row>
    <row r="87" spans="2:27" ht="21.5" thickBot="1" x14ac:dyDescent="0.4">
      <c r="B87" s="82" t="s">
        <v>1</v>
      </c>
      <c r="C87" s="83" t="s">
        <v>255</v>
      </c>
      <c r="D87" s="83" t="s">
        <v>256</v>
      </c>
      <c r="E87" s="84" t="s">
        <v>265</v>
      </c>
      <c r="F87" s="84" t="s">
        <v>94</v>
      </c>
      <c r="G87" s="84" t="s">
        <v>95</v>
      </c>
      <c r="H87" s="84" t="s">
        <v>96</v>
      </c>
      <c r="I87" s="84" t="s">
        <v>97</v>
      </c>
      <c r="J87" s="84" t="s">
        <v>98</v>
      </c>
      <c r="K87" s="84" t="s">
        <v>99</v>
      </c>
      <c r="L87" s="84" t="s">
        <v>100</v>
      </c>
      <c r="M87" s="84" t="s">
        <v>101</v>
      </c>
      <c r="N87" s="84" t="s">
        <v>102</v>
      </c>
      <c r="O87" s="84"/>
      <c r="P87" s="84" t="s">
        <v>258</v>
      </c>
      <c r="Q87" s="83" t="s">
        <v>259</v>
      </c>
      <c r="R87" s="83" t="s">
        <v>260</v>
      </c>
      <c r="S87" s="85" t="s">
        <v>251</v>
      </c>
      <c r="U87" s="203" t="s">
        <v>1</v>
      </c>
      <c r="V87" s="85" t="s">
        <v>207</v>
      </c>
      <c r="W87" s="85" t="s">
        <v>266</v>
      </c>
      <c r="X87" s="85" t="s">
        <v>94</v>
      </c>
      <c r="Y87" s="85" t="s">
        <v>262</v>
      </c>
      <c r="Z87" s="85" t="s">
        <v>263</v>
      </c>
      <c r="AA87" s="85" t="s">
        <v>264</v>
      </c>
    </row>
    <row r="88" spans="2:27" ht="15" thickBot="1" x14ac:dyDescent="0.4">
      <c r="B88" s="87" t="s">
        <v>17</v>
      </c>
      <c r="C88" s="88">
        <f>SUM('ABP Under Contract'!K92:P92)</f>
        <v>40122</v>
      </c>
      <c r="D88" s="88">
        <f>'REC Spend projected'!H87+'REC Spend projected'!I87+'REC Spend projected'!J87+'REC Spend projected'!K87+'REC Spend projected'!L87</f>
        <v>74567.941677111041</v>
      </c>
      <c r="E88" s="88"/>
      <c r="F88" s="88">
        <f>F4*'REC Spend projected'!$B$83</f>
        <v>0</v>
      </c>
      <c r="G88" s="88">
        <f>G4*'REC Spend projected'!$B$83</f>
        <v>0</v>
      </c>
      <c r="H88" s="88">
        <f>H4*'REC Spend projected'!$B$83</f>
        <v>0</v>
      </c>
      <c r="I88" s="88">
        <f>I4*'REC Spend projected'!$B$83</f>
        <v>0</v>
      </c>
      <c r="J88" s="88">
        <f>J4*'REC Spend projected'!$B$83</f>
        <v>0</v>
      </c>
      <c r="K88" s="88">
        <f>K4*'REC Spend projected'!$B$83</f>
        <v>0</v>
      </c>
      <c r="L88" s="88">
        <f>L4*'REC Spend projected'!$B$83</f>
        <v>0</v>
      </c>
      <c r="M88" s="88">
        <f>M4*'REC Spend projected'!$B$83</f>
        <v>0</v>
      </c>
      <c r="N88" s="88">
        <f>N4*'REC Spend projected'!$B$83</f>
        <v>0</v>
      </c>
      <c r="O88" s="88"/>
      <c r="P88" s="88">
        <f>P4*'REC Spend projected'!$B$83</f>
        <v>90168.358012699129</v>
      </c>
      <c r="Q88" s="88">
        <f>SUM(C88:P88)</f>
        <v>204858.29968981017</v>
      </c>
      <c r="R88" s="88">
        <f>'REC Spend projected'!AC85</f>
        <v>1991511.2007337115</v>
      </c>
      <c r="S88" s="246">
        <f>'REC Spend projected'!AE85</f>
        <v>807906.74402434751</v>
      </c>
      <c r="U88" s="204" t="s">
        <v>17</v>
      </c>
      <c r="V88" s="222">
        <f>SUM(C88:D88)</f>
        <v>114689.94167711104</v>
      </c>
      <c r="W88" s="222">
        <f>E88</f>
        <v>0</v>
      </c>
      <c r="X88" s="222">
        <f>F88</f>
        <v>0</v>
      </c>
      <c r="Y88" s="222">
        <f>SUM(G88:N88)</f>
        <v>0</v>
      </c>
      <c r="Z88" s="222">
        <f t="shared" ref="Z88:Z110" si="25">P88</f>
        <v>90168.358012699129</v>
      </c>
      <c r="AA88" s="222">
        <f t="shared" ref="AA88:AA110" si="26">R88</f>
        <v>1991511.2007337115</v>
      </c>
    </row>
    <row r="89" spans="2:27" ht="15" thickBot="1" x14ac:dyDescent="0.4">
      <c r="B89" s="87" t="s">
        <v>18</v>
      </c>
      <c r="C89" s="88">
        <f>SUM('ABP Under Contract'!K93:P93)</f>
        <v>372759</v>
      </c>
      <c r="D89" s="88">
        <f>'REC Spend projected'!H88+'REC Spend projected'!I88+'REC Spend projected'!J88+'REC Spend projected'!K88+'REC Spend projected'!L88</f>
        <v>74566.48252909616</v>
      </c>
      <c r="E89" s="88"/>
      <c r="F89" s="88">
        <f>F5*'REC Spend projected'!$B$83</f>
        <v>0</v>
      </c>
      <c r="G89" s="88">
        <f>G5*'REC Spend projected'!$B$83</f>
        <v>0</v>
      </c>
      <c r="H89" s="88">
        <f>H5*'REC Spend projected'!$B$83</f>
        <v>0</v>
      </c>
      <c r="I89" s="88">
        <f>I5*'REC Spend projected'!$B$83</f>
        <v>0</v>
      </c>
      <c r="J89" s="88">
        <f>J5*'REC Spend projected'!$B$83</f>
        <v>0</v>
      </c>
      <c r="K89" s="88">
        <f>K5*'REC Spend projected'!$B$83</f>
        <v>0</v>
      </c>
      <c r="L89" s="88">
        <f>L5*'REC Spend projected'!$B$83</f>
        <v>0</v>
      </c>
      <c r="M89" s="88">
        <f>M5*'REC Spend projected'!$B$83</f>
        <v>0</v>
      </c>
      <c r="N89" s="88">
        <f>N5*'REC Spend projected'!$B$83</f>
        <v>0</v>
      </c>
      <c r="O89" s="88"/>
      <c r="P89" s="88">
        <f>P5*'REC Spend projected'!$B$83</f>
        <v>420055.2123566324</v>
      </c>
      <c r="Q89" s="88">
        <f t="shared" ref="Q89:Q108" si="27">SUM(C89:P89)</f>
        <v>867380.69488572865</v>
      </c>
      <c r="R89" s="88">
        <f>'REC Spend projected'!AC86</f>
        <v>1961340.2661910141</v>
      </c>
      <c r="S89" s="246">
        <f>'REC Spend projected'!AE86</f>
        <v>550615.81630597496</v>
      </c>
      <c r="U89" s="204" t="s">
        <v>18</v>
      </c>
      <c r="V89" s="222">
        <f t="shared" ref="V89:V110" si="28">SUM(C89:D89)</f>
        <v>447325.48252909619</v>
      </c>
      <c r="W89" s="222">
        <f t="shared" ref="W89:W110" si="29">E89</f>
        <v>0</v>
      </c>
      <c r="X89" s="222">
        <f t="shared" ref="X89:X110" si="30">F89</f>
        <v>0</v>
      </c>
      <c r="Y89" s="222">
        <f t="shared" ref="Y89:Y110" si="31">SUM(G89:N89)</f>
        <v>0</v>
      </c>
      <c r="Z89" s="222">
        <f t="shared" si="25"/>
        <v>420055.2123566324</v>
      </c>
      <c r="AA89" s="222">
        <f t="shared" si="26"/>
        <v>1961340.2661910141</v>
      </c>
    </row>
    <row r="90" spans="2:27" ht="15" thickBot="1" x14ac:dyDescent="0.4">
      <c r="B90" s="87" t="s">
        <v>19</v>
      </c>
      <c r="C90" s="88">
        <f>SUM('ABP Under Contract'!K94:P94)</f>
        <v>733278</v>
      </c>
      <c r="D90" s="88">
        <f>'REC Spend projected'!H89+'REC Spend projected'!I89+'REC Spend projected'!J89+'REC Spend projected'!K89+'REC Spend projected'!L89</f>
        <v>96659.8053597096</v>
      </c>
      <c r="E90" s="88"/>
      <c r="F90" s="88">
        <f>F6*'REC Spend projected'!$B$83</f>
        <v>0</v>
      </c>
      <c r="G90" s="88">
        <f>G6*'REC Spend projected'!$B$83</f>
        <v>0</v>
      </c>
      <c r="H90" s="88">
        <f>H6*'REC Spend projected'!$B$83</f>
        <v>0</v>
      </c>
      <c r="I90" s="88">
        <f>I6*'REC Spend projected'!$B$83</f>
        <v>0</v>
      </c>
      <c r="J90" s="88">
        <f>J6*'REC Spend projected'!$B$83</f>
        <v>0</v>
      </c>
      <c r="K90" s="88">
        <f>K6*'REC Spend projected'!$B$83</f>
        <v>0</v>
      </c>
      <c r="L90" s="88">
        <f>L6*'REC Spend projected'!$B$83</f>
        <v>0</v>
      </c>
      <c r="M90" s="88">
        <f>M6*'REC Spend projected'!$B$83</f>
        <v>0</v>
      </c>
      <c r="N90" s="88">
        <f>N6*'REC Spend projected'!$B$83</f>
        <v>0</v>
      </c>
      <c r="O90" s="88"/>
      <c r="P90" s="88">
        <f>P6*'REC Spend projected'!$B$83</f>
        <v>338397.00836118881</v>
      </c>
      <c r="Q90" s="88">
        <f t="shared" si="27"/>
        <v>1168334.8137208982</v>
      </c>
      <c r="R90" s="88">
        <f>'REC Spend projected'!AC87</f>
        <v>1943264.0421127898</v>
      </c>
      <c r="S90" s="246">
        <f>'REC Spend projected'!AE87</f>
        <v>256432.23340049083</v>
      </c>
      <c r="U90" s="204" t="s">
        <v>19</v>
      </c>
      <c r="V90" s="222">
        <f t="shared" si="28"/>
        <v>829937.80535970954</v>
      </c>
      <c r="W90" s="222">
        <f t="shared" si="29"/>
        <v>0</v>
      </c>
      <c r="X90" s="222">
        <f t="shared" si="30"/>
        <v>0</v>
      </c>
      <c r="Y90" s="222">
        <f t="shared" si="31"/>
        <v>0</v>
      </c>
      <c r="Z90" s="222">
        <f t="shared" si="25"/>
        <v>338397.00836118881</v>
      </c>
      <c r="AA90" s="222">
        <f t="shared" si="26"/>
        <v>1943264.0421127898</v>
      </c>
    </row>
    <row r="91" spans="2:27" ht="15" thickBot="1" x14ac:dyDescent="0.4">
      <c r="B91" s="87" t="s">
        <v>20</v>
      </c>
      <c r="C91" s="88">
        <f>SUM('ABP Under Contract'!K95:P95)</f>
        <v>1769151</v>
      </c>
      <c r="D91" s="88">
        <f>'REC Spend projected'!H90+'REC Spend projected'!I90+'REC Spend projected'!J90+'REC Spend projected'!K90+'REC Spend projected'!L90</f>
        <v>197181.17627022986</v>
      </c>
      <c r="E91" s="88"/>
      <c r="F91" s="88">
        <f>F7*'REC Spend projected'!$B$83</f>
        <v>0</v>
      </c>
      <c r="G91" s="88">
        <f>G7*'REC Spend projected'!$B$83</f>
        <v>0</v>
      </c>
      <c r="H91" s="88">
        <f>H7*'REC Spend projected'!$B$83</f>
        <v>0</v>
      </c>
      <c r="I91" s="88">
        <f>I7*'REC Spend projected'!$B$83</f>
        <v>0</v>
      </c>
      <c r="J91" s="88">
        <f>J7*'REC Spend projected'!$B$83</f>
        <v>0</v>
      </c>
      <c r="K91" s="88">
        <f>K7*'REC Spend projected'!$B$83</f>
        <v>0</v>
      </c>
      <c r="L91" s="88">
        <f>L7*'REC Spend projected'!$B$83</f>
        <v>0</v>
      </c>
      <c r="M91" s="88">
        <f>M7*'REC Spend projected'!$B$83</f>
        <v>0</v>
      </c>
      <c r="N91" s="88">
        <f>N7*'REC Spend projected'!$B$83</f>
        <v>0</v>
      </c>
      <c r="O91" s="88"/>
      <c r="P91" s="88">
        <f>P7*'REC Spend projected'!$B$83</f>
        <v>336809.53612530278</v>
      </c>
      <c r="Q91" s="88">
        <f t="shared" si="27"/>
        <v>2303141.7123955325</v>
      </c>
      <c r="R91" s="88">
        <f>'REC Spend projected'!AC88</f>
        <v>1639656.6725292518</v>
      </c>
      <c r="S91" s="246">
        <f>'REC Spend projected'!AE88</f>
        <v>-1091553.8464068384</v>
      </c>
      <c r="U91" s="204" t="s">
        <v>20</v>
      </c>
      <c r="V91" s="222">
        <f t="shared" si="28"/>
        <v>1966332.1762702297</v>
      </c>
      <c r="W91" s="222">
        <f t="shared" si="29"/>
        <v>0</v>
      </c>
      <c r="X91" s="222">
        <f t="shared" si="30"/>
        <v>0</v>
      </c>
      <c r="Y91" s="222">
        <f t="shared" si="31"/>
        <v>0</v>
      </c>
      <c r="Z91" s="222">
        <f t="shared" si="25"/>
        <v>336809.53612530278</v>
      </c>
      <c r="AA91" s="222">
        <f t="shared" si="26"/>
        <v>1639656.6725292518</v>
      </c>
    </row>
    <row r="92" spans="2:27" ht="15" thickBot="1" x14ac:dyDescent="0.4">
      <c r="B92" s="87" t="s">
        <v>22</v>
      </c>
      <c r="C92" s="88">
        <f>SUM('ABP Under Contract'!K96:P96)</f>
        <v>7730540</v>
      </c>
      <c r="D92" s="88">
        <f>'REC Spend projected'!H91+'REC Spend projected'!I91+'REC Spend projected'!J91+'REC Spend projected'!K91+'REC Spend projected'!L91</f>
        <v>585704.62070014665</v>
      </c>
      <c r="E92" s="88"/>
      <c r="F92" s="88">
        <f>F8*'REC Spend projected'!$B$83</f>
        <v>0</v>
      </c>
      <c r="G92" s="88">
        <f>G8*'REC Spend projected'!$B$83</f>
        <v>0</v>
      </c>
      <c r="H92" s="88">
        <f>H8*'REC Spend projected'!$B$83</f>
        <v>0</v>
      </c>
      <c r="I92" s="88">
        <f>I8*'REC Spend projected'!$B$83</f>
        <v>0</v>
      </c>
      <c r="J92" s="88">
        <f>J8*'REC Spend projected'!$B$83</f>
        <v>0</v>
      </c>
      <c r="K92" s="88">
        <f>K8*'REC Spend projected'!$B$83</f>
        <v>0</v>
      </c>
      <c r="L92" s="88">
        <f>L8*'REC Spend projected'!$B$83</f>
        <v>0</v>
      </c>
      <c r="M92" s="88">
        <f>M8*'REC Spend projected'!$B$83</f>
        <v>0</v>
      </c>
      <c r="N92" s="88">
        <f>N8*'REC Spend projected'!$B$83</f>
        <v>0</v>
      </c>
      <c r="O92" s="88"/>
      <c r="P92" s="88">
        <f>P8*'REC Spend projected'!$B$83</f>
        <v>436402.09268894134</v>
      </c>
      <c r="Q92" s="88">
        <f t="shared" si="27"/>
        <v>8752646.7133890875</v>
      </c>
      <c r="R92" s="88">
        <f>'REC Spend projected'!AC89</f>
        <v>295490.3886911585</v>
      </c>
      <c r="S92" s="246">
        <f>'REC Spend projected'!AE89</f>
        <v>-2606801.5877153822</v>
      </c>
      <c r="U92" s="204" t="s">
        <v>22</v>
      </c>
      <c r="V92" s="222">
        <f t="shared" si="28"/>
        <v>8316244.620700147</v>
      </c>
      <c r="W92" s="222">
        <f t="shared" si="29"/>
        <v>0</v>
      </c>
      <c r="X92" s="222">
        <f t="shared" si="30"/>
        <v>0</v>
      </c>
      <c r="Y92" s="222">
        <f t="shared" si="31"/>
        <v>0</v>
      </c>
      <c r="Z92" s="222">
        <f t="shared" si="25"/>
        <v>436402.09268894134</v>
      </c>
      <c r="AA92" s="222">
        <f t="shared" si="26"/>
        <v>295490.3886911585</v>
      </c>
    </row>
    <row r="93" spans="2:27" ht="15" thickBot="1" x14ac:dyDescent="0.4">
      <c r="B93" s="87" t="s">
        <v>23</v>
      </c>
      <c r="C93" s="88">
        <f>SUM('ABP Under Contract'!K97:P97)</f>
        <v>1469938</v>
      </c>
      <c r="D93" s="88">
        <f>'REC Spend projected'!H92+'REC Spend projected'!I92+'REC Spend projected'!J92+'REC Spend projected'!K92+'REC Spend projected'!L92</f>
        <v>608620.82688744285</v>
      </c>
      <c r="E93" s="88"/>
      <c r="F93" s="88">
        <f>F9*'REC Spend projected'!$B$83</f>
        <v>0</v>
      </c>
      <c r="G93" s="88">
        <f>G9*'REC Spend projected'!$B$83</f>
        <v>0</v>
      </c>
      <c r="H93" s="88">
        <f>H9*'REC Spend projected'!$B$83</f>
        <v>0</v>
      </c>
      <c r="I93" s="88">
        <f>I9*'REC Spend projected'!$B$83</f>
        <v>0</v>
      </c>
      <c r="J93" s="88">
        <f>J9*'REC Spend projected'!$B$83</f>
        <v>0</v>
      </c>
      <c r="K93" s="88">
        <f>K9*'REC Spend projected'!$B$83</f>
        <v>0</v>
      </c>
      <c r="L93" s="88">
        <f>L9*'REC Spend projected'!$B$83</f>
        <v>0</v>
      </c>
      <c r="M93" s="88">
        <f>M9*'REC Spend projected'!$B$83</f>
        <v>0</v>
      </c>
      <c r="N93" s="88">
        <f>N9*'REC Spend projected'!$B$83</f>
        <v>0</v>
      </c>
      <c r="O93" s="88"/>
      <c r="P93" s="88">
        <f>P9*'REC Spend projected'!$B$83</f>
        <v>335262.45529220637</v>
      </c>
      <c r="Q93" s="88">
        <f t="shared" si="27"/>
        <v>2413821.282179649</v>
      </c>
      <c r="R93" s="88">
        <f>'REC Spend projected'!AC90</f>
        <v>-1220644.9961614413</v>
      </c>
      <c r="S93" s="246">
        <f>'REC Spend projected'!AE90</f>
        <v>-4056481.9913904946</v>
      </c>
      <c r="U93" s="204" t="s">
        <v>23</v>
      </c>
      <c r="V93" s="222">
        <f t="shared" si="28"/>
        <v>2078558.8268874427</v>
      </c>
      <c r="W93" s="222">
        <f t="shared" si="29"/>
        <v>0</v>
      </c>
      <c r="X93" s="222">
        <f t="shared" si="30"/>
        <v>0</v>
      </c>
      <c r="Y93" s="222">
        <f t="shared" si="31"/>
        <v>0</v>
      </c>
      <c r="Z93" s="222">
        <f t="shared" si="25"/>
        <v>335262.45529220637</v>
      </c>
      <c r="AA93" s="222">
        <f t="shared" si="26"/>
        <v>-1220644.9961614413</v>
      </c>
    </row>
    <row r="94" spans="2:27" ht="15" thickBot="1" x14ac:dyDescent="0.4">
      <c r="B94" s="87" t="s">
        <v>24</v>
      </c>
      <c r="C94" s="88">
        <f>SUM('ABP Under Contract'!K98:P98)</f>
        <v>1137301</v>
      </c>
      <c r="D94" s="88">
        <f>'REC Spend projected'!H93+'REC Spend projected'!I93+'REC Spend projected'!J93+'REC Spend projected'!K93+'REC Spend projected'!L93</f>
        <v>522521.61651636026</v>
      </c>
      <c r="E94" s="88"/>
      <c r="F94" s="88">
        <f>F10*'REC Spend projected'!$B$83</f>
        <v>988837.58425693854</v>
      </c>
      <c r="G94" s="88">
        <f>G10*'REC Spend projected'!$B$83</f>
        <v>0</v>
      </c>
      <c r="H94" s="88">
        <f>H10*'REC Spend projected'!$B$83</f>
        <v>0</v>
      </c>
      <c r="I94" s="88">
        <f>I10*'REC Spend projected'!$B$83</f>
        <v>0</v>
      </c>
      <c r="J94" s="88">
        <f>J10*'REC Spend projected'!$B$83</f>
        <v>0</v>
      </c>
      <c r="K94" s="88">
        <f>K10*'REC Spend projected'!$B$83</f>
        <v>0</v>
      </c>
      <c r="L94" s="88">
        <f>L10*'REC Spend projected'!$B$83</f>
        <v>0</v>
      </c>
      <c r="M94" s="88">
        <f>M10*'REC Spend projected'!$B$83</f>
        <v>0</v>
      </c>
      <c r="N94" s="88">
        <f>N10*'REC Spend projected'!$B$83</f>
        <v>0</v>
      </c>
      <c r="O94" s="88"/>
      <c r="P94" s="88">
        <f>P10*'REC Spend projected'!$B$83</f>
        <v>334718.59925664368</v>
      </c>
      <c r="Q94" s="88">
        <f t="shared" si="27"/>
        <v>2983378.8000299423</v>
      </c>
      <c r="R94" s="88">
        <f>'REC Spend projected'!AC91</f>
        <v>-2665625.0755878352</v>
      </c>
      <c r="S94" s="246">
        <f>'REC Spend projected'!AE91</f>
        <v>-5950731.8961220793</v>
      </c>
      <c r="U94" s="204" t="s">
        <v>24</v>
      </c>
      <c r="V94" s="222">
        <f t="shared" si="28"/>
        <v>1659822.6165163603</v>
      </c>
      <c r="W94" s="222">
        <f t="shared" si="29"/>
        <v>0</v>
      </c>
      <c r="X94" s="222">
        <f t="shared" si="30"/>
        <v>988837.58425693854</v>
      </c>
      <c r="Y94" s="222">
        <f t="shared" si="31"/>
        <v>0</v>
      </c>
      <c r="Z94" s="222">
        <f t="shared" si="25"/>
        <v>334718.59925664368</v>
      </c>
      <c r="AA94" s="222">
        <f t="shared" si="26"/>
        <v>-2665625.0755878352</v>
      </c>
    </row>
    <row r="95" spans="2:27" ht="15" thickBot="1" x14ac:dyDescent="0.4">
      <c r="B95" s="87" t="s">
        <v>25</v>
      </c>
      <c r="C95" s="88">
        <f>SUM('ABP Under Contract'!K99:P99)</f>
        <v>1072040</v>
      </c>
      <c r="D95" s="88">
        <f>'REC Spend projected'!H94+'REC Spend projected'!I94+'REC Spend projected'!J94+'REC Spend projected'!K94+'REC Spend projected'!L94</f>
        <v>421972.90819377702</v>
      </c>
      <c r="E95" s="88"/>
      <c r="F95" s="88">
        <f>F11*'REC Spend projected'!$B$83</f>
        <v>1592226.4771910761</v>
      </c>
      <c r="G95" s="88">
        <f>G11*'REC Spend projected'!$B$83</f>
        <v>276853.51845237659</v>
      </c>
      <c r="H95" s="88">
        <f>H11*'REC Spend projected'!$B$83</f>
        <v>0</v>
      </c>
      <c r="I95" s="88">
        <f>I11*'REC Spend projected'!$B$83</f>
        <v>0</v>
      </c>
      <c r="J95" s="88">
        <f>J11*'REC Spend projected'!$B$83</f>
        <v>0</v>
      </c>
      <c r="K95" s="88">
        <f>K11*'REC Spend projected'!$B$83</f>
        <v>0</v>
      </c>
      <c r="L95" s="88">
        <f>L11*'REC Spend projected'!$B$83</f>
        <v>0</v>
      </c>
      <c r="M95" s="88">
        <f>M11*'REC Spend projected'!$B$83</f>
        <v>0</v>
      </c>
      <c r="N95" s="88">
        <f>N11*'REC Spend projected'!$B$83</f>
        <v>0</v>
      </c>
      <c r="O95" s="88"/>
      <c r="P95" s="88">
        <f>P11*'REC Spend projected'!$B$83</f>
        <v>434668.54631219973</v>
      </c>
      <c r="Q95" s="88">
        <f t="shared" si="27"/>
        <v>3797761.4501494295</v>
      </c>
      <c r="R95" s="88">
        <f>'REC Spend projected'!AC92</f>
        <v>-4558355.2346599512</v>
      </c>
      <c r="S95" s="246">
        <f>'REC Spend projected'!AE92</f>
        <v>-8534135.8220021371</v>
      </c>
      <c r="U95" s="204" t="s">
        <v>25</v>
      </c>
      <c r="V95" s="222">
        <f t="shared" si="28"/>
        <v>1494012.9081937771</v>
      </c>
      <c r="W95" s="222">
        <f t="shared" si="29"/>
        <v>0</v>
      </c>
      <c r="X95" s="222">
        <f t="shared" si="30"/>
        <v>1592226.4771910761</v>
      </c>
      <c r="Y95" s="222">
        <f t="shared" si="31"/>
        <v>276853.51845237659</v>
      </c>
      <c r="Z95" s="222">
        <f t="shared" si="25"/>
        <v>434668.54631219973</v>
      </c>
      <c r="AA95" s="222">
        <f t="shared" si="26"/>
        <v>-4558355.2346599512</v>
      </c>
    </row>
    <row r="96" spans="2:27" ht="15" thickBot="1" x14ac:dyDescent="0.4">
      <c r="B96" s="90" t="s">
        <v>26</v>
      </c>
      <c r="C96" s="88">
        <f>SUM('ABP Under Contract'!K100:P100)</f>
        <v>980531</v>
      </c>
      <c r="D96" s="88">
        <f>'REC Spend projected'!H95+'REC Spend projected'!I95+'REC Spend projected'!J95+'REC Spend projected'!K95+'REC Spend projected'!L95</f>
        <v>406170.49674898747</v>
      </c>
      <c r="E96" s="88"/>
      <c r="F96" s="88">
        <f>F12*'REC Spend projected'!$B$83</f>
        <v>925803.95070206409</v>
      </c>
      <c r="G96" s="88">
        <f>G12*'REC Spend projected'!$B$83</f>
        <v>1467421.1073921702</v>
      </c>
      <c r="H96" s="88">
        <f>H12*'REC Spend projected'!$B$83</f>
        <v>0</v>
      </c>
      <c r="I96" s="88">
        <f>I12*'REC Spend projected'!$B$83</f>
        <v>0</v>
      </c>
      <c r="J96" s="88">
        <f>J12*'REC Spend projected'!$B$83</f>
        <v>0</v>
      </c>
      <c r="K96" s="88">
        <f>K12*'REC Spend projected'!$B$83</f>
        <v>0</v>
      </c>
      <c r="L96" s="88">
        <f>L12*'REC Spend projected'!$B$83</f>
        <v>0</v>
      </c>
      <c r="M96" s="88">
        <f>M12*'REC Spend projected'!$B$83</f>
        <v>0</v>
      </c>
      <c r="N96" s="88">
        <f>N12*'REC Spend projected'!$B$83</f>
        <v>0</v>
      </c>
      <c r="O96" s="88"/>
      <c r="P96" s="88">
        <f>P12*'REC Spend projected'!$B$83</f>
        <v>334806.74939907016</v>
      </c>
      <c r="Q96" s="88">
        <f t="shared" si="27"/>
        <v>4114733.304242292</v>
      </c>
      <c r="R96" s="88">
        <f>'REC Spend projected'!AC93</f>
        <v>-7139301.6256576963</v>
      </c>
      <c r="S96" s="246">
        <f>'REC Spend projected'!AE93</f>
        <v>-11525728.173462434</v>
      </c>
      <c r="U96" s="205" t="s">
        <v>26</v>
      </c>
      <c r="V96" s="222">
        <f t="shared" si="28"/>
        <v>1386701.4967489876</v>
      </c>
      <c r="W96" s="222">
        <f t="shared" si="29"/>
        <v>0</v>
      </c>
      <c r="X96" s="222">
        <f t="shared" si="30"/>
        <v>925803.95070206409</v>
      </c>
      <c r="Y96" s="222">
        <f t="shared" si="31"/>
        <v>1467421.1073921702</v>
      </c>
      <c r="Z96" s="222">
        <f t="shared" si="25"/>
        <v>334806.74939907016</v>
      </c>
      <c r="AA96" s="222">
        <f t="shared" si="26"/>
        <v>-7139301.6256576963</v>
      </c>
    </row>
    <row r="97" spans="2:27" ht="15" thickBot="1" x14ac:dyDescent="0.4">
      <c r="B97" s="87" t="s">
        <v>27</v>
      </c>
      <c r="C97" s="88">
        <f>SUM('ABP Under Contract'!K101:P101)</f>
        <v>980531</v>
      </c>
      <c r="D97" s="88">
        <f>'REC Spend projected'!H96+'REC Spend projected'!I96+'REC Spend projected'!J96+'REC Spend projected'!K96+'REC Spend projected'!L96</f>
        <v>374190.13526121812</v>
      </c>
      <c r="E97" s="88"/>
      <c r="F97" s="88">
        <f>F13*'REC Spend projected'!$B$83</f>
        <v>859086.51431709935</v>
      </c>
      <c r="G97" s="88">
        <f>G13*'REC Spend projected'!$B$83</f>
        <v>1616522.4317820638</v>
      </c>
      <c r="H97" s="88">
        <f>H13*'REC Spend projected'!$B$83</f>
        <v>236042.16184963004</v>
      </c>
      <c r="I97" s="88">
        <f>I13*'REC Spend projected'!$B$83</f>
        <v>0</v>
      </c>
      <c r="J97" s="88">
        <f>J13*'REC Spend projected'!$B$83</f>
        <v>0</v>
      </c>
      <c r="K97" s="88">
        <f>K13*'REC Spend projected'!$B$83</f>
        <v>0</v>
      </c>
      <c r="L97" s="88">
        <f>L13*'REC Spend projected'!$B$83</f>
        <v>0</v>
      </c>
      <c r="M97" s="88">
        <f>M13*'REC Spend projected'!$B$83</f>
        <v>0</v>
      </c>
      <c r="N97" s="88">
        <f>N13*'REC Spend projected'!$B$83</f>
        <v>0</v>
      </c>
      <c r="O97" s="88"/>
      <c r="P97" s="88">
        <f>P13*'REC Spend projected'!$B$83</f>
        <v>334876.65753054508</v>
      </c>
      <c r="Q97" s="88">
        <f t="shared" si="27"/>
        <v>4401248.9007405564</v>
      </c>
      <c r="R97" s="88">
        <f>'REC Spend projected'!AC94</f>
        <v>-10130465.903734799</v>
      </c>
      <c r="S97" s="246">
        <f>'REC Spend projected'!AE94</f>
        <v>-14686131.761046976</v>
      </c>
      <c r="U97" s="204" t="s">
        <v>27</v>
      </c>
      <c r="V97" s="222">
        <f t="shared" si="28"/>
        <v>1354721.1352612181</v>
      </c>
      <c r="W97" s="222">
        <f t="shared" si="29"/>
        <v>0</v>
      </c>
      <c r="X97" s="222">
        <f t="shared" si="30"/>
        <v>859086.51431709935</v>
      </c>
      <c r="Y97" s="222">
        <f t="shared" si="31"/>
        <v>1852564.5936316939</v>
      </c>
      <c r="Z97" s="222">
        <f t="shared" si="25"/>
        <v>334876.65753054508</v>
      </c>
      <c r="AA97" s="222">
        <f t="shared" si="26"/>
        <v>-10130465.903734799</v>
      </c>
    </row>
    <row r="98" spans="2:27" ht="15" thickBot="1" x14ac:dyDescent="0.4">
      <c r="B98" s="87" t="s">
        <v>28</v>
      </c>
      <c r="C98" s="88">
        <f>SUM('ABP Under Contract'!K102:P102)</f>
        <v>472356</v>
      </c>
      <c r="D98" s="88">
        <f>'REC Spend projected'!H97+'REC Spend projected'!I97+'REC Spend projected'!J97+'REC Spend projected'!K97+'REC Spend projected'!L97</f>
        <v>321679.18970461021</v>
      </c>
      <c r="E98" s="88"/>
      <c r="F98" s="88">
        <f>F14*'REC Spend projected'!$B$83</f>
        <v>782875.57355431002</v>
      </c>
      <c r="G98" s="88">
        <f>G14*'REC Spend projected'!$B$83</f>
        <v>900064.76466835802</v>
      </c>
      <c r="H98" s="88">
        <f>H14*'REC Spend projected'!$B$83</f>
        <v>1211679.3488491941</v>
      </c>
      <c r="I98" s="88">
        <f>I14*'REC Spend projected'!$B$83</f>
        <v>0</v>
      </c>
      <c r="J98" s="88">
        <f>J14*'REC Spend projected'!$B$83</f>
        <v>0</v>
      </c>
      <c r="K98" s="88">
        <f>K14*'REC Spend projected'!$B$83</f>
        <v>0</v>
      </c>
      <c r="L98" s="88">
        <f>L14*'REC Spend projected'!$B$83</f>
        <v>0</v>
      </c>
      <c r="M98" s="88">
        <f>M14*'REC Spend projected'!$B$83</f>
        <v>0</v>
      </c>
      <c r="N98" s="88">
        <f>N14*'REC Spend projected'!$B$83</f>
        <v>0</v>
      </c>
      <c r="O98" s="88"/>
      <c r="P98" s="88">
        <f>P14*'REC Spend projected'!$B$83</f>
        <v>435474.11840802792</v>
      </c>
      <c r="Q98" s="88">
        <f t="shared" si="27"/>
        <v>4124128.9951845007</v>
      </c>
      <c r="R98" s="88">
        <f>'REC Spend projected'!AC95</f>
        <v>-13288513.986471135</v>
      </c>
      <c r="S98" s="246">
        <f>'REC Spend projected'!AE95</f>
        <v>-17755169.44571973</v>
      </c>
      <c r="U98" s="204" t="s">
        <v>28</v>
      </c>
      <c r="V98" s="222">
        <f t="shared" si="28"/>
        <v>794035.18970461027</v>
      </c>
      <c r="W98" s="222">
        <f t="shared" si="29"/>
        <v>0</v>
      </c>
      <c r="X98" s="222">
        <f t="shared" si="30"/>
        <v>782875.57355431002</v>
      </c>
      <c r="Y98" s="222">
        <f t="shared" si="31"/>
        <v>2111744.1135175521</v>
      </c>
      <c r="Z98" s="222">
        <f t="shared" si="25"/>
        <v>435474.11840802792</v>
      </c>
      <c r="AA98" s="222">
        <f t="shared" si="26"/>
        <v>-13288513.986471135</v>
      </c>
    </row>
    <row r="99" spans="2:27" ht="15" thickBot="1" x14ac:dyDescent="0.4">
      <c r="B99" s="87" t="s">
        <v>29</v>
      </c>
      <c r="C99" s="88">
        <f>SUM('ABP Under Contract'!K103:P103)</f>
        <v>0</v>
      </c>
      <c r="D99" s="88">
        <f>'REC Spend projected'!H98+'REC Spend projected'!I98+'REC Spend projected'!J98+'REC Spend projected'!K98+'REC Spend projected'!L98</f>
        <v>269272.43387720431</v>
      </c>
      <c r="E99" s="88"/>
      <c r="F99" s="88">
        <f>F15*'REC Spend projected'!$B$83</f>
        <v>770301.05506366887</v>
      </c>
      <c r="G99" s="88">
        <f>G15*'REC Spend projected'!$B$83</f>
        <v>881804.90107269364</v>
      </c>
      <c r="H99" s="88">
        <f>H15*'REC Spend projected'!$B$83</f>
        <v>1412547.9482250123</v>
      </c>
      <c r="I99" s="88">
        <f>I15*'REC Spend projected'!$B$83</f>
        <v>143481.85343966185</v>
      </c>
      <c r="J99" s="88">
        <f>J15*'REC Spend projected'!$B$83</f>
        <v>0</v>
      </c>
      <c r="K99" s="88">
        <f>K15*'REC Spend projected'!$B$83</f>
        <v>0</v>
      </c>
      <c r="L99" s="88">
        <f>L15*'REC Spend projected'!$B$83</f>
        <v>0</v>
      </c>
      <c r="M99" s="88">
        <f>M15*'REC Spend projected'!$B$83</f>
        <v>0</v>
      </c>
      <c r="N99" s="88">
        <f>N15*'REC Spend projected'!$B$83</f>
        <v>0</v>
      </c>
      <c r="O99" s="88"/>
      <c r="P99" s="88">
        <f>P15*'REC Spend projected'!$B$83</f>
        <v>335877.74929775833</v>
      </c>
      <c r="Q99" s="88">
        <f t="shared" si="27"/>
        <v>3813285.9409759995</v>
      </c>
      <c r="R99" s="88">
        <f>'REC Spend projected'!AC96</f>
        <v>-16356030.429079264</v>
      </c>
      <c r="S99" s="246">
        <f>'REC Spend projected'!AE96</f>
        <v>-20884792.625810578</v>
      </c>
      <c r="U99" s="204" t="s">
        <v>29</v>
      </c>
      <c r="V99" s="222">
        <f t="shared" si="28"/>
        <v>269272.43387720431</v>
      </c>
      <c r="W99" s="222">
        <f t="shared" si="29"/>
        <v>0</v>
      </c>
      <c r="X99" s="222">
        <f t="shared" si="30"/>
        <v>770301.05506366887</v>
      </c>
      <c r="Y99" s="222">
        <f t="shared" si="31"/>
        <v>2437834.7027373677</v>
      </c>
      <c r="Z99" s="222">
        <f t="shared" si="25"/>
        <v>335877.74929775833</v>
      </c>
      <c r="AA99" s="222">
        <f t="shared" si="26"/>
        <v>-16356030.429079264</v>
      </c>
    </row>
    <row r="100" spans="2:27" ht="15" thickBot="1" x14ac:dyDescent="0.4">
      <c r="B100" s="87" t="s">
        <v>30</v>
      </c>
      <c r="C100" s="88">
        <f>SUM('ABP Under Contract'!K104:P104)</f>
        <v>0</v>
      </c>
      <c r="D100" s="88">
        <f>'REC Spend projected'!H99+'REC Spend projected'!I99+'REC Spend projected'!J99+'REC Spend projected'!K99+'REC Spend projected'!L99</f>
        <v>206365.45731444994</v>
      </c>
      <c r="E100" s="88"/>
      <c r="F100" s="88">
        <f>F16*'REC Spend projected'!$B$83</f>
        <v>745536.49391973973</v>
      </c>
      <c r="G100" s="88">
        <f>G16*'REC Spend projected'!$B$83</f>
        <v>848754.11205101549</v>
      </c>
      <c r="H100" s="88">
        <f>H16*'REC Spend projected'!$B$83</f>
        <v>812771.40886500571</v>
      </c>
      <c r="I100" s="88">
        <f>I16*'REC Spend projected'!$B$83</f>
        <v>1033243.7340747378</v>
      </c>
      <c r="J100" s="88">
        <f>J16*'REC Spend projected'!$B$83</f>
        <v>0</v>
      </c>
      <c r="K100" s="88">
        <f>K16*'REC Spend projected'!$B$83</f>
        <v>0</v>
      </c>
      <c r="L100" s="88">
        <f>L16*'REC Spend projected'!$B$83</f>
        <v>0</v>
      </c>
      <c r="M100" s="88">
        <f>M16*'REC Spend projected'!$B$83</f>
        <v>0</v>
      </c>
      <c r="N100" s="88">
        <f>N16*'REC Spend projected'!$B$83</f>
        <v>0</v>
      </c>
      <c r="O100" s="88"/>
      <c r="P100" s="88">
        <f>P16*'REC Spend projected'!$B$83</f>
        <v>336447.97373891989</v>
      </c>
      <c r="Q100" s="88">
        <f t="shared" si="27"/>
        <v>3983119.1799638686</v>
      </c>
      <c r="R100" s="88">
        <f>'REC Spend projected'!AC97</f>
        <v>-19483686.287099171</v>
      </c>
      <c r="S100" s="246">
        <f>'REC Spend projected'!AE97</f>
        <v>-24000493.217960462</v>
      </c>
      <c r="U100" s="204" t="s">
        <v>30</v>
      </c>
      <c r="V100" s="222">
        <f t="shared" si="28"/>
        <v>206365.45731444994</v>
      </c>
      <c r="W100" s="222">
        <f t="shared" si="29"/>
        <v>0</v>
      </c>
      <c r="X100" s="222">
        <f t="shared" si="30"/>
        <v>745536.49391973973</v>
      </c>
      <c r="Y100" s="222">
        <f t="shared" si="31"/>
        <v>2694769.2549907588</v>
      </c>
      <c r="Z100" s="222">
        <f t="shared" si="25"/>
        <v>336447.97373891989</v>
      </c>
      <c r="AA100" s="222">
        <f t="shared" si="26"/>
        <v>-19483686.287099171</v>
      </c>
    </row>
    <row r="101" spans="2:27" ht="15" thickBot="1" x14ac:dyDescent="0.4">
      <c r="B101" s="87" t="s">
        <v>31</v>
      </c>
      <c r="C101" s="88">
        <f>SUM('ABP Under Contract'!K105:P105)</f>
        <v>0</v>
      </c>
      <c r="D101" s="88">
        <f>'REC Spend projected'!H100+'REC Spend projected'!I100+'REC Spend projected'!J100+'REC Spend projected'!K100+'REC Spend projected'!L100</f>
        <v>132858.03933254967</v>
      </c>
      <c r="E101" s="88"/>
      <c r="F101" s="88">
        <f>F17*'REC Spend projected'!$B$83</f>
        <v>545873.29946535814</v>
      </c>
      <c r="G101" s="88">
        <f>G17*'REC Spend projected'!$B$83</f>
        <v>795239.31408170541</v>
      </c>
      <c r="H101" s="88">
        <f>H17*'REC Spend projected'!$B$83</f>
        <v>757876.2044455671</v>
      </c>
      <c r="I101" s="88">
        <f>I17*'REC Spend projected'!$B$83</f>
        <v>1169761.5331389445</v>
      </c>
      <c r="J101" s="88">
        <f>J17*'REC Spend projected'!$B$83</f>
        <v>67413.588466479385</v>
      </c>
      <c r="K101" s="88">
        <f>K17*'REC Spend projected'!$B$83</f>
        <v>0</v>
      </c>
      <c r="L101" s="88">
        <f>L17*'REC Spend projected'!$B$83</f>
        <v>0</v>
      </c>
      <c r="M101" s="88">
        <f>M17*'REC Spend projected'!$B$83</f>
        <v>0</v>
      </c>
      <c r="N101" s="88">
        <f>N17*'REC Spend projected'!$B$83</f>
        <v>0</v>
      </c>
      <c r="O101" s="88"/>
      <c r="P101" s="88">
        <f>P17*'REC Spend projected'!$B$83</f>
        <v>336723.16667295474</v>
      </c>
      <c r="Q101" s="88">
        <f t="shared" si="27"/>
        <v>3805745.1456035594</v>
      </c>
      <c r="R101" s="88">
        <f>'REC Spend projected'!AC98</f>
        <v>-22598932.905913297</v>
      </c>
      <c r="S101" s="246">
        <f>'REC Spend projected'!AE98</f>
        <v>-26594960.015961383</v>
      </c>
      <c r="U101" s="204" t="s">
        <v>31</v>
      </c>
      <c r="V101" s="222">
        <f t="shared" si="28"/>
        <v>132858.03933254967</v>
      </c>
      <c r="W101" s="222">
        <f t="shared" si="29"/>
        <v>0</v>
      </c>
      <c r="X101" s="222">
        <f t="shared" si="30"/>
        <v>545873.29946535814</v>
      </c>
      <c r="Y101" s="222">
        <f t="shared" si="31"/>
        <v>2790290.6401326964</v>
      </c>
      <c r="Z101" s="222">
        <f t="shared" si="25"/>
        <v>336723.16667295474</v>
      </c>
      <c r="AA101" s="222">
        <f t="shared" si="26"/>
        <v>-22598932.905913297</v>
      </c>
    </row>
    <row r="102" spans="2:27" ht="15" thickBot="1" x14ac:dyDescent="0.4">
      <c r="B102" s="87" t="s">
        <v>32</v>
      </c>
      <c r="C102" s="88">
        <f>SUM('ABP Under Contract'!K106:P106)</f>
        <v>0</v>
      </c>
      <c r="D102" s="88">
        <f>'REC Spend projected'!H101+'REC Spend projected'!I101+'REC Spend projected'!J101+'REC Spend projected'!K101+'REC Spend projected'!L101</f>
        <v>34049.772727837924</v>
      </c>
      <c r="E102" s="88"/>
      <c r="F102" s="88">
        <f>F18*'REC Spend projected'!$B$83</f>
        <v>330917.32240200252</v>
      </c>
      <c r="G102" s="88">
        <f>G18*'REC Spend projected'!$B$83</f>
        <v>747307.04314686102</v>
      </c>
      <c r="H102" s="88">
        <f>H18*'REC Spend projected'!$B$83</f>
        <v>709823.68034573866</v>
      </c>
      <c r="I102" s="88">
        <f>I18*'REC Spend projected'!$B$83</f>
        <v>613802.82603594183</v>
      </c>
      <c r="J102" s="88">
        <f>J18*'REC Spend projected'!$B$83</f>
        <v>827421.18200938776</v>
      </c>
      <c r="K102" s="88">
        <f>K18*'REC Spend projected'!$B$83</f>
        <v>0</v>
      </c>
      <c r="L102" s="88">
        <f>L18*'REC Spend projected'!$B$83</f>
        <v>0</v>
      </c>
      <c r="M102" s="88">
        <f>M18*'REC Spend projected'!$B$83</f>
        <v>0</v>
      </c>
      <c r="N102" s="88">
        <f>N18*'REC Spend projected'!$B$83</f>
        <v>0</v>
      </c>
      <c r="O102" s="88"/>
      <c r="P102" s="88">
        <f>P18*'REC Spend projected'!$B$83</f>
        <v>337170.0219550255</v>
      </c>
      <c r="Q102" s="88">
        <f t="shared" si="27"/>
        <v>3600491.8486227952</v>
      </c>
      <c r="R102" s="88">
        <f>'REC Spend projected'!AC99</f>
        <v>-25192422.357654542</v>
      </c>
      <c r="S102" s="246">
        <f>'REC Spend projected'!AE99</f>
        <v>-28934717.905299135</v>
      </c>
      <c r="U102" s="204" t="s">
        <v>32</v>
      </c>
      <c r="V102" s="222">
        <f t="shared" si="28"/>
        <v>34049.772727837924</v>
      </c>
      <c r="W102" s="222">
        <f t="shared" si="29"/>
        <v>0</v>
      </c>
      <c r="X102" s="222">
        <f t="shared" si="30"/>
        <v>330917.32240200252</v>
      </c>
      <c r="Y102" s="222">
        <f t="shared" si="31"/>
        <v>2898354.7315379293</v>
      </c>
      <c r="Z102" s="222">
        <f t="shared" si="25"/>
        <v>337170.0219550255</v>
      </c>
      <c r="AA102" s="222">
        <f t="shared" si="26"/>
        <v>-25192422.357654542</v>
      </c>
    </row>
    <row r="103" spans="2:27" ht="15" thickBot="1" x14ac:dyDescent="0.4">
      <c r="B103" s="87" t="s">
        <v>33</v>
      </c>
      <c r="C103" s="88">
        <f>SUM('ABP Under Contract'!K107:P107)</f>
        <v>0</v>
      </c>
      <c r="D103" s="88">
        <f>'REC Spend projected'!H102+'REC Spend projected'!I102+'REC Spend projected'!J102+'REC Spend projected'!K102+'REC Spend projected'!L102</f>
        <v>-45631.563987578731</v>
      </c>
      <c r="E103" s="88"/>
      <c r="F103" s="88">
        <f>F19*'REC Spend projected'!$B$83</f>
        <v>257936.21408369808</v>
      </c>
      <c r="G103" s="88">
        <f>G19*'REC Spend projected'!$B$83</f>
        <v>536584.68707544392</v>
      </c>
      <c r="H103" s="88">
        <f>H19*'REC Spend projected'!$B$83</f>
        <v>645827.23482792568</v>
      </c>
      <c r="I103" s="88">
        <f>I19*'REC Spend projected'!$B$83</f>
        <v>567830.09751427046</v>
      </c>
      <c r="J103" s="88">
        <f>J19*'REC Spend projected'!$B$83</f>
        <v>638102.25146172312</v>
      </c>
      <c r="K103" s="88">
        <f>K19*'REC Spend projected'!$B$83</f>
        <v>43336.353342063376</v>
      </c>
      <c r="L103" s="88">
        <f>L19*'REC Spend projected'!$B$83</f>
        <v>0</v>
      </c>
      <c r="M103" s="88">
        <f>M19*'REC Spend projected'!$B$83</f>
        <v>0</v>
      </c>
      <c r="N103" s="88">
        <f>N19*'REC Spend projected'!$B$83</f>
        <v>0</v>
      </c>
      <c r="O103" s="88"/>
      <c r="P103" s="88">
        <f>P19*'REC Spend projected'!$B$83</f>
        <v>337497.87606703106</v>
      </c>
      <c r="Q103" s="88">
        <f t="shared" si="27"/>
        <v>2981483.1503845765</v>
      </c>
      <c r="R103" s="88">
        <f>'REC Spend projected'!AC100</f>
        <v>-27531274.159142934</v>
      </c>
      <c r="S103" s="246">
        <f>'REC Spend projected'!AE100</f>
        <v>-30925249.086453918</v>
      </c>
      <c r="U103" s="204" t="s">
        <v>33</v>
      </c>
      <c r="V103" s="222">
        <f t="shared" si="28"/>
        <v>-45631.563987578731</v>
      </c>
      <c r="W103" s="222">
        <f t="shared" si="29"/>
        <v>0</v>
      </c>
      <c r="X103" s="222">
        <f t="shared" si="30"/>
        <v>257936.21408369808</v>
      </c>
      <c r="Y103" s="222">
        <f t="shared" si="31"/>
        <v>2431680.624221426</v>
      </c>
      <c r="Z103" s="222">
        <f t="shared" si="25"/>
        <v>337497.87606703106</v>
      </c>
      <c r="AA103" s="222">
        <f t="shared" si="26"/>
        <v>-27531274.159142934</v>
      </c>
    </row>
    <row r="104" spans="2:27" ht="15" thickBot="1" x14ac:dyDescent="0.4">
      <c r="B104" s="87" t="s">
        <v>34</v>
      </c>
      <c r="C104" s="88">
        <f>SUM('ABP Under Contract'!K108:P108)</f>
        <v>0</v>
      </c>
      <c r="D104" s="88">
        <f>'REC Spend projected'!H103+'REC Spend projected'!I103+'REC Spend projected'!J103+'REC Spend projected'!K103+'REC Spend projected'!L103</f>
        <v>-103532.07148939191</v>
      </c>
      <c r="E104" s="88"/>
      <c r="F104" s="88">
        <f>F20*'REC Spend projected'!$B$83</f>
        <v>210251.96511801606</v>
      </c>
      <c r="G104" s="88">
        <f>G20*'REC Spend projected'!$B$83</f>
        <v>308765.55370350182</v>
      </c>
      <c r="H104" s="88">
        <f>H20*'REC Spend projected'!$B$83</f>
        <v>582647.10305724898</v>
      </c>
      <c r="I104" s="88">
        <f>I20*'REC Spend projected'!$B$83</f>
        <v>523566.89726622286</v>
      </c>
      <c r="J104" s="88">
        <f>J20*'REC Spend projected'!$B$83</f>
        <v>371650.29571806733</v>
      </c>
      <c r="K104" s="88">
        <f>K20*'REC Spend projected'!$B$83</f>
        <v>387767.55416374264</v>
      </c>
      <c r="L104" s="88">
        <f>L20*'REC Spend projected'!$B$83</f>
        <v>0</v>
      </c>
      <c r="M104" s="88">
        <f>M20*'REC Spend projected'!$B$83</f>
        <v>0</v>
      </c>
      <c r="N104" s="88">
        <f>N20*'REC Spend projected'!$B$83</f>
        <v>0</v>
      </c>
      <c r="O104" s="88"/>
      <c r="P104" s="88">
        <f>P20*'REC Spend projected'!$B$83</f>
        <v>337887.9901596065</v>
      </c>
      <c r="Q104" s="88">
        <f t="shared" si="27"/>
        <v>2619005.2876970144</v>
      </c>
      <c r="R104" s="88">
        <f>'REC Spend projected'!AC101</f>
        <v>-29520967.938256994</v>
      </c>
      <c r="S104" s="246">
        <f>'REC Spend projected'!AE101</f>
        <v>-32525549.359720204</v>
      </c>
      <c r="U104" s="204" t="s">
        <v>34</v>
      </c>
      <c r="V104" s="222">
        <f t="shared" si="28"/>
        <v>-103532.07148939191</v>
      </c>
      <c r="W104" s="222">
        <f t="shared" si="29"/>
        <v>0</v>
      </c>
      <c r="X104" s="222">
        <f t="shared" si="30"/>
        <v>210251.96511801606</v>
      </c>
      <c r="Y104" s="222">
        <f t="shared" si="31"/>
        <v>2174397.4039087836</v>
      </c>
      <c r="Z104" s="222">
        <f t="shared" si="25"/>
        <v>337887.9901596065</v>
      </c>
      <c r="AA104" s="222">
        <f t="shared" si="26"/>
        <v>-29520967.938256994</v>
      </c>
    </row>
    <row r="105" spans="2:27" ht="15" thickBot="1" x14ac:dyDescent="0.4">
      <c r="B105" s="87" t="s">
        <v>35</v>
      </c>
      <c r="C105" s="88">
        <f>SUM('ABP Under Contract'!K109:P109)</f>
        <v>0</v>
      </c>
      <c r="D105" s="88">
        <f>'REC Spend projected'!H104+'REC Spend projected'!I104+'REC Spend projected'!J104+'REC Spend projected'!K104+'REC Spend projected'!L104</f>
        <v>-158910.17942175877</v>
      </c>
      <c r="E105" s="88"/>
      <c r="F105" s="88">
        <f>F21*'REC Spend projected'!$B$83</f>
        <v>163752.80182533679</v>
      </c>
      <c r="G105" s="88">
        <f>G21*'REC Spend projected'!$B$83</f>
        <v>224613.65854488604</v>
      </c>
      <c r="H105" s="88">
        <f>H21*'REC Spend projected'!$B$83</f>
        <v>385771.89243451739</v>
      </c>
      <c r="I105" s="88">
        <f>I21*'REC Spend projected'!$B$83</f>
        <v>480483.65637826564</v>
      </c>
      <c r="J105" s="88">
        <f>J21*'REC Spend projected'!$B$83</f>
        <v>343602.33967109793</v>
      </c>
      <c r="K105" s="88">
        <f>K21*'REC Spend projected'!$B$83</f>
        <v>445581.48530978727</v>
      </c>
      <c r="L105" s="88">
        <f>L21*'REC Spend projected'!$B$83</f>
        <v>16246.1512475576</v>
      </c>
      <c r="M105" s="88">
        <f>M21*'REC Spend projected'!$B$83</f>
        <v>0</v>
      </c>
      <c r="N105" s="88">
        <f>N21*'REC Spend projected'!$B$83</f>
        <v>0</v>
      </c>
      <c r="O105" s="88"/>
      <c r="P105" s="88">
        <f>P21*'REC Spend projected'!$B$83</f>
        <v>338075.78969751421</v>
      </c>
      <c r="Q105" s="88">
        <f t="shared" si="27"/>
        <v>2239217.595687204</v>
      </c>
      <c r="R105" s="88">
        <f>'REC Spend projected'!AC102</f>
        <v>-31120495.531388544</v>
      </c>
      <c r="S105" s="246">
        <f>'REC Spend projected'!AE102</f>
        <v>-33733928.493028022</v>
      </c>
      <c r="U105" s="204" t="s">
        <v>35</v>
      </c>
      <c r="V105" s="222">
        <f t="shared" si="28"/>
        <v>-158910.17942175877</v>
      </c>
      <c r="W105" s="222">
        <f t="shared" si="29"/>
        <v>0</v>
      </c>
      <c r="X105" s="222">
        <f t="shared" si="30"/>
        <v>163752.80182533679</v>
      </c>
      <c r="Y105" s="222">
        <f t="shared" si="31"/>
        <v>1896299.1835861118</v>
      </c>
      <c r="Z105" s="222">
        <f t="shared" si="25"/>
        <v>338075.78969751421</v>
      </c>
      <c r="AA105" s="222">
        <f t="shared" si="26"/>
        <v>-31120495.531388544</v>
      </c>
    </row>
    <row r="106" spans="2:27" ht="15" thickBot="1" x14ac:dyDescent="0.4">
      <c r="B106" s="87" t="s">
        <v>36</v>
      </c>
      <c r="C106" s="88">
        <f>SUM('ABP Under Contract'!K110:P110)</f>
        <v>0</v>
      </c>
      <c r="D106" s="88">
        <f>'REC Spend projected'!H105+'REC Spend projected'!I105+'REC Spend projected'!J105+'REC Spend projected'!K105+'REC Spend projected'!L105</f>
        <v>-215774.36520885056</v>
      </c>
      <c r="E106" s="88"/>
      <c r="F106" s="88">
        <f>F22*'REC Spend projected'!$B$83</f>
        <v>117346.92672487687</v>
      </c>
      <c r="G106" s="88">
        <f>G22*'REC Spend projected'!$B$83</f>
        <v>163537.10444211584</v>
      </c>
      <c r="H106" s="88">
        <f>H22*'REC Spend projected'!$B$83</f>
        <v>172635.55186247794</v>
      </c>
      <c r="I106" s="88">
        <f>I22*'REC Spend projected'!$B$83</f>
        <v>437570.1930191759</v>
      </c>
      <c r="J106" s="88">
        <f>J22*'REC Spend projected'!$B$83</f>
        <v>316205.59130045254</v>
      </c>
      <c r="K106" s="88">
        <f>K22*'REC Spend projected'!$B$83</f>
        <v>196504.31487322543</v>
      </c>
      <c r="L106" s="88">
        <f>L22*'REC Spend projected'!$B$83</f>
        <v>308528.68545953045</v>
      </c>
      <c r="M106" s="88">
        <f>M22*'REC Spend projected'!$B$83</f>
        <v>0</v>
      </c>
      <c r="N106" s="88">
        <f>N22*'REC Spend projected'!$B$83</f>
        <v>0</v>
      </c>
      <c r="O106" s="88"/>
      <c r="P106" s="88">
        <f>P22*'REC Spend projected'!$B$83</f>
        <v>338491.3946067561</v>
      </c>
      <c r="Q106" s="88">
        <f t="shared" si="27"/>
        <v>1835045.3970797607</v>
      </c>
      <c r="R106" s="88">
        <f>'REC Spend projected'!AC103</f>
        <v>-32328164.829611644</v>
      </c>
      <c r="S106" s="246">
        <f>'REC Spend projected'!AE103</f>
        <v>-34549034.165297352</v>
      </c>
      <c r="U106" s="204" t="s">
        <v>36</v>
      </c>
      <c r="V106" s="222">
        <f t="shared" si="28"/>
        <v>-215774.36520885056</v>
      </c>
      <c r="W106" s="222">
        <f t="shared" si="29"/>
        <v>0</v>
      </c>
      <c r="X106" s="222">
        <f t="shared" si="30"/>
        <v>117346.92672487687</v>
      </c>
      <c r="Y106" s="222">
        <f t="shared" si="31"/>
        <v>1594981.4409569781</v>
      </c>
      <c r="Z106" s="222">
        <f t="shared" si="25"/>
        <v>338491.3946067561</v>
      </c>
      <c r="AA106" s="222">
        <f t="shared" si="26"/>
        <v>-32328164.829611644</v>
      </c>
    </row>
    <row r="107" spans="2:27" ht="15" thickBot="1" x14ac:dyDescent="0.4">
      <c r="B107" s="87" t="s">
        <v>37</v>
      </c>
      <c r="C107" s="88">
        <f>SUM('ABP Under Contract'!K111:P111)</f>
        <v>0</v>
      </c>
      <c r="D107" s="88">
        <f>'REC Spend projected'!H106+'REC Spend projected'!I106+'REC Spend projected'!J106+'REC Spend projected'!K106+'REC Spend projected'!L106</f>
        <v>-271401.03990500281</v>
      </c>
      <c r="E107" s="88"/>
      <c r="F107" s="88">
        <f>F23*'REC Spend projected'!$B$83</f>
        <v>72677.280543986592</v>
      </c>
      <c r="G107" s="88">
        <f>G23*'REC Spend projected'!$B$83</f>
        <v>104864.7289051745</v>
      </c>
      <c r="H107" s="88">
        <f>H23*'REC Spend projected'!$B$83</f>
        <v>92763.440043868774</v>
      </c>
      <c r="I107" s="88">
        <f>I23*'REC Spend projected'!$B$83</f>
        <v>271564.82086803165</v>
      </c>
      <c r="J107" s="88">
        <f>J23*'REC Spend projected'!$B$83</f>
        <v>289896.51557448227</v>
      </c>
      <c r="K107" s="88">
        <f>K23*'REC Spend projected'!$B$83</f>
        <v>169814.0273896821</v>
      </c>
      <c r="L107" s="88">
        <f>L23*'REC Spend projected'!$B$83</f>
        <v>360785.78671833011</v>
      </c>
      <c r="M107" s="88">
        <f>M23*'REC Spend projected'!$B$83</f>
        <v>-10026.473024807803</v>
      </c>
      <c r="N107" s="88">
        <f>N23*'REC Spend projected'!$B$83</f>
        <v>0</v>
      </c>
      <c r="O107" s="88"/>
      <c r="P107" s="88">
        <f>P23*'REC Spend projected'!$B$83</f>
        <v>338829.10738786613</v>
      </c>
      <c r="Q107" s="88">
        <f t="shared" si="27"/>
        <v>1419768.1945016114</v>
      </c>
      <c r="R107" s="88">
        <f>'REC Spend projected'!AC104</f>
        <v>-33142620.895913232</v>
      </c>
      <c r="S107" s="246">
        <f>'REC Spend projected'!AE104</f>
        <v>-34953054.231846243</v>
      </c>
      <c r="U107" s="204" t="s">
        <v>37</v>
      </c>
      <c r="V107" s="222">
        <f t="shared" si="28"/>
        <v>-271401.03990500281</v>
      </c>
      <c r="W107" s="222">
        <f t="shared" si="29"/>
        <v>0</v>
      </c>
      <c r="X107" s="222">
        <f t="shared" si="30"/>
        <v>72677.280543986592</v>
      </c>
      <c r="Y107" s="222">
        <f t="shared" si="31"/>
        <v>1279662.8464747616</v>
      </c>
      <c r="Z107" s="222">
        <f t="shared" si="25"/>
        <v>338829.10738786613</v>
      </c>
      <c r="AA107" s="222">
        <f t="shared" si="26"/>
        <v>-33142620.895913232</v>
      </c>
    </row>
    <row r="108" spans="2:27" ht="15" thickBot="1" x14ac:dyDescent="0.4">
      <c r="B108" s="87" t="s">
        <v>38</v>
      </c>
      <c r="C108" s="88">
        <f>SUM('ABP Under Contract'!K112:P112)</f>
        <v>0</v>
      </c>
      <c r="D108" s="88">
        <f>'REC Spend projected'!H107+'REC Spend projected'!I107+'REC Spend projected'!J107+'REC Spend projected'!K107+'REC Spend projected'!L107</f>
        <v>-476376.52590177255</v>
      </c>
      <c r="E108" s="88"/>
      <c r="F108" s="88">
        <f>F24*'REC Spend projected'!$B$83</f>
        <v>29859.255620664357</v>
      </c>
      <c r="G108" s="88">
        <f>G24*'REC Spend projected'!$B$83</f>
        <v>48740.979373025752</v>
      </c>
      <c r="H108" s="88">
        <f>H24*'REC Spend projected'!$B$83</f>
        <v>36494.090393599356</v>
      </c>
      <c r="I108" s="88">
        <f>I24*'REC Spend projected'!$B$83</f>
        <v>92131.917885158924</v>
      </c>
      <c r="J108" s="88">
        <f>J24*'REC Spend projected'!$B$83</f>
        <v>264738.31826899078</v>
      </c>
      <c r="K108" s="88">
        <f>K24*'REC Spend projected'!$B$83</f>
        <v>144763.68564750996</v>
      </c>
      <c r="L108" s="88">
        <f>L24*'REC Spend projected'!$B$83</f>
        <v>131257.36294773559</v>
      </c>
      <c r="M108" s="88">
        <f>M24*'REC Spend projected'!$B$83</f>
        <v>234318.33061319607</v>
      </c>
      <c r="N108" s="88">
        <f>N24*'REC Spend projected'!$B$83</f>
        <v>0</v>
      </c>
      <c r="O108" s="88"/>
      <c r="P108" s="88">
        <f>P24*'REC Spend projected'!$B$83</f>
        <v>339232.37809891597</v>
      </c>
      <c r="Q108" s="88">
        <f t="shared" si="27"/>
        <v>845159.79294702422</v>
      </c>
      <c r="R108" s="88">
        <f>'REC Spend projected'!AC105</f>
        <v>-33546048.821331207</v>
      </c>
      <c r="S108" s="246">
        <f>'REC Spend projected'!AE105</f>
        <v>-34996651.231400155</v>
      </c>
      <c r="U108" s="204" t="s">
        <v>38</v>
      </c>
      <c r="V108" s="222">
        <f t="shared" si="28"/>
        <v>-476376.52590177255</v>
      </c>
      <c r="W108" s="222">
        <f t="shared" si="29"/>
        <v>0</v>
      </c>
      <c r="X108" s="222">
        <f t="shared" si="30"/>
        <v>29859.255620664357</v>
      </c>
      <c r="Y108" s="222">
        <f t="shared" si="31"/>
        <v>952444.68512921641</v>
      </c>
      <c r="Z108" s="222">
        <f t="shared" si="25"/>
        <v>339232.37809891597</v>
      </c>
      <c r="AA108" s="222">
        <f t="shared" si="26"/>
        <v>-33546048.821331207</v>
      </c>
    </row>
    <row r="109" spans="2:27" ht="15" thickBot="1" x14ac:dyDescent="0.4">
      <c r="B109" s="87" t="s">
        <v>39</v>
      </c>
      <c r="C109" s="88">
        <f>SUM('ABP Under Contract'!K113:P113)</f>
        <v>0</v>
      </c>
      <c r="D109" s="88">
        <f>'REC Spend projected'!H108+'REC Spend projected'!I108+'REC Spend projected'!J108+'REC Spend projected'!K108+'REC Spend projected'!L108</f>
        <v>0</v>
      </c>
      <c r="E109" s="88"/>
      <c r="F109" s="88">
        <f>F25*'REC Spend projected'!$B$83</f>
        <v>-14139.805784983344</v>
      </c>
      <c r="G109" s="88">
        <f>G25*'REC Spend projected'!$B$83</f>
        <v>-8827.4245227432475</v>
      </c>
      <c r="H109" s="88">
        <f>H25*'REC Spend projected'!$B$83</f>
        <v>-21224.36222387031</v>
      </c>
      <c r="I109" s="88">
        <f>I25*'REC Spend projected'!$B$83</f>
        <v>32280.645638435326</v>
      </c>
      <c r="J109" s="88">
        <f>J25*'REC Spend projected'!$B$83</f>
        <v>123962.21135816484</v>
      </c>
      <c r="K109" s="88">
        <f>K25*'REC Spend projected'!$B$83</f>
        <v>50659.148871790334</v>
      </c>
      <c r="L109" s="88">
        <f>L25*'REC Spend projected'!$B$83</f>
        <v>105042.71256916261</v>
      </c>
      <c r="M109" s="88">
        <f>M25*'REC Spend projected'!$B$83</f>
        <v>280854.92962043179</v>
      </c>
      <c r="N109" s="88">
        <f>N25*'REC Spend projected'!$B$83</f>
        <v>-35133.871047494693</v>
      </c>
      <c r="O109" s="88"/>
      <c r="P109" s="88">
        <f>P25*'REC Spend projected'!$B$83</f>
        <v>339509.94251387176</v>
      </c>
      <c r="Q109" s="88">
        <f t="shared" ref="Q109:Q110" si="32">SUM(C109:P109)</f>
        <v>852984.12699276512</v>
      </c>
      <c r="R109" s="88">
        <f>'REC Spend projected'!AC106</f>
        <v>-33589108.476748027</v>
      </c>
      <c r="S109" s="246">
        <f>'REC Spend projected'!AE106</f>
        <v>-34295727.544625051</v>
      </c>
      <c r="U109" s="204" t="s">
        <v>39</v>
      </c>
      <c r="V109" s="222">
        <f t="shared" si="28"/>
        <v>0</v>
      </c>
      <c r="W109" s="222">
        <f t="shared" si="29"/>
        <v>0</v>
      </c>
      <c r="X109" s="222">
        <f t="shared" si="30"/>
        <v>-14139.805784983344</v>
      </c>
      <c r="Y109" s="222">
        <f t="shared" si="31"/>
        <v>527613.99026387674</v>
      </c>
      <c r="Z109" s="222">
        <f t="shared" si="25"/>
        <v>339509.94251387176</v>
      </c>
      <c r="AA109" s="222">
        <f t="shared" si="26"/>
        <v>-33589108.476748027</v>
      </c>
    </row>
    <row r="110" spans="2:27" ht="15" thickBot="1" x14ac:dyDescent="0.4">
      <c r="B110" s="87" t="s">
        <v>40</v>
      </c>
      <c r="C110" s="88">
        <f>SUM('ABP Under Contract'!K114:P114)</f>
        <v>0</v>
      </c>
      <c r="D110" s="88">
        <f>'REC Spend projected'!H109+'REC Spend projected'!I109+'REC Spend projected'!J109+'REC Spend projected'!K109+'REC Spend projected'!L109</f>
        <v>0</v>
      </c>
      <c r="E110" s="88"/>
      <c r="F110" s="88">
        <f>F26*'REC Spend projected'!$B$83</f>
        <v>-57257.258298775683</v>
      </c>
      <c r="G110" s="88">
        <f>G26*'REC Spend projected'!$B$83</f>
        <v>-65128.332656477636</v>
      </c>
      <c r="H110" s="88">
        <f>H26*'REC Spend projected'!$B$83</f>
        <v>-77669.58205563025</v>
      </c>
      <c r="I110" s="88">
        <f>I26*'REC Spend projected'!$B$83</f>
        <v>-7289.6582009513713</v>
      </c>
      <c r="J110" s="88">
        <f>J26*'REC Spend projected'!$B$83</f>
        <v>24944.156763267023</v>
      </c>
      <c r="K110" s="88">
        <f>K26*'REC Spend projected'!$B$83</f>
        <v>93986.76497959609</v>
      </c>
      <c r="L110" s="88">
        <f>L26*'REC Spend projected'!$B$83</f>
        <v>79859.929315912639</v>
      </c>
      <c r="M110" s="88">
        <f>M26*'REC Spend projected'!$B$83</f>
        <v>67216.40145542247</v>
      </c>
      <c r="N110" s="88">
        <f>N26*'REC Spend projected'!$B$83</f>
        <v>419296.2980144177</v>
      </c>
      <c r="O110" s="88"/>
      <c r="P110" s="88">
        <f>P26*'REC Spend projected'!$B$83</f>
        <v>339792.66638838733</v>
      </c>
      <c r="Q110" s="88">
        <f t="shared" si="32"/>
        <v>817751.38570516836</v>
      </c>
      <c r="R110" s="88">
        <f>'REC Spend projected'!AC107</f>
        <v>-32887701.744164564</v>
      </c>
      <c r="S110" s="246">
        <f>'REC Spend projected'!AE107</f>
        <v>-33030320.021967683</v>
      </c>
      <c r="U110" s="204" t="s">
        <v>40</v>
      </c>
      <c r="V110" s="222">
        <f t="shared" si="28"/>
        <v>0</v>
      </c>
      <c r="W110" s="222">
        <f t="shared" si="29"/>
        <v>0</v>
      </c>
      <c r="X110" s="222">
        <f t="shared" si="30"/>
        <v>-57257.258298775683</v>
      </c>
      <c r="Y110" s="222">
        <f t="shared" si="31"/>
        <v>535215.97761555668</v>
      </c>
      <c r="Z110" s="222">
        <f t="shared" si="25"/>
        <v>339792.66638838733</v>
      </c>
      <c r="AA110" s="222">
        <f t="shared" si="26"/>
        <v>-32887701.744164564</v>
      </c>
    </row>
    <row r="120" spans="2:15" ht="44" thickBot="1" x14ac:dyDescent="0.4">
      <c r="B120" s="92" t="s">
        <v>267</v>
      </c>
    </row>
    <row r="121" spans="2:15" ht="15" thickBot="1" x14ac:dyDescent="0.4">
      <c r="B121" s="309" t="s">
        <v>268</v>
      </c>
      <c r="C121" s="310"/>
      <c r="D121" s="310"/>
      <c r="E121" s="311"/>
      <c r="F121" s="312" t="s">
        <v>266</v>
      </c>
      <c r="G121" s="310"/>
      <c r="H121" s="313" t="s">
        <v>269</v>
      </c>
      <c r="I121" s="314"/>
      <c r="J121" s="81"/>
      <c r="K121" s="241"/>
      <c r="L121" s="241"/>
      <c r="M121" s="241"/>
      <c r="N121" s="241"/>
    </row>
    <row r="122" spans="2:15" ht="32" thickBot="1" x14ac:dyDescent="0.4">
      <c r="B122" s="82" t="s">
        <v>1</v>
      </c>
      <c r="C122" s="83" t="s">
        <v>270</v>
      </c>
      <c r="D122" s="83" t="s">
        <v>271</v>
      </c>
      <c r="E122" s="84" t="s">
        <v>272</v>
      </c>
      <c r="F122" s="84" t="s">
        <v>273</v>
      </c>
      <c r="G122" s="84" t="s">
        <v>274</v>
      </c>
      <c r="H122" s="83" t="s">
        <v>275</v>
      </c>
      <c r="I122" s="83" t="s">
        <v>276</v>
      </c>
      <c r="J122" s="83" t="s">
        <v>277</v>
      </c>
      <c r="K122" s="83" t="s">
        <v>259</v>
      </c>
      <c r="L122" s="83" t="s">
        <v>260</v>
      </c>
      <c r="M122" s="233" t="s">
        <v>278</v>
      </c>
      <c r="N122" s="85" t="s">
        <v>251</v>
      </c>
    </row>
    <row r="123" spans="2:15" ht="15" thickBot="1" x14ac:dyDescent="0.4">
      <c r="B123" s="87" t="s">
        <v>17</v>
      </c>
      <c r="C123" s="89">
        <f>'REC Spend projected'!H4</f>
        <v>30848359.600711424</v>
      </c>
      <c r="D123" s="88">
        <f>'REC Spend projected'!B4+'REC Spend projected'!C4+'REC Spend projected'!D4</f>
        <v>216627600</v>
      </c>
      <c r="E123" s="88">
        <f>'REC Spend projected'!I4</f>
        <v>5397290.4699999997</v>
      </c>
      <c r="F123" s="88">
        <f>'REC Spend projected'!E4+'REC Spend projected'!F4+'REC Spend projected'!G4</f>
        <v>0</v>
      </c>
      <c r="G123" s="88">
        <f>'REC Spend projected'!J4+'REC Spend projected'!K4+'REC Spend projected'!L4</f>
        <v>0</v>
      </c>
      <c r="H123" s="88">
        <f>'REC Spend projected'!Q4+'REC Spend projected'!R4+'REC Spend projected'!S4+'REC Spend projected'!T4+'REC Spend projected'!U4+'REC Spend projected'!V4</f>
        <v>0</v>
      </c>
      <c r="I123" s="88">
        <f>'REC Spend projected'!W4+'REC Spend projected'!X4+'REC Spend projected'!Y4</f>
        <v>0</v>
      </c>
      <c r="J123" s="88">
        <f>'REC Spend projected'!M4+'REC Spend projected'!N4+'REC Spend projected'!O4</f>
        <v>18018880.058405567</v>
      </c>
      <c r="K123" s="88">
        <f t="shared" ref="K123:K145" si="33">SUM(C123:J123)</f>
        <v>270892130.12911701</v>
      </c>
      <c r="L123" s="88">
        <f>'REC Spend projected'!AC4</f>
        <v>519026555.7110191</v>
      </c>
      <c r="M123" s="88">
        <f>'REC Spend projected'!AD4</f>
        <v>270892130.12911701</v>
      </c>
      <c r="N123" s="88">
        <f>'REC Spend projected'!AE4</f>
        <v>248134425.58190209</v>
      </c>
      <c r="O123" s="91"/>
    </row>
    <row r="124" spans="2:15" ht="15" thickBot="1" x14ac:dyDescent="0.4">
      <c r="B124" s="87" t="s">
        <v>18</v>
      </c>
      <c r="C124" s="89">
        <f>'REC Spend projected'!H5</f>
        <v>24142255.383493654</v>
      </c>
      <c r="D124" s="88">
        <f>'REC Spend projected'!B5+'REC Spend projected'!C5+'REC Spend projected'!D5</f>
        <v>206948195</v>
      </c>
      <c r="E124" s="88">
        <f>'REC Spend projected'!I5</f>
        <v>19260591.157020841</v>
      </c>
      <c r="F124" s="88">
        <f>'REC Spend projected'!E5+'REC Spend projected'!F5+'REC Spend projected'!G5</f>
        <v>0</v>
      </c>
      <c r="G124" s="88">
        <f>'REC Spend projected'!J5+'REC Spend projected'!K5+'REC Spend projected'!L5</f>
        <v>0</v>
      </c>
      <c r="H124" s="88">
        <f>'REC Spend projected'!Q5+'REC Spend projected'!R5+'REC Spend projected'!S5+'REC Spend projected'!T5+'REC Spend projected'!U5+'REC Spend projected'!V5</f>
        <v>0</v>
      </c>
      <c r="I124" s="88">
        <f>'REC Spend projected'!W5+'REC Spend projected'!X5+'REC Spend projected'!Y5</f>
        <v>0</v>
      </c>
      <c r="J124" s="88">
        <f>'REC Spend projected'!M5+'REC Spend projected'!N5+'REC Spend projected'!O5</f>
        <v>73942135.092404008</v>
      </c>
      <c r="K124" s="88">
        <f t="shared" si="33"/>
        <v>324293176.63291848</v>
      </c>
      <c r="L124" s="88">
        <f>'REC Spend projected'!AC5</f>
        <v>712872261.9953692</v>
      </c>
      <c r="M124" s="88">
        <f>'REC Spend projected'!AD5</f>
        <v>324293176.63291848</v>
      </c>
      <c r="N124" s="88">
        <f>'REC Spend projected'!AE5</f>
        <v>388579085.36245072</v>
      </c>
      <c r="O124" s="91"/>
    </row>
    <row r="125" spans="2:15" ht="15" thickBot="1" x14ac:dyDescent="0.4">
      <c r="B125" s="87" t="s">
        <v>19</v>
      </c>
      <c r="C125" s="89">
        <f>'REC Spend projected'!H6</f>
        <v>22062344.595163539</v>
      </c>
      <c r="D125" s="88">
        <f>'REC Spend projected'!B6+'REC Spend projected'!C6+'REC Spend projected'!D6</f>
        <v>254564402</v>
      </c>
      <c r="E125" s="88">
        <f>'REC Spend projected'!I6</f>
        <v>22975411.212579787</v>
      </c>
      <c r="F125" s="88">
        <f>'REC Spend projected'!E6+'REC Spend projected'!F6+'REC Spend projected'!G6</f>
        <v>0</v>
      </c>
      <c r="G125" s="88">
        <f>'REC Spend projected'!J6+'REC Spend projected'!K6+'REC Spend projected'!L6</f>
        <v>0</v>
      </c>
      <c r="H125" s="88">
        <f>'REC Spend projected'!Q6+'REC Spend projected'!R6+'REC Spend projected'!S6+'REC Spend projected'!T6+'REC Spend projected'!U6+'REC Spend projected'!V6</f>
        <v>0</v>
      </c>
      <c r="I125" s="88">
        <f>'REC Spend projected'!W6+'REC Spend projected'!X6+'REC Spend projected'!Y6</f>
        <v>0</v>
      </c>
      <c r="J125" s="88">
        <f>'REC Spend projected'!M6+'REC Spend projected'!N6+'REC Spend projected'!O6</f>
        <v>67623889.800951704</v>
      </c>
      <c r="K125" s="88">
        <f t="shared" si="33"/>
        <v>367226047.60869503</v>
      </c>
      <c r="L125" s="88">
        <f>'REC Spend projected'!AC6</f>
        <v>976042078.72750771</v>
      </c>
      <c r="M125" s="88">
        <f>'REC Spend projected'!AD6</f>
        <v>367226047.60869503</v>
      </c>
      <c r="N125" s="88">
        <f>'REC Spend projected'!AE6</f>
        <v>608816031.11881268</v>
      </c>
      <c r="O125" s="91"/>
    </row>
    <row r="126" spans="2:15" ht="15" thickBot="1" x14ac:dyDescent="0.4">
      <c r="B126" s="87" t="s">
        <v>20</v>
      </c>
      <c r="C126" s="89">
        <f>'REC Spend projected'!H7</f>
        <v>17721007.415898785</v>
      </c>
      <c r="D126" s="88">
        <f>'REC Spend projected'!B7+'REC Spend projected'!C7+'REC Spend projected'!D7</f>
        <v>463586346</v>
      </c>
      <c r="E126" s="88">
        <f>'REC Spend projected'!I7</f>
        <v>22594914.147020839</v>
      </c>
      <c r="F126" s="88">
        <f>'REC Spend projected'!E7+'REC Spend projected'!F7+'REC Spend projected'!G7</f>
        <v>0</v>
      </c>
      <c r="G126" s="88">
        <f>'REC Spend projected'!J7+'REC Spend projected'!K7+'REC Spend projected'!L7</f>
        <v>0</v>
      </c>
      <c r="H126" s="88">
        <f>'REC Spend projected'!Q7+'REC Spend projected'!R7+'REC Spend projected'!S7+'REC Spend projected'!T7+'REC Spend projected'!U7+'REC Spend projected'!V7</f>
        <v>0</v>
      </c>
      <c r="I126" s="88">
        <f>'REC Spend projected'!W7+'REC Spend projected'!X7+'REC Spend projected'!Y7</f>
        <v>0</v>
      </c>
      <c r="J126" s="88">
        <f>'REC Spend projected'!M7+'REC Spend projected'!N7+'REC Spend projected'!O7</f>
        <v>67306655.768471599</v>
      </c>
      <c r="K126" s="88">
        <f t="shared" si="33"/>
        <v>571208923.33139122</v>
      </c>
      <c r="L126" s="88">
        <f>'REC Spend projected'!AC7</f>
        <v>1185704556.7345324</v>
      </c>
      <c r="M126" s="88">
        <f>'REC Spend projected'!AD7</f>
        <v>571208923.33139122</v>
      </c>
      <c r="N126" s="88">
        <f>'REC Spend projected'!AE7</f>
        <v>614495633.40314114</v>
      </c>
      <c r="O126" s="91"/>
    </row>
    <row r="127" spans="2:15" ht="15" thickBot="1" x14ac:dyDescent="0.4">
      <c r="B127" s="87" t="s">
        <v>22</v>
      </c>
      <c r="C127" s="89">
        <f>'REC Spend projected'!H8</f>
        <v>17421541.685608782</v>
      </c>
      <c r="D127" s="88">
        <f>'REC Spend projected'!B8+'REC Spend projected'!C8+'REC Spend projected'!D8</f>
        <v>234837870</v>
      </c>
      <c r="E127" s="88">
        <f>'REC Spend projected'!I8</f>
        <v>22594914.147020839</v>
      </c>
      <c r="F127" s="88">
        <f>'REC Spend projected'!E8+'REC Spend projected'!F8+'REC Spend projected'!G8</f>
        <v>7190451</v>
      </c>
      <c r="G127" s="88">
        <f>'REC Spend projected'!J8+'REC Spend projected'!K8+'REC Spend projected'!L8</f>
        <v>4415040.2973999996</v>
      </c>
      <c r="H127" s="88">
        <f>'REC Spend projected'!Q8+'REC Spend projected'!R8+'REC Spend projected'!S8+'REC Spend projected'!T8+'REC Spend projected'!U8+'REC Spend projected'!V8</f>
        <v>251429037.58564866</v>
      </c>
      <c r="I127" s="88">
        <f>'REC Spend projected'!W8+'REC Spend projected'!X8+'REC Spend projected'!Y8</f>
        <v>0</v>
      </c>
      <c r="J127" s="88">
        <f>'REC Spend projected'!M8+'REC Spend projected'!N8+'REC Spend projected'!O8</f>
        <v>77208829.557390258</v>
      </c>
      <c r="K127" s="88">
        <f t="shared" si="33"/>
        <v>615097684.27306843</v>
      </c>
      <c r="L127" s="88">
        <f>'REC Spend projected'!AC8</f>
        <v>1188123285.3161497</v>
      </c>
      <c r="M127" s="88">
        <f>'REC Spend projected'!AD8</f>
        <v>615097684.27306855</v>
      </c>
      <c r="N127" s="88">
        <f>'REC Spend projected'!AE8</f>
        <v>573025601.04308116</v>
      </c>
      <c r="O127" s="91"/>
    </row>
    <row r="128" spans="2:15" ht="15" thickBot="1" x14ac:dyDescent="0.4">
      <c r="B128" s="87" t="s">
        <v>23</v>
      </c>
      <c r="C128" s="89">
        <f>'REC Spend projected'!H9</f>
        <v>11401431.694168944</v>
      </c>
      <c r="D128" s="88">
        <f>'REC Spend projected'!B9+'REC Spend projected'!C9+'REC Spend projected'!D9</f>
        <v>146209785</v>
      </c>
      <c r="E128" s="88">
        <f>'REC Spend projected'!I9</f>
        <v>22594914.147020839</v>
      </c>
      <c r="F128" s="88">
        <f>'REC Spend projected'!E9+'REC Spend projected'!F9+'REC Spend projected'!G9</f>
        <v>8876599</v>
      </c>
      <c r="G128" s="88">
        <f>'REC Spend projected'!J9+'REC Spend projected'!K9+'REC Spend projected'!L9</f>
        <v>24502824.589624397</v>
      </c>
      <c r="H128" s="88">
        <f>'REC Spend projected'!Q9+'REC Spend projected'!R9+'REC Spend projected'!S9+'REC Spend projected'!T9+'REC Spend projected'!U9+'REC Spend projected'!V9</f>
        <v>302326839.47536254</v>
      </c>
      <c r="I128" s="88">
        <f>'REC Spend projected'!W9+'REC Spend projected'!X9+'REC Spend projected'!Y9</f>
        <v>2887592.2652403</v>
      </c>
      <c r="J128" s="88">
        <f>'REC Spend projected'!M9+'REC Spend projected'!N9+'REC Spend projected'!O9</f>
        <v>66997493.390597343</v>
      </c>
      <c r="K128" s="88">
        <f t="shared" si="33"/>
        <v>585797479.56201434</v>
      </c>
      <c r="L128" s="88">
        <f>'REC Spend projected'!AC9</f>
        <v>1139608714.0629926</v>
      </c>
      <c r="M128" s="88">
        <f>'REC Spend projected'!AD9</f>
        <v>585797479.56201434</v>
      </c>
      <c r="N128" s="88">
        <f>'REC Spend projected'!AE9</f>
        <v>553811234.50097823</v>
      </c>
      <c r="O128" s="91"/>
    </row>
    <row r="129" spans="2:15" ht="15" thickBot="1" x14ac:dyDescent="0.4">
      <c r="B129" s="87" t="s">
        <v>24</v>
      </c>
      <c r="C129" s="89">
        <f>'REC Spend projected'!H10</f>
        <v>8215431.7104763286</v>
      </c>
      <c r="D129" s="88">
        <f>'REC Spend projected'!B10+'REC Spend projected'!C10+'REC Spend projected'!D10</f>
        <v>110078854</v>
      </c>
      <c r="E129" s="88">
        <f>'REC Spend projected'!I10</f>
        <v>22594914.147020839</v>
      </c>
      <c r="F129" s="88">
        <f>'REC Spend projected'!E10+'REC Spend projected'!F10+'REC Spend projected'!G10</f>
        <v>8840768</v>
      </c>
      <c r="G129" s="88">
        <f>'REC Spend projected'!J10+'REC Spend projected'!K10+'REC Spend projected'!L10</f>
        <v>102143778.68213762</v>
      </c>
      <c r="H129" s="88">
        <f>'REC Spend projected'!Q10+'REC Spend projected'!R10+'REC Spend projected'!S10+'REC Spend projected'!T10+'REC Spend projected'!U10+'REC Spend projected'!V10</f>
        <v>350772706.6801374</v>
      </c>
      <c r="I129" s="88">
        <f>'REC Spend projected'!W10+'REC Spend projected'!X10+'REC Spend projected'!Y10</f>
        <v>2856480.1701112976</v>
      </c>
      <c r="J129" s="88">
        <f>'REC Spend projected'!M10+'REC Spend projected'!N10+'REC Spend projected'!O10</f>
        <v>66888811.399599314</v>
      </c>
      <c r="K129" s="88">
        <f t="shared" si="33"/>
        <v>672391744.78948271</v>
      </c>
      <c r="L129" s="88">
        <f>'REC Spend projected'!AC10</f>
        <v>1116771614.4876223</v>
      </c>
      <c r="M129" s="88">
        <f>'REC Spend projected'!AD10</f>
        <v>672391744.78948283</v>
      </c>
      <c r="N129" s="88">
        <f>'REC Spend projected'!AE10</f>
        <v>444379869.69813943</v>
      </c>
      <c r="O129" s="91"/>
    </row>
    <row r="130" spans="2:15" ht="15" thickBot="1" x14ac:dyDescent="0.4">
      <c r="B130" s="87" t="s">
        <v>25</v>
      </c>
      <c r="C130" s="89">
        <f>'REC Spend projected'!H11</f>
        <v>4480482.7749063233</v>
      </c>
      <c r="D130" s="88">
        <f>'REC Spend projected'!B11+'REC Spend projected'!C11+'REC Spend projected'!D11</f>
        <v>100609536</v>
      </c>
      <c r="E130" s="88">
        <f>'REC Spend projected'!I11</f>
        <v>22594914.147020839</v>
      </c>
      <c r="F130" s="88">
        <f>'REC Spend projected'!E11+'REC Spend projected'!F11+'REC Spend projected'!G11</f>
        <v>8805218</v>
      </c>
      <c r="G130" s="88">
        <f>'REC Spend projected'!J11+'REC Spend projected'!K11+'REC Spend projected'!L11</f>
        <v>106723260.66210698</v>
      </c>
      <c r="H130" s="88">
        <f>'REC Spend projected'!Q11+'REC Spend projected'!R11+'REC Spend projected'!S11+'REC Spend projected'!T11+'REC Spend projected'!U11+'REC Spend projected'!V11</f>
        <v>397168659.84943306</v>
      </c>
      <c r="I130" s="88">
        <f>'REC Spend projected'!W11+'REC Spend projected'!X11+'REC Spend projected'!Y11</f>
        <v>99433772.4957003</v>
      </c>
      <c r="J130" s="88">
        <f>'REC Spend projected'!M11+'REC Spend projected'!N11+'REC Spend projected'!O11</f>
        <v>76862404.659270331</v>
      </c>
      <c r="K130" s="88">
        <f t="shared" si="33"/>
        <v>816678248.5884378</v>
      </c>
      <c r="L130" s="88">
        <f>'REC Spend projected'!AC11</f>
        <v>1006460025.0071504</v>
      </c>
      <c r="M130" s="88">
        <f>'REC Spend projected'!AD11</f>
        <v>816678248.5884378</v>
      </c>
      <c r="N130" s="88">
        <f>'REC Spend projected'!AE11</f>
        <v>189781776.41871262</v>
      </c>
      <c r="O130" s="91"/>
    </row>
    <row r="131" spans="2:15" ht="15" thickBot="1" x14ac:dyDescent="0.4">
      <c r="B131" s="90" t="s">
        <v>26</v>
      </c>
      <c r="C131" s="89">
        <f>'REC Spend projected'!H12</f>
        <v>4478132.259204451</v>
      </c>
      <c r="D131" s="88">
        <f>'REC Spend projected'!B12+'REC Spend projected'!C12+'REC Spend projected'!D12</f>
        <v>99236396</v>
      </c>
      <c r="E131" s="88">
        <f>'REC Spend projected'!I12</f>
        <v>22594914.147020839</v>
      </c>
      <c r="F131" s="88">
        <f>'REC Spend projected'!E12+'REC Spend projected'!F12+'REC Spend projected'!G12</f>
        <v>8769671</v>
      </c>
      <c r="G131" s="88">
        <f>'REC Spend projected'!J12+'REC Spend projected'!K12+'REC Spend projected'!L12</f>
        <v>89517542.614302814</v>
      </c>
      <c r="H131" s="88">
        <f>'REC Spend projected'!Q12+'REC Spend projected'!R12+'REC Spend projected'!S12+'REC Spend projected'!T12+'REC Spend projected'!U12+'REC Spend projected'!V12</f>
        <v>441597255.94140518</v>
      </c>
      <c r="I131" s="88">
        <f>'REC Spend projected'!W12+'REC Spend projected'!X12+'REC Spend projected'!Y12</f>
        <v>155637387.38454545</v>
      </c>
      <c r="J131" s="88">
        <f>'REC Spend projected'!M12+'REC Spend projected'!N12+'REC Spend projected'!O12</f>
        <v>66906426.967615873</v>
      </c>
      <c r="K131" s="88">
        <f t="shared" si="33"/>
        <v>888737726.31409454</v>
      </c>
      <c r="L131" s="88">
        <f>'REC Spend projected'!AC12</f>
        <v>753329342.00590837</v>
      </c>
      <c r="M131" s="88">
        <f>'REC Spend projected'!AD12</f>
        <v>888737726.31409454</v>
      </c>
      <c r="N131" s="88">
        <f>'REC Spend projected'!AE12</f>
        <v>-135408384.30818617</v>
      </c>
      <c r="O131" s="91"/>
    </row>
    <row r="132" spans="2:15" ht="15" thickBot="1" x14ac:dyDescent="0.4">
      <c r="B132" s="87" t="s">
        <v>27</v>
      </c>
      <c r="C132" s="89">
        <f>'REC Spend projected'!H13</f>
        <v>4338008.6485485407</v>
      </c>
      <c r="D132" s="88">
        <f>'REC Spend projected'!B13+'REC Spend projected'!C13+'REC Spend projected'!D13</f>
        <v>91004548</v>
      </c>
      <c r="E132" s="88">
        <f>'REC Spend projected'!I13</f>
        <v>22594914.147020839</v>
      </c>
      <c r="F132" s="88">
        <f>'REC Spend projected'!E13+'REC Spend projected'!F13+'REC Spend projected'!G13</f>
        <v>8734702</v>
      </c>
      <c r="G132" s="88">
        <f>'REC Spend projected'!J13+'REC Spend projected'!K13+'REC Spend projected'!L13</f>
        <v>69424295.32419394</v>
      </c>
      <c r="H132" s="88">
        <f>'REC Spend projected'!Q13+'REC Spend projected'!R13+'REC Spend projected'!S13+'REC Spend projected'!T13+'REC Spend projected'!U13+'REC Spend projected'!V13</f>
        <v>484137746.83389932</v>
      </c>
      <c r="I132" s="88">
        <f>'REC Spend projected'!W13+'REC Spend projected'!X13+'REC Spend projected'!Y13</f>
        <v>175263089.89583963</v>
      </c>
      <c r="J132" s="88">
        <f>'REC Spend projected'!M13+'REC Spend projected'!N13+'REC Spend projected'!O13</f>
        <v>66920397.125927687</v>
      </c>
      <c r="K132" s="88">
        <f t="shared" si="33"/>
        <v>922417701.97543001</v>
      </c>
      <c r="L132" s="88">
        <f>'REC Spend projected'!AC13</f>
        <v>428604853.22273684</v>
      </c>
      <c r="M132" s="88">
        <f>'REC Spend projected'!AD13</f>
        <v>922417701.97543001</v>
      </c>
      <c r="N132" s="88">
        <f>'REC Spend projected'!AE13</f>
        <v>-493812848.75269318</v>
      </c>
      <c r="O132" s="91"/>
    </row>
    <row r="133" spans="2:15" ht="15" thickBot="1" x14ac:dyDescent="0.4">
      <c r="B133" s="87" t="s">
        <v>28</v>
      </c>
      <c r="C133" s="89">
        <f>'REC Spend projected'!H14</f>
        <v>4303453.6786395097</v>
      </c>
      <c r="D133" s="88">
        <f>'REC Spend projected'!B14+'REC Spend projected'!C14+'REC Spend projected'!D14</f>
        <v>69270640</v>
      </c>
      <c r="E133" s="88">
        <f>'REC Spend projected'!I14</f>
        <v>22594914.147020839</v>
      </c>
      <c r="F133" s="88">
        <f>'REC Spend projected'!E14+'REC Spend projected'!F14+'REC Spend projected'!G14</f>
        <v>7870657</v>
      </c>
      <c r="G133" s="88">
        <f>'REC Spend projected'!J14+'REC Spend projected'!K14+'REC Spend projected'!L14</f>
        <v>66266405.320062608</v>
      </c>
      <c r="H133" s="88">
        <f>'REC Spend projected'!Q14+'REC Spend projected'!R14+'REC Spend projected'!S14+'REC Spend projected'!T14+'REC Spend projected'!U14+'REC Spend projected'!V14</f>
        <v>497088617.9160496</v>
      </c>
      <c r="I133" s="88">
        <f>'REC Spend projected'!W14+'REC Spend projected'!X14+'REC Spend projected'!Y14</f>
        <v>170177593.98975039</v>
      </c>
      <c r="J133" s="88">
        <f>'REC Spend projected'!M14+'REC Spend projected'!N14+'REC Spend projected'!O14</f>
        <v>77023386.929470733</v>
      </c>
      <c r="K133" s="88">
        <f t="shared" si="33"/>
        <v>914595668.98099375</v>
      </c>
      <c r="L133" s="88">
        <f>'REC Spend projected'!AC14</f>
        <v>73633382.229664445</v>
      </c>
      <c r="M133" s="88">
        <f>'REC Spend projected'!AD14</f>
        <v>914595668.98099351</v>
      </c>
      <c r="N133" s="88">
        <f>'REC Spend projected'!AE14</f>
        <v>-840962286.75132906</v>
      </c>
      <c r="O133" s="91"/>
    </row>
    <row r="134" spans="2:15" ht="15" thickBot="1" x14ac:dyDescent="0.4">
      <c r="B134" s="87" t="s">
        <v>29</v>
      </c>
      <c r="C134" s="89">
        <f>'REC Spend projected'!H15</f>
        <v>4261079.6921323007</v>
      </c>
      <c r="D134" s="88">
        <f>'REC Spend projected'!B15+'REC Spend projected'!C15+'REC Spend projected'!D15</f>
        <v>67114176</v>
      </c>
      <c r="E134" s="88">
        <f>'REC Spend projected'!I15</f>
        <v>22594914.147020839</v>
      </c>
      <c r="F134" s="88">
        <f>'REC Spend projected'!E15+'REC Spend projected'!F15+'REC Spend projected'!G15</f>
        <v>1101261</v>
      </c>
      <c r="G134" s="88">
        <f>'REC Spend projected'!J15+'REC Spend projected'!K15+'REC Spend projected'!L15</f>
        <v>59875579.196874134</v>
      </c>
      <c r="H134" s="88">
        <f>'REC Spend projected'!Q15+'REC Spend projected'!R15+'REC Spend projected'!S15+'REC Spend projected'!T15+'REC Spend projected'!U15+'REC Spend projected'!V15</f>
        <v>504223582.77557081</v>
      </c>
      <c r="I134" s="88">
        <f>'REC Spend projected'!W15+'REC Spend projected'!X15+'REC Spend projected'!Y15</f>
        <v>190673410.20854855</v>
      </c>
      <c r="J134" s="88">
        <f>'REC Spend projected'!M15+'REC Spend projected'!N15+'REC Spend projected'!O15</f>
        <v>67120451.256649822</v>
      </c>
      <c r="K134" s="88">
        <f t="shared" si="33"/>
        <v>916964454.27679646</v>
      </c>
      <c r="L134" s="88">
        <f>'REC Spend projected'!AC15</f>
        <v>-270280578.19633496</v>
      </c>
      <c r="M134" s="88">
        <f>'REC Spend projected'!AD15</f>
        <v>916964454.27679658</v>
      </c>
      <c r="N134" s="88">
        <f>'REC Spend projected'!AE15</f>
        <v>-1187245032.4731317</v>
      </c>
      <c r="O134" s="91"/>
    </row>
    <row r="135" spans="2:15" ht="15" thickBot="1" x14ac:dyDescent="0.4">
      <c r="B135" s="87" t="s">
        <v>30</v>
      </c>
      <c r="C135" s="89">
        <f>'REC Spend projected'!H16</f>
        <v>0</v>
      </c>
      <c r="D135" s="88">
        <f>'REC Spend projected'!B16+'REC Spend projected'!C16+'REC Spend projected'!D16</f>
        <v>67021346</v>
      </c>
      <c r="E135" s="88">
        <f>'REC Spend projected'!I16</f>
        <v>22594914.147020839</v>
      </c>
      <c r="F135" s="88">
        <f>'REC Spend projected'!E16+'REC Spend projected'!F16+'REC Spend projected'!G16</f>
        <v>1100216</v>
      </c>
      <c r="G135" s="88">
        <f>'REC Spend projected'!J16+'REC Spend projected'!K16+'REC Spend projected'!L16</f>
        <v>49382004.171312243</v>
      </c>
      <c r="H135" s="88">
        <f>'REC Spend projected'!Q16+'REC Spend projected'!R16+'REC Spend projected'!S16+'REC Spend projected'!T16+'REC Spend projected'!U16+'REC Spend projected'!V16</f>
        <v>505806382.9595685</v>
      </c>
      <c r="I135" s="88">
        <f>'REC Spend projected'!W16+'REC Spend projected'!X16+'REC Spend projected'!Y16</f>
        <v>197175016.71468738</v>
      </c>
      <c r="J135" s="88">
        <f>'REC Spend projected'!M16+'REC Spend projected'!N16+'REC Spend projected'!O16</f>
        <v>67234402.603198841</v>
      </c>
      <c r="K135" s="88">
        <f t="shared" si="33"/>
        <v>910314282.59578788</v>
      </c>
      <c r="L135" s="88">
        <f>'REC Spend projected'!AC16</f>
        <v>-612764945.69983685</v>
      </c>
      <c r="M135" s="88">
        <f>'REC Spend projected'!AD16</f>
        <v>910314282.59578776</v>
      </c>
      <c r="N135" s="88">
        <f>'REC Spend projected'!AE16</f>
        <v>-1523079228.2956247</v>
      </c>
      <c r="O135" s="91"/>
    </row>
    <row r="136" spans="2:15" ht="15" thickBot="1" x14ac:dyDescent="0.4">
      <c r="B136" s="87" t="s">
        <v>31</v>
      </c>
      <c r="C136" s="89">
        <f>'REC Spend projected'!H17</f>
        <v>0</v>
      </c>
      <c r="D136" s="88">
        <f>'REC Spend projected'!B17+'REC Spend projected'!C17+'REC Spend projected'!D17</f>
        <v>66928876</v>
      </c>
      <c r="E136" s="88">
        <f>'REC Spend projected'!I17</f>
        <v>20941094.263402294</v>
      </c>
      <c r="F136" s="88">
        <f>'REC Spend projected'!E17+'REC Spend projected'!F17+'REC Spend projected'!G17</f>
        <v>1099163</v>
      </c>
      <c r="G136" s="88">
        <f>'REC Spend projected'!J17+'REC Spend projected'!K17+'REC Spend projected'!L17</f>
        <v>39999875.837719835</v>
      </c>
      <c r="H136" s="88">
        <f>'REC Spend projected'!Q17+'REC Spend projected'!R17+'REC Spend projected'!S17+'REC Spend projected'!T17+'REC Spend projected'!U17+'REC Spend projected'!V17</f>
        <v>438792916.90942252</v>
      </c>
      <c r="I136" s="88">
        <f>'REC Spend projected'!W17+'REC Spend projected'!X17+'REC Spend projected'!Y17</f>
        <v>170629232.93903923</v>
      </c>
      <c r="J136" s="88">
        <f>'REC Spend projected'!M17+'REC Spend projected'!N17+'REC Spend projected'!O17</f>
        <v>67289396.046359867</v>
      </c>
      <c r="K136" s="88">
        <f t="shared" si="33"/>
        <v>805680554.99594378</v>
      </c>
      <c r="L136" s="88">
        <f>'REC Spend projected'!AC17</f>
        <v>-946766026.75029588</v>
      </c>
      <c r="M136" s="88">
        <f>'REC Spend projected'!AD17</f>
        <v>805680554.99594378</v>
      </c>
      <c r="N136" s="88">
        <f>'REC Spend projected'!AE17</f>
        <v>-1752446581.7462397</v>
      </c>
      <c r="O136" s="91"/>
    </row>
    <row r="137" spans="2:15" ht="15" thickBot="1" x14ac:dyDescent="0.4">
      <c r="B137" s="87" t="s">
        <v>32</v>
      </c>
      <c r="C137" s="89">
        <f>'REC Spend projected'!H18</f>
        <v>0</v>
      </c>
      <c r="D137" s="88">
        <f>'REC Spend projected'!B18+'REC Spend projected'!C18+'REC Spend projected'!D18</f>
        <v>66837125</v>
      </c>
      <c r="E137" s="88">
        <f>'REC Spend projected'!I18</f>
        <v>20941094.263402294</v>
      </c>
      <c r="F137" s="88">
        <f>'REC Spend projected'!E18+'REC Spend projected'!F18+'REC Spend projected'!G18</f>
        <v>1098183</v>
      </c>
      <c r="G137" s="88">
        <f>'REC Spend projected'!J18+'REC Spend projected'!K18+'REC Spend projected'!L18</f>
        <v>27428800.013520405</v>
      </c>
      <c r="H137" s="88">
        <f>'REC Spend projected'!Q18+'REC Spend projected'!R18+'REC Spend projected'!S18+'REC Spend projected'!T18+'REC Spend projected'!U18+'REC Spend projected'!V18</f>
        <v>422369678.61280036</v>
      </c>
      <c r="I137" s="88">
        <f>'REC Spend projected'!W18+'REC Spend projected'!X18+'REC Spend projected'!Y18</f>
        <v>148922290.8712903</v>
      </c>
      <c r="J137" s="88">
        <f>'REC Spend projected'!M18+'REC Spend projected'!N18+'REC Spend projected'!O18</f>
        <v>67378693.799014568</v>
      </c>
      <c r="K137" s="88">
        <f t="shared" si="33"/>
        <v>754975865.56002796</v>
      </c>
      <c r="L137" s="88">
        <f>'REC Spend projected'!AC18</f>
        <v>-1173156788.4457543</v>
      </c>
      <c r="M137" s="88">
        <f>'REC Spend projected'!AD18</f>
        <v>754975865.56002796</v>
      </c>
      <c r="N137" s="88">
        <f>'REC Spend projected'!AE18</f>
        <v>-1928132654.0057821</v>
      </c>
      <c r="O137" s="91"/>
    </row>
    <row r="138" spans="2:15" ht="15" thickBot="1" x14ac:dyDescent="0.4">
      <c r="B138" s="87" t="s">
        <v>33</v>
      </c>
      <c r="C138" s="89">
        <f>'REC Spend projected'!H19</f>
        <v>0</v>
      </c>
      <c r="D138" s="88">
        <f>'REC Spend projected'!B19+'REC Spend projected'!C19+'REC Spend projected'!D19</f>
        <v>66745792</v>
      </c>
      <c r="E138" s="88">
        <f>'REC Spend projected'!I19</f>
        <v>17493544.263402294</v>
      </c>
      <c r="F138" s="88">
        <f>'REC Spend projected'!E19+'REC Spend projected'!F19+'REC Spend projected'!G19</f>
        <v>1097137</v>
      </c>
      <c r="G138" s="88">
        <f>'REC Spend projected'!J19+'REC Spend projected'!K19+'REC Spend projected'!L19</f>
        <v>15012534.563915376</v>
      </c>
      <c r="H138" s="88">
        <f>'REC Spend projected'!Q19+'REC Spend projected'!R19+'REC Spend projected'!S19+'REC Spend projected'!T19+'REC Spend projected'!U19+'REC Spend projected'!V19</f>
        <v>406638172.58802867</v>
      </c>
      <c r="I138" s="88">
        <f>'REC Spend projected'!W19+'REC Spend projected'!X19+'REC Spend projected'!Y19</f>
        <v>109763099.73907548</v>
      </c>
      <c r="J138" s="88">
        <f>'REC Spend projected'!M19+'REC Spend projected'!N19+'REC Spend projected'!O19</f>
        <v>67444210.839039311</v>
      </c>
      <c r="K138" s="88">
        <f t="shared" si="33"/>
        <v>684194490.99346113</v>
      </c>
      <c r="L138" s="88">
        <f>'REC Spend projected'!AC19</f>
        <v>-1346658959.3711386</v>
      </c>
      <c r="M138" s="88">
        <f>'REC Spend projected'!AD19</f>
        <v>684194490.99346113</v>
      </c>
      <c r="N138" s="88">
        <f>'REC Spend projected'!AE19</f>
        <v>-2030853450.3645997</v>
      </c>
      <c r="O138" s="91"/>
    </row>
    <row r="139" spans="2:15" ht="15" thickBot="1" x14ac:dyDescent="0.4">
      <c r="B139" s="87" t="s">
        <v>34</v>
      </c>
      <c r="C139" s="89">
        <f>'REC Spend projected'!H20</f>
        <v>0</v>
      </c>
      <c r="D139" s="88">
        <f>'REC Spend projected'!B20+'REC Spend projected'!C20+'REC Spend projected'!D20</f>
        <v>66654580</v>
      </c>
      <c r="E139" s="88">
        <f>'REC Spend projected'!I20</f>
        <v>5880413.46</v>
      </c>
      <c r="F139" s="88">
        <f>'REC Spend projected'!E20+'REC Spend projected'!F20+'REC Spend projected'!G20</f>
        <v>1096157</v>
      </c>
      <c r="G139" s="88">
        <f>'REC Spend projected'!J20+'REC Spend projected'!K20+'REC Spend projected'!L20</f>
        <v>2926444.0823166352</v>
      </c>
      <c r="H139" s="88">
        <f>'REC Spend projected'!Q20+'REC Spend projected'!R20+'REC Spend projected'!S20+'REC Spend projected'!T20+'REC Spend projected'!U20+'REC Spend projected'!V20</f>
        <v>391466030.28414333</v>
      </c>
      <c r="I139" s="88">
        <f>'REC Spend projected'!W20+'REC Spend projected'!X20+'REC Spend projected'!Y20</f>
        <v>66880096.027016908</v>
      </c>
      <c r="J139" s="88">
        <f>'REC Spend projected'!M20+'REC Spend projected'!N20+'REC Spend projected'!O20</f>
        <v>67522169.66182524</v>
      </c>
      <c r="K139" s="88">
        <f t="shared" si="33"/>
        <v>602425890.51530218</v>
      </c>
      <c r="L139" s="88">
        <f>'REC Spend projected'!AC20</f>
        <v>-1446781128.3037586</v>
      </c>
      <c r="M139" s="88">
        <f>'REC Spend projected'!AD20</f>
        <v>602425890.51530218</v>
      </c>
      <c r="N139" s="88">
        <f>'REC Spend projected'!AE20</f>
        <v>-2049207018.8190608</v>
      </c>
      <c r="O139" s="91"/>
    </row>
    <row r="140" spans="2:15" ht="15" thickBot="1" x14ac:dyDescent="0.4">
      <c r="B140" s="87" t="s">
        <v>35</v>
      </c>
      <c r="C140" s="89">
        <f>'REC Spend projected'!H21</f>
        <v>0</v>
      </c>
      <c r="D140" s="88">
        <f>'REC Spend projected'!B21+'REC Spend projected'!C21+'REC Spend projected'!D21</f>
        <v>66564505</v>
      </c>
      <c r="E140" s="88">
        <f>'REC Spend projected'!I21</f>
        <v>0</v>
      </c>
      <c r="F140" s="88">
        <f>'REC Spend projected'!E21+'REC Spend projected'!F21+'REC Spend projected'!G21</f>
        <v>1095177</v>
      </c>
      <c r="G140" s="88">
        <f>'REC Spend projected'!J21+'REC Spend projected'!K21+'REC Spend projected'!L21</f>
        <v>-9118827.2304330841</v>
      </c>
      <c r="H140" s="88">
        <f>'REC Spend projected'!Q21+'REC Spend projected'!R21+'REC Spend projected'!S21+'REC Spend projected'!T21+'REC Spend projected'!U21+'REC Spend projected'!V21</f>
        <v>376831226.63490963</v>
      </c>
      <c r="I140" s="88">
        <f>'REC Spend projected'!W21+'REC Spend projected'!X21+'REC Spend projected'!Y21</f>
        <v>19326095.149663053</v>
      </c>
      <c r="J140" s="88">
        <f>'REC Spend projected'!M21+'REC Spend projected'!N21+'REC Spend projected'!O21</f>
        <v>67559698.762090176</v>
      </c>
      <c r="K140" s="88">
        <f t="shared" si="33"/>
        <v>522257875.3162297</v>
      </c>
      <c r="L140" s="88">
        <f>'REC Spend projected'!AC21</f>
        <v>-1463883726.7493882</v>
      </c>
      <c r="M140" s="88">
        <f>'REC Spend projected'!AD21</f>
        <v>522257875.31622976</v>
      </c>
      <c r="N140" s="88">
        <f>'REC Spend projected'!AE21</f>
        <v>-1986141602.065618</v>
      </c>
      <c r="O140" s="91"/>
    </row>
    <row r="141" spans="2:15" ht="15" thickBot="1" x14ac:dyDescent="0.4">
      <c r="B141" s="87" t="s">
        <v>36</v>
      </c>
      <c r="C141" s="89">
        <f>'REC Spend projected'!H22</f>
        <v>0</v>
      </c>
      <c r="D141" s="88">
        <f>'REC Spend projected'!B22+'REC Spend projected'!C22+'REC Spend projected'!D22</f>
        <v>66474431</v>
      </c>
      <c r="E141" s="88">
        <f>'REC Spend projected'!I22</f>
        <v>0</v>
      </c>
      <c r="F141" s="88">
        <f>'REC Spend projected'!E22+'REC Spend projected'!F22+'REC Spend projected'!G22</f>
        <v>1094263</v>
      </c>
      <c r="G141" s="88">
        <f>'REC Spend projected'!J22+'REC Spend projected'!K22+'REC Spend projected'!L22</f>
        <v>-20689430.521767795</v>
      </c>
      <c r="H141" s="88">
        <f>'REC Spend projected'!Q22+'REC Spend projected'!R22+'REC Spend projected'!S22+'REC Spend projected'!T22+'REC Spend projected'!U22+'REC Spend projected'!V22</f>
        <v>362712615.82932889</v>
      </c>
      <c r="I141" s="88">
        <f>'REC Spend projected'!W22+'REC Spend projected'!X22+'REC Spend projected'!Y22</f>
        <v>-33425083.189203423</v>
      </c>
      <c r="J141" s="88">
        <f>'REC Spend projected'!M22+'REC Spend projected'!N22+'REC Spend projected'!O22</f>
        <v>67642751.566603482</v>
      </c>
      <c r="K141" s="88">
        <f t="shared" si="33"/>
        <v>443809547.68496114</v>
      </c>
      <c r="L141" s="88">
        <f>'REC Spend projected'!AC22</f>
        <v>-1398049883.1788352</v>
      </c>
      <c r="M141" s="88">
        <f>'REC Spend projected'!AD22</f>
        <v>443809547.68496114</v>
      </c>
      <c r="N141" s="88">
        <f>'REC Spend projected'!AE22</f>
        <v>-1841859430.8637962</v>
      </c>
      <c r="O141" s="91"/>
    </row>
    <row r="142" spans="2:15" ht="15" thickBot="1" x14ac:dyDescent="0.4">
      <c r="B142" s="87" t="s">
        <v>37</v>
      </c>
      <c r="C142" s="89">
        <f>'REC Spend projected'!H23</f>
        <v>0</v>
      </c>
      <c r="D142" s="88">
        <f>'REC Spend projected'!B23+'REC Spend projected'!C23+'REC Spend projected'!D23</f>
        <v>64892331</v>
      </c>
      <c r="E142" s="88">
        <f>'REC Spend projected'!I23</f>
        <v>0</v>
      </c>
      <c r="F142" s="88">
        <f>'REC Spend projected'!E23+'REC Spend projected'!F23+'REC Spend projected'!G23</f>
        <v>1093217</v>
      </c>
      <c r="G142" s="88">
        <f>'REC Spend projected'!J23+'REC Spend projected'!K23+'REC Spend projected'!L23</f>
        <v>-31755967.682777438</v>
      </c>
      <c r="H142" s="88">
        <f>'REC Spend projected'!Q23+'REC Spend projected'!R23+'REC Spend projected'!S23+'REC Spend projected'!T23+'REC Spend projected'!U23+'REC Spend projected'!V23</f>
        <v>349089896.15016663</v>
      </c>
      <c r="I142" s="88">
        <f>'REC Spend projected'!W23+'REC Spend projected'!X23+'REC Spend projected'!Y23</f>
        <v>-89240038.047729313</v>
      </c>
      <c r="J142" s="88">
        <f>'REC Spend projected'!M23+'REC Spend projected'!N23+'REC Spend projected'!O23</f>
        <v>67710238.723197311</v>
      </c>
      <c r="K142" s="88">
        <f t="shared" si="33"/>
        <v>361789677.14285719</v>
      </c>
      <c r="L142" s="88">
        <f>'REC Spend projected'!AC23</f>
        <v>-1251518140.0905528</v>
      </c>
      <c r="M142" s="88">
        <f>'REC Spend projected'!AD23</f>
        <v>361789677.14285719</v>
      </c>
      <c r="N142" s="88">
        <f>'REC Spend projected'!AE23</f>
        <v>-1613307817.2334099</v>
      </c>
      <c r="O142" s="91"/>
    </row>
    <row r="143" spans="2:15" ht="15" thickBot="1" x14ac:dyDescent="0.4">
      <c r="B143" s="87" t="s">
        <v>38</v>
      </c>
      <c r="C143" s="89">
        <f>'REC Spend projected'!H24</f>
        <v>0</v>
      </c>
      <c r="D143" s="88">
        <f>'REC Spend projected'!B24+'REC Spend projected'!C24+'REC Spend projected'!D24</f>
        <v>64803155</v>
      </c>
      <c r="E143" s="88">
        <f>'REC Spend projected'!I24</f>
        <v>0</v>
      </c>
      <c r="F143" s="88">
        <f>'REC Spend projected'!E24+'REC Spend projected'!F24+'REC Spend projected'!G24</f>
        <v>1092237</v>
      </c>
      <c r="G143" s="88">
        <f>'REC Spend projected'!J24+'REC Spend projected'!K24+'REC Spend projected'!L24</f>
        <v>-43119476.63313663</v>
      </c>
      <c r="H143" s="88">
        <f>'REC Spend projected'!Q24+'REC Spend projected'!R24+'REC Spend projected'!S24+'REC Spend projected'!T24+'REC Spend projected'!U24+'REC Spend projected'!V24</f>
        <v>346973740.639</v>
      </c>
      <c r="I143" s="88">
        <f>'REC Spend projected'!W24+'REC Spend projected'!X24+'REC Spend projected'!Y24</f>
        <v>-147657962.77846718</v>
      </c>
      <c r="J143" s="88">
        <f>'REC Spend projected'!M24+'REC Spend projected'!N24+'REC Spend projected'!O24</f>
        <v>67790826.711418763</v>
      </c>
      <c r="K143" s="88">
        <f t="shared" si="33"/>
        <v>289882519.93881494</v>
      </c>
      <c r="L143" s="88">
        <f>'REC Spend projected'!AC24</f>
        <v>-1020280260.1861179</v>
      </c>
      <c r="M143" s="88">
        <f>'REC Spend projected'!AD24</f>
        <v>289882519.93881494</v>
      </c>
      <c r="N143" s="88">
        <f>'REC Spend projected'!AE24</f>
        <v>-1310162780.1249328</v>
      </c>
      <c r="O143" s="91"/>
    </row>
    <row r="144" spans="2:15" ht="15" thickBot="1" x14ac:dyDescent="0.4">
      <c r="B144" s="87" t="s">
        <v>39</v>
      </c>
      <c r="C144" s="89">
        <f>'REC Spend projected'!H25</f>
        <v>0</v>
      </c>
      <c r="D144" s="88">
        <f>'REC Spend projected'!B25+'REC Spend projected'!C25+'REC Spend projected'!D25</f>
        <v>55490290</v>
      </c>
      <c r="E144" s="88">
        <f>'REC Spend projected'!I25</f>
        <v>0</v>
      </c>
      <c r="F144" s="88">
        <f>'REC Spend projected'!E25+'REC Spend projected'!F25+'REC Spend projected'!G25</f>
        <v>1091322</v>
      </c>
      <c r="G144" s="88">
        <f>'REC Spend projected'!J25+'REC Spend projected'!K25+'REC Spend projected'!L25</f>
        <v>-54235686.371110827</v>
      </c>
      <c r="H144" s="88">
        <f>'REC Spend projected'!Q25+'REC Spend projected'!R25+'REC Spend projected'!S25+'REC Spend projected'!T25+'REC Spend projected'!U25+'REC Spend projected'!V25</f>
        <v>297299421.74446636</v>
      </c>
      <c r="I144" s="88">
        <f>'REC Spend projected'!W25+'REC Spend projected'!X25+'REC Spend projected'!Y25</f>
        <v>-226283744.21171007</v>
      </c>
      <c r="J144" s="88">
        <f>'REC Spend projected'!M25+'REC Spend projected'!N25+'REC Spend projected'!O25</f>
        <v>67846294.061737657</v>
      </c>
      <c r="K144" s="88">
        <f t="shared" si="33"/>
        <v>141207897.2233831</v>
      </c>
      <c r="L144" s="88">
        <f>'REC Spend projected'!AC25</f>
        <v>-715286311.40034449</v>
      </c>
      <c r="M144" s="88">
        <f>'REC Spend projected'!AD25</f>
        <v>141207897.22338313</v>
      </c>
      <c r="N144" s="88">
        <f>'REC Spend projected'!AE25</f>
        <v>-856494208.62372756</v>
      </c>
      <c r="O144" s="91"/>
    </row>
    <row r="145" spans="2:15" ht="15" thickBot="1" x14ac:dyDescent="0.4">
      <c r="B145" s="87" t="s">
        <v>40</v>
      </c>
      <c r="C145" s="89">
        <f>'REC Spend projected'!H26</f>
        <v>0</v>
      </c>
      <c r="D145" s="88">
        <f>'REC Spend projected'!B26+'REC Spend projected'!C26+'REC Spend projected'!D26</f>
        <v>51805403</v>
      </c>
      <c r="E145" s="88">
        <f>'REC Spend projected'!I26</f>
        <v>0</v>
      </c>
      <c r="F145" s="88">
        <f>'REC Spend projected'!E26+'REC Spend projected'!F26+'REC Spend projected'!G26</f>
        <v>1090277</v>
      </c>
      <c r="G145" s="88">
        <f>'REC Spend projected'!J26+'REC Spend projected'!K26+'REC Spend projected'!L26</f>
        <v>-95197158.649102286</v>
      </c>
      <c r="H145" s="88">
        <f>'REC Spend projected'!Q26+'REC Spend projected'!R26+'REC Spend projected'!S26+'REC Spend projected'!T26+'REC Spend projected'!U26+'REC Spend projected'!V26</f>
        <v>284183865.51989257</v>
      </c>
      <c r="I145" s="88">
        <f>'REC Spend projected'!W26+'REC Spend projected'!X26+'REC Spend projected'!Y26</f>
        <v>-281284919.38676453</v>
      </c>
      <c r="J145" s="88">
        <f>'REC Spend projected'!M26+'REC Spend projected'!N26+'REC Spend projected'!O26</f>
        <v>67902792.45759207</v>
      </c>
      <c r="K145" s="88">
        <f t="shared" si="33"/>
        <v>28500259.941617846</v>
      </c>
      <c r="L145" s="88">
        <f>'REC Spend projected'!AC26</f>
        <v>-259734460.03732538</v>
      </c>
      <c r="M145" s="88">
        <f>'REC Spend projected'!AD26</f>
        <v>28500259.941617835</v>
      </c>
      <c r="N145" s="88">
        <f>'REC Spend projected'!AE26</f>
        <v>-288234719.97894323</v>
      </c>
      <c r="O145" s="91"/>
    </row>
    <row r="150" spans="2:15" ht="15" thickBot="1" x14ac:dyDescent="0.4"/>
    <row r="151" spans="2:15" ht="15" customHeight="1" thickBot="1" x14ac:dyDescent="0.4">
      <c r="B151" s="309" t="s">
        <v>268</v>
      </c>
      <c r="C151" s="310"/>
      <c r="D151" s="310"/>
      <c r="E151" s="311"/>
      <c r="F151" s="312" t="s">
        <v>266</v>
      </c>
      <c r="G151" s="310"/>
      <c r="H151" s="313" t="s">
        <v>269</v>
      </c>
      <c r="I151" s="314"/>
      <c r="J151" s="81"/>
      <c r="K151" s="241"/>
      <c r="L151" s="241"/>
      <c r="M151" s="241"/>
    </row>
    <row r="152" spans="2:15" ht="32" thickBot="1" x14ac:dyDescent="0.4">
      <c r="B152" s="82" t="s">
        <v>1</v>
      </c>
      <c r="C152" s="83" t="s">
        <v>270</v>
      </c>
      <c r="D152" s="83" t="s">
        <v>271</v>
      </c>
      <c r="E152" s="84" t="s">
        <v>272</v>
      </c>
      <c r="F152" s="84" t="s">
        <v>273</v>
      </c>
      <c r="G152" s="84" t="s">
        <v>274</v>
      </c>
      <c r="H152" s="83" t="s">
        <v>275</v>
      </c>
      <c r="I152" s="83" t="s">
        <v>276</v>
      </c>
      <c r="J152" s="83" t="s">
        <v>277</v>
      </c>
      <c r="K152" s="83" t="s">
        <v>259</v>
      </c>
      <c r="L152" s="83" t="s">
        <v>260</v>
      </c>
      <c r="M152" s="250" t="s">
        <v>251</v>
      </c>
    </row>
    <row r="153" spans="2:15" ht="15" thickBot="1" x14ac:dyDescent="0.4">
      <c r="B153" s="87" t="s">
        <v>17</v>
      </c>
      <c r="C153" s="93">
        <f>C123/1000000</f>
        <v>30.848359600711422</v>
      </c>
      <c r="D153" s="93">
        <f t="shared" ref="D153:L153" si="34">D123/1000000</f>
        <v>216.6276</v>
      </c>
      <c r="E153" s="93">
        <f t="shared" si="34"/>
        <v>5.3972904699999997</v>
      </c>
      <c r="F153" s="93">
        <f t="shared" si="34"/>
        <v>0</v>
      </c>
      <c r="G153" s="93">
        <f t="shared" si="34"/>
        <v>0</v>
      </c>
      <c r="H153" s="93">
        <f t="shared" si="34"/>
        <v>0</v>
      </c>
      <c r="I153" s="93">
        <f t="shared" si="34"/>
        <v>0</v>
      </c>
      <c r="J153" s="93">
        <f t="shared" si="34"/>
        <v>18.018880058405568</v>
      </c>
      <c r="K153" s="93">
        <f t="shared" si="34"/>
        <v>270.89213012911699</v>
      </c>
      <c r="L153" s="93">
        <f t="shared" si="34"/>
        <v>519.02655571101911</v>
      </c>
      <c r="M153" s="93">
        <f t="shared" ref="M153:M175" si="35">N123/1000000</f>
        <v>248.13442558190209</v>
      </c>
    </row>
    <row r="154" spans="2:15" ht="15" thickBot="1" x14ac:dyDescent="0.4">
      <c r="B154" s="87" t="s">
        <v>18</v>
      </c>
      <c r="C154" s="93">
        <f t="shared" ref="C154:L175" si="36">C124/1000000</f>
        <v>24.142255383493655</v>
      </c>
      <c r="D154" s="93">
        <f t="shared" si="36"/>
        <v>206.948195</v>
      </c>
      <c r="E154" s="93">
        <f t="shared" si="36"/>
        <v>19.260591157020841</v>
      </c>
      <c r="F154" s="93">
        <f t="shared" si="36"/>
        <v>0</v>
      </c>
      <c r="G154" s="93">
        <f t="shared" si="36"/>
        <v>0</v>
      </c>
      <c r="H154" s="93">
        <f t="shared" si="36"/>
        <v>0</v>
      </c>
      <c r="I154" s="93">
        <f t="shared" si="36"/>
        <v>0</v>
      </c>
      <c r="J154" s="93">
        <f t="shared" si="36"/>
        <v>73.942135092404001</v>
      </c>
      <c r="K154" s="93">
        <f t="shared" si="36"/>
        <v>324.29317663291846</v>
      </c>
      <c r="L154" s="93">
        <f t="shared" si="36"/>
        <v>712.87226199536917</v>
      </c>
      <c r="M154" s="93">
        <f t="shared" si="35"/>
        <v>388.57908536245071</v>
      </c>
    </row>
    <row r="155" spans="2:15" ht="15" thickBot="1" x14ac:dyDescent="0.4">
      <c r="B155" s="87" t="s">
        <v>19</v>
      </c>
      <c r="C155" s="93">
        <f t="shared" si="36"/>
        <v>22.062344595163538</v>
      </c>
      <c r="D155" s="93">
        <f t="shared" si="36"/>
        <v>254.564402</v>
      </c>
      <c r="E155" s="93">
        <f t="shared" si="36"/>
        <v>22.975411212579786</v>
      </c>
      <c r="F155" s="93">
        <f t="shared" si="36"/>
        <v>0</v>
      </c>
      <c r="G155" s="93">
        <f t="shared" si="36"/>
        <v>0</v>
      </c>
      <c r="H155" s="93">
        <f t="shared" si="36"/>
        <v>0</v>
      </c>
      <c r="I155" s="93">
        <f t="shared" si="36"/>
        <v>0</v>
      </c>
      <c r="J155" s="93">
        <f t="shared" si="36"/>
        <v>67.623889800951702</v>
      </c>
      <c r="K155" s="93">
        <f t="shared" si="36"/>
        <v>367.22604760869501</v>
      </c>
      <c r="L155" s="93">
        <f t="shared" si="36"/>
        <v>976.04207872750771</v>
      </c>
      <c r="M155" s="93">
        <f t="shared" si="35"/>
        <v>608.8160311188127</v>
      </c>
    </row>
    <row r="156" spans="2:15" ht="15" thickBot="1" x14ac:dyDescent="0.4">
      <c r="B156" s="87" t="s">
        <v>20</v>
      </c>
      <c r="C156" s="93">
        <f t="shared" si="36"/>
        <v>17.721007415898786</v>
      </c>
      <c r="D156" s="93">
        <f t="shared" si="36"/>
        <v>463.58634599999999</v>
      </c>
      <c r="E156" s="93">
        <f t="shared" si="36"/>
        <v>22.594914147020837</v>
      </c>
      <c r="F156" s="93">
        <f t="shared" si="36"/>
        <v>0</v>
      </c>
      <c r="G156" s="93">
        <f t="shared" si="36"/>
        <v>0</v>
      </c>
      <c r="H156" s="93">
        <f t="shared" si="36"/>
        <v>0</v>
      </c>
      <c r="I156" s="93">
        <f t="shared" si="36"/>
        <v>0</v>
      </c>
      <c r="J156" s="93">
        <f t="shared" si="36"/>
        <v>67.3066557684716</v>
      </c>
      <c r="K156" s="93">
        <f t="shared" si="36"/>
        <v>571.20892333139125</v>
      </c>
      <c r="L156" s="93">
        <f t="shared" si="36"/>
        <v>1185.7045567345324</v>
      </c>
      <c r="M156" s="93">
        <f t="shared" si="35"/>
        <v>614.49563340314114</v>
      </c>
    </row>
    <row r="157" spans="2:15" ht="15" thickBot="1" x14ac:dyDescent="0.4">
      <c r="B157" s="87" t="s">
        <v>22</v>
      </c>
      <c r="C157" s="93">
        <f t="shared" si="36"/>
        <v>17.421541685608783</v>
      </c>
      <c r="D157" s="93">
        <f t="shared" si="36"/>
        <v>234.83787000000001</v>
      </c>
      <c r="E157" s="93">
        <f t="shared" si="36"/>
        <v>22.594914147020837</v>
      </c>
      <c r="F157" s="93">
        <f t="shared" si="36"/>
        <v>7.1904510000000004</v>
      </c>
      <c r="G157" s="93">
        <f>G127/1000000</f>
        <v>4.4150402973999991</v>
      </c>
      <c r="H157" s="93">
        <f>H127/1000000</f>
        <v>251.42903758564864</v>
      </c>
      <c r="I157" s="93">
        <f t="shared" si="36"/>
        <v>0</v>
      </c>
      <c r="J157" s="93">
        <f t="shared" si="36"/>
        <v>77.20882955739026</v>
      </c>
      <c r="K157" s="93">
        <f t="shared" si="36"/>
        <v>615.09768427306847</v>
      </c>
      <c r="L157" s="93">
        <f t="shared" si="36"/>
        <v>1188.1232853161498</v>
      </c>
      <c r="M157" s="93">
        <f t="shared" si="35"/>
        <v>573.02560104308111</v>
      </c>
    </row>
    <row r="158" spans="2:15" ht="15" thickBot="1" x14ac:dyDescent="0.4">
      <c r="B158" s="87" t="s">
        <v>23</v>
      </c>
      <c r="C158" s="93">
        <f t="shared" si="36"/>
        <v>11.401431694168943</v>
      </c>
      <c r="D158" s="93">
        <f t="shared" si="36"/>
        <v>146.20978500000001</v>
      </c>
      <c r="E158" s="93">
        <f t="shared" si="36"/>
        <v>22.594914147020837</v>
      </c>
      <c r="F158" s="93">
        <f t="shared" si="36"/>
        <v>8.8765990000000006</v>
      </c>
      <c r="G158" s="93">
        <f t="shared" si="36"/>
        <v>24.502824589624396</v>
      </c>
      <c r="H158" s="93">
        <f t="shared" si="36"/>
        <v>302.32683947536253</v>
      </c>
      <c r="I158" s="93">
        <f t="shared" si="36"/>
        <v>2.8875922652403001</v>
      </c>
      <c r="J158" s="93">
        <f t="shared" si="36"/>
        <v>66.997493390597342</v>
      </c>
      <c r="K158" s="93">
        <f t="shared" si="36"/>
        <v>585.79747956201436</v>
      </c>
      <c r="L158" s="93">
        <f t="shared" si="36"/>
        <v>1139.6087140629925</v>
      </c>
      <c r="M158" s="93">
        <f t="shared" si="35"/>
        <v>553.81123450097823</v>
      </c>
    </row>
    <row r="159" spans="2:15" ht="15" thickBot="1" x14ac:dyDescent="0.4">
      <c r="B159" s="87" t="s">
        <v>24</v>
      </c>
      <c r="C159" s="93">
        <f t="shared" si="36"/>
        <v>8.215431710476329</v>
      </c>
      <c r="D159" s="93">
        <f t="shared" si="36"/>
        <v>110.07885400000001</v>
      </c>
      <c r="E159" s="93">
        <f t="shared" si="36"/>
        <v>22.594914147020837</v>
      </c>
      <c r="F159" s="93">
        <f t="shared" si="36"/>
        <v>8.8407680000000006</v>
      </c>
      <c r="G159" s="93">
        <f t="shared" si="36"/>
        <v>102.14377868213762</v>
      </c>
      <c r="H159" s="93">
        <f t="shared" si="36"/>
        <v>350.77270668013739</v>
      </c>
      <c r="I159" s="93">
        <f t="shared" si="36"/>
        <v>2.8564801701112978</v>
      </c>
      <c r="J159" s="93">
        <f t="shared" si="36"/>
        <v>66.888811399599319</v>
      </c>
      <c r="K159" s="93">
        <f t="shared" si="36"/>
        <v>672.39174478948269</v>
      </c>
      <c r="L159" s="93">
        <f t="shared" si="36"/>
        <v>1116.7716144876222</v>
      </c>
      <c r="M159" s="93">
        <f t="shared" si="35"/>
        <v>444.37986969813943</v>
      </c>
    </row>
    <row r="160" spans="2:15" ht="15" thickBot="1" x14ac:dyDescent="0.4">
      <c r="B160" s="87" t="s">
        <v>25</v>
      </c>
      <c r="C160" s="93">
        <f t="shared" si="36"/>
        <v>4.4804827749063234</v>
      </c>
      <c r="D160" s="93">
        <f t="shared" si="36"/>
        <v>100.60953600000001</v>
      </c>
      <c r="E160" s="93">
        <f t="shared" si="36"/>
        <v>22.594914147020837</v>
      </c>
      <c r="F160" s="93">
        <f t="shared" si="36"/>
        <v>8.805218</v>
      </c>
      <c r="G160" s="93">
        <f t="shared" si="36"/>
        <v>106.72326066210698</v>
      </c>
      <c r="H160" s="93">
        <f t="shared" si="36"/>
        <v>397.16865984943308</v>
      </c>
      <c r="I160" s="93">
        <f t="shared" si="36"/>
        <v>99.433772495700296</v>
      </c>
      <c r="J160" s="93">
        <f t="shared" si="36"/>
        <v>76.862404659270325</v>
      </c>
      <c r="K160" s="93">
        <f t="shared" si="36"/>
        <v>816.67824858843778</v>
      </c>
      <c r="L160" s="93">
        <f t="shared" si="36"/>
        <v>1006.4600250071504</v>
      </c>
      <c r="M160" s="93">
        <f t="shared" si="35"/>
        <v>189.78177641871261</v>
      </c>
    </row>
    <row r="161" spans="2:13" ht="15" thickBot="1" x14ac:dyDescent="0.4">
      <c r="B161" s="90" t="s">
        <v>26</v>
      </c>
      <c r="C161" s="93">
        <f t="shared" si="36"/>
        <v>4.4781322592044512</v>
      </c>
      <c r="D161" s="93">
        <f t="shared" si="36"/>
        <v>99.236395999999999</v>
      </c>
      <c r="E161" s="93">
        <f t="shared" si="36"/>
        <v>22.594914147020837</v>
      </c>
      <c r="F161" s="93">
        <f t="shared" si="36"/>
        <v>8.7696710000000007</v>
      </c>
      <c r="G161" s="93">
        <f t="shared" si="36"/>
        <v>89.517542614302812</v>
      </c>
      <c r="H161" s="93">
        <f t="shared" si="36"/>
        <v>441.59725594140519</v>
      </c>
      <c r="I161" s="93">
        <f t="shared" si="36"/>
        <v>155.63738738454543</v>
      </c>
      <c r="J161" s="93">
        <f t="shared" si="36"/>
        <v>66.906426967615872</v>
      </c>
      <c r="K161" s="93">
        <f t="shared" si="36"/>
        <v>888.73772631409452</v>
      </c>
      <c r="L161" s="93">
        <f t="shared" si="36"/>
        <v>753.32934200590842</v>
      </c>
      <c r="M161" s="93">
        <f t="shared" si="35"/>
        <v>-135.40838430818619</v>
      </c>
    </row>
    <row r="162" spans="2:13" ht="15" thickBot="1" x14ac:dyDescent="0.4">
      <c r="B162" s="87" t="s">
        <v>27</v>
      </c>
      <c r="C162" s="93">
        <f t="shared" si="36"/>
        <v>4.3380086485485405</v>
      </c>
      <c r="D162" s="93">
        <f t="shared" si="36"/>
        <v>91.004548</v>
      </c>
      <c r="E162" s="93">
        <f t="shared" si="36"/>
        <v>22.594914147020837</v>
      </c>
      <c r="F162" s="93">
        <f t="shared" si="36"/>
        <v>8.7347020000000004</v>
      </c>
      <c r="G162" s="93">
        <f t="shared" si="36"/>
        <v>69.424295324193935</v>
      </c>
      <c r="H162" s="93">
        <f t="shared" si="36"/>
        <v>484.13774683389931</v>
      </c>
      <c r="I162" s="93">
        <f t="shared" si="36"/>
        <v>175.26308989583964</v>
      </c>
      <c r="J162" s="93">
        <f t="shared" si="36"/>
        <v>66.920397125927693</v>
      </c>
      <c r="K162" s="93">
        <f t="shared" si="36"/>
        <v>922.41770197542996</v>
      </c>
      <c r="L162" s="93">
        <f t="shared" si="36"/>
        <v>428.60485322273684</v>
      </c>
      <c r="M162" s="93">
        <f t="shared" si="35"/>
        <v>-493.81284875269318</v>
      </c>
    </row>
    <row r="163" spans="2:13" ht="15" thickBot="1" x14ac:dyDescent="0.4">
      <c r="B163" s="87" t="s">
        <v>28</v>
      </c>
      <c r="C163" s="93">
        <f t="shared" si="36"/>
        <v>4.3034536786395101</v>
      </c>
      <c r="D163" s="93">
        <f t="shared" si="36"/>
        <v>69.27064</v>
      </c>
      <c r="E163" s="93">
        <f t="shared" si="36"/>
        <v>22.594914147020837</v>
      </c>
      <c r="F163" s="93">
        <f t="shared" si="36"/>
        <v>7.8706569999999996</v>
      </c>
      <c r="G163" s="93">
        <f t="shared" si="36"/>
        <v>66.266405320062603</v>
      </c>
      <c r="H163" s="93">
        <f t="shared" si="36"/>
        <v>497.0886179160496</v>
      </c>
      <c r="I163" s="93">
        <f t="shared" si="36"/>
        <v>170.17759398975039</v>
      </c>
      <c r="J163" s="93">
        <f t="shared" si="36"/>
        <v>77.023386929470732</v>
      </c>
      <c r="K163" s="93">
        <f t="shared" si="36"/>
        <v>914.59566898099376</v>
      </c>
      <c r="L163" s="93">
        <f t="shared" si="36"/>
        <v>73.633382229664448</v>
      </c>
      <c r="M163" s="93">
        <f t="shared" si="35"/>
        <v>-840.96228675132909</v>
      </c>
    </row>
    <row r="164" spans="2:13" ht="15" thickBot="1" x14ac:dyDescent="0.4">
      <c r="B164" s="87" t="s">
        <v>29</v>
      </c>
      <c r="C164" s="93">
        <f t="shared" si="36"/>
        <v>4.2610796921323004</v>
      </c>
      <c r="D164" s="93">
        <f t="shared" si="36"/>
        <v>67.114176</v>
      </c>
      <c r="E164" s="93">
        <f t="shared" si="36"/>
        <v>22.594914147020837</v>
      </c>
      <c r="F164" s="93">
        <f t="shared" si="36"/>
        <v>1.101261</v>
      </c>
      <c r="G164" s="93">
        <f t="shared" si="36"/>
        <v>59.875579196874135</v>
      </c>
      <c r="H164" s="93">
        <f t="shared" si="36"/>
        <v>504.22358277557083</v>
      </c>
      <c r="I164" s="93">
        <f t="shared" si="36"/>
        <v>190.67341020854855</v>
      </c>
      <c r="J164" s="93">
        <f t="shared" si="36"/>
        <v>67.120451256649815</v>
      </c>
      <c r="K164" s="93">
        <f t="shared" si="36"/>
        <v>916.96445427679646</v>
      </c>
      <c r="L164" s="93">
        <f t="shared" si="36"/>
        <v>-270.28057819633494</v>
      </c>
      <c r="M164" s="93">
        <f t="shared" si="35"/>
        <v>-1187.2450324731317</v>
      </c>
    </row>
    <row r="165" spans="2:13" ht="15" thickBot="1" x14ac:dyDescent="0.4">
      <c r="B165" s="87" t="s">
        <v>30</v>
      </c>
      <c r="C165" s="93">
        <f t="shared" si="36"/>
        <v>0</v>
      </c>
      <c r="D165" s="93">
        <f t="shared" si="36"/>
        <v>67.021345999999994</v>
      </c>
      <c r="E165" s="93">
        <f t="shared" si="36"/>
        <v>22.594914147020837</v>
      </c>
      <c r="F165" s="93">
        <f t="shared" si="36"/>
        <v>1.1002160000000001</v>
      </c>
      <c r="G165" s="93">
        <f t="shared" si="36"/>
        <v>49.382004171312239</v>
      </c>
      <c r="H165" s="93">
        <f t="shared" si="36"/>
        <v>505.80638295956851</v>
      </c>
      <c r="I165" s="93">
        <f t="shared" si="36"/>
        <v>197.17501671468739</v>
      </c>
      <c r="J165" s="93">
        <f t="shared" si="36"/>
        <v>67.234402603198845</v>
      </c>
      <c r="K165" s="93">
        <f t="shared" si="36"/>
        <v>910.31428259578786</v>
      </c>
      <c r="L165" s="93">
        <f t="shared" si="36"/>
        <v>-612.76494569983686</v>
      </c>
      <c r="M165" s="93">
        <f t="shared" si="35"/>
        <v>-1523.0792282956247</v>
      </c>
    </row>
    <row r="166" spans="2:13" ht="15" thickBot="1" x14ac:dyDescent="0.4">
      <c r="B166" s="87" t="s">
        <v>31</v>
      </c>
      <c r="C166" s="93">
        <f t="shared" si="36"/>
        <v>0</v>
      </c>
      <c r="D166" s="93">
        <f t="shared" si="36"/>
        <v>66.928876000000002</v>
      </c>
      <c r="E166" s="93">
        <f t="shared" si="36"/>
        <v>20.941094263402295</v>
      </c>
      <c r="F166" s="93">
        <f t="shared" si="36"/>
        <v>1.0991629999999999</v>
      </c>
      <c r="G166" s="93">
        <f t="shared" si="36"/>
        <v>39.999875837719834</v>
      </c>
      <c r="H166" s="93">
        <f t="shared" si="36"/>
        <v>438.7929169094225</v>
      </c>
      <c r="I166" s="93">
        <f t="shared" si="36"/>
        <v>170.62923293903924</v>
      </c>
      <c r="J166" s="93">
        <f t="shared" si="36"/>
        <v>67.289396046359869</v>
      </c>
      <c r="K166" s="93">
        <f t="shared" si="36"/>
        <v>805.68055499594379</v>
      </c>
      <c r="L166" s="93">
        <f t="shared" si="36"/>
        <v>-946.76602675029585</v>
      </c>
      <c r="M166" s="93">
        <f t="shared" si="35"/>
        <v>-1752.4465817462396</v>
      </c>
    </row>
    <row r="167" spans="2:13" ht="15" thickBot="1" x14ac:dyDescent="0.4">
      <c r="B167" s="87" t="s">
        <v>32</v>
      </c>
      <c r="C167" s="93">
        <f t="shared" si="36"/>
        <v>0</v>
      </c>
      <c r="D167" s="93">
        <f t="shared" si="36"/>
        <v>66.837125</v>
      </c>
      <c r="E167" s="93">
        <f t="shared" si="36"/>
        <v>20.941094263402295</v>
      </c>
      <c r="F167" s="93">
        <f t="shared" si="36"/>
        <v>1.0981829999999999</v>
      </c>
      <c r="G167" s="93">
        <f t="shared" si="36"/>
        <v>27.428800013520405</v>
      </c>
      <c r="H167" s="93">
        <f t="shared" si="36"/>
        <v>422.36967861280039</v>
      </c>
      <c r="I167" s="93">
        <f t="shared" si="36"/>
        <v>148.9222908712903</v>
      </c>
      <c r="J167" s="93">
        <f t="shared" si="36"/>
        <v>67.37869379901457</v>
      </c>
      <c r="K167" s="93">
        <f t="shared" si="36"/>
        <v>754.97586556002796</v>
      </c>
      <c r="L167" s="93">
        <f t="shared" si="36"/>
        <v>-1173.1567884457543</v>
      </c>
      <c r="M167" s="93">
        <f t="shared" si="35"/>
        <v>-1928.1326540057821</v>
      </c>
    </row>
    <row r="168" spans="2:13" ht="15" thickBot="1" x14ac:dyDescent="0.4">
      <c r="B168" s="87" t="s">
        <v>33</v>
      </c>
      <c r="C168" s="93">
        <f t="shared" si="36"/>
        <v>0</v>
      </c>
      <c r="D168" s="93">
        <f t="shared" si="36"/>
        <v>66.745791999999994</v>
      </c>
      <c r="E168" s="93">
        <f t="shared" si="36"/>
        <v>17.493544263402296</v>
      </c>
      <c r="F168" s="93">
        <f t="shared" si="36"/>
        <v>1.097137</v>
      </c>
      <c r="G168" s="93">
        <f t="shared" si="36"/>
        <v>15.012534563915375</v>
      </c>
      <c r="H168" s="93">
        <f t="shared" si="36"/>
        <v>406.63817258802868</v>
      </c>
      <c r="I168" s="93">
        <f t="shared" si="36"/>
        <v>109.76309973907549</v>
      </c>
      <c r="J168" s="93">
        <f t="shared" si="36"/>
        <v>67.444210839039314</v>
      </c>
      <c r="K168" s="93">
        <f t="shared" si="36"/>
        <v>684.19449099346116</v>
      </c>
      <c r="L168" s="93">
        <f t="shared" si="36"/>
        <v>-1346.6589593711385</v>
      </c>
      <c r="M168" s="93">
        <f t="shared" si="35"/>
        <v>-2030.8534503645997</v>
      </c>
    </row>
    <row r="169" spans="2:13" ht="15" thickBot="1" x14ac:dyDescent="0.4">
      <c r="B169" s="87" t="s">
        <v>34</v>
      </c>
      <c r="C169" s="93">
        <f t="shared" si="36"/>
        <v>0</v>
      </c>
      <c r="D169" s="93">
        <f t="shared" si="36"/>
        <v>66.654579999999996</v>
      </c>
      <c r="E169" s="93">
        <f t="shared" si="36"/>
        <v>5.8804134599999998</v>
      </c>
      <c r="F169" s="93">
        <f t="shared" si="36"/>
        <v>1.096157</v>
      </c>
      <c r="G169" s="93">
        <f t="shared" si="36"/>
        <v>2.9264440823166353</v>
      </c>
      <c r="H169" s="93">
        <f t="shared" si="36"/>
        <v>391.4660302841433</v>
      </c>
      <c r="I169" s="93">
        <f t="shared" si="36"/>
        <v>66.880096027016904</v>
      </c>
      <c r="J169" s="93">
        <f t="shared" si="36"/>
        <v>67.522169661825245</v>
      </c>
      <c r="K169" s="93">
        <f t="shared" si="36"/>
        <v>602.42589051530217</v>
      </c>
      <c r="L169" s="93">
        <f t="shared" si="36"/>
        <v>-1446.7811283037586</v>
      </c>
      <c r="M169" s="93">
        <f t="shared" si="35"/>
        <v>-2049.207018819061</v>
      </c>
    </row>
    <row r="170" spans="2:13" ht="15" thickBot="1" x14ac:dyDescent="0.4">
      <c r="B170" s="87" t="s">
        <v>35</v>
      </c>
      <c r="C170" s="93">
        <f t="shared" si="36"/>
        <v>0</v>
      </c>
      <c r="D170" s="93">
        <f t="shared" si="36"/>
        <v>66.564504999999997</v>
      </c>
      <c r="E170" s="93">
        <f t="shared" si="36"/>
        <v>0</v>
      </c>
      <c r="F170" s="93">
        <f t="shared" si="36"/>
        <v>1.0951770000000001</v>
      </c>
      <c r="G170" s="93">
        <f t="shared" si="36"/>
        <v>-9.1188272304330837</v>
      </c>
      <c r="H170" s="93">
        <f t="shared" si="36"/>
        <v>376.83122663490963</v>
      </c>
      <c r="I170" s="93">
        <f t="shared" si="36"/>
        <v>19.326095149663054</v>
      </c>
      <c r="J170" s="93">
        <f t="shared" si="36"/>
        <v>67.559698762090179</v>
      </c>
      <c r="K170" s="93">
        <f t="shared" si="36"/>
        <v>522.25787531622973</v>
      </c>
      <c r="L170" s="93">
        <f t="shared" si="36"/>
        <v>-1463.8837267493882</v>
      </c>
      <c r="M170" s="93">
        <f t="shared" si="35"/>
        <v>-1986.1416020656181</v>
      </c>
    </row>
    <row r="171" spans="2:13" ht="15" thickBot="1" x14ac:dyDescent="0.4">
      <c r="B171" s="87" t="s">
        <v>36</v>
      </c>
      <c r="C171" s="93">
        <f t="shared" si="36"/>
        <v>0</v>
      </c>
      <c r="D171" s="93">
        <f t="shared" si="36"/>
        <v>66.474430999999996</v>
      </c>
      <c r="E171" s="93">
        <f t="shared" si="36"/>
        <v>0</v>
      </c>
      <c r="F171" s="93">
        <f t="shared" si="36"/>
        <v>1.094263</v>
      </c>
      <c r="G171" s="93">
        <f t="shared" si="36"/>
        <v>-20.689430521767797</v>
      </c>
      <c r="H171" s="93">
        <f t="shared" si="36"/>
        <v>362.71261582932891</v>
      </c>
      <c r="I171" s="93">
        <f t="shared" si="36"/>
        <v>-33.42508318920342</v>
      </c>
      <c r="J171" s="93">
        <f t="shared" si="36"/>
        <v>67.642751566603479</v>
      </c>
      <c r="K171" s="93">
        <f t="shared" si="36"/>
        <v>443.80954768496116</v>
      </c>
      <c r="L171" s="93">
        <f t="shared" si="36"/>
        <v>-1398.0498831788352</v>
      </c>
      <c r="M171" s="93">
        <f t="shared" si="35"/>
        <v>-1841.8594308637962</v>
      </c>
    </row>
    <row r="172" spans="2:13" ht="15" thickBot="1" x14ac:dyDescent="0.4">
      <c r="B172" s="87" t="s">
        <v>37</v>
      </c>
      <c r="C172" s="93">
        <f t="shared" si="36"/>
        <v>0</v>
      </c>
      <c r="D172" s="93">
        <f t="shared" si="36"/>
        <v>64.892330999999999</v>
      </c>
      <c r="E172" s="93">
        <f t="shared" si="36"/>
        <v>0</v>
      </c>
      <c r="F172" s="93">
        <f t="shared" si="36"/>
        <v>1.0932170000000001</v>
      </c>
      <c r="G172" s="93">
        <f t="shared" si="36"/>
        <v>-31.755967682777438</v>
      </c>
      <c r="H172" s="93">
        <f t="shared" si="36"/>
        <v>349.08989615016662</v>
      </c>
      <c r="I172" s="93">
        <f t="shared" si="36"/>
        <v>-89.240038047729314</v>
      </c>
      <c r="J172" s="93">
        <f t="shared" si="36"/>
        <v>67.710238723197307</v>
      </c>
      <c r="K172" s="93">
        <f t="shared" si="36"/>
        <v>361.78967714285722</v>
      </c>
      <c r="L172" s="93">
        <f t="shared" si="36"/>
        <v>-1251.5181400905528</v>
      </c>
      <c r="M172" s="93">
        <f t="shared" si="35"/>
        <v>-1613.3078172334099</v>
      </c>
    </row>
    <row r="173" spans="2:13" ht="15" thickBot="1" x14ac:dyDescent="0.4">
      <c r="B173" s="87" t="s">
        <v>38</v>
      </c>
      <c r="C173" s="93">
        <f t="shared" si="36"/>
        <v>0</v>
      </c>
      <c r="D173" s="93">
        <f t="shared" si="36"/>
        <v>64.803155000000004</v>
      </c>
      <c r="E173" s="93">
        <f t="shared" si="36"/>
        <v>0</v>
      </c>
      <c r="F173" s="93">
        <f t="shared" si="36"/>
        <v>1.0922369999999999</v>
      </c>
      <c r="G173" s="93">
        <f t="shared" si="36"/>
        <v>-43.119476633136628</v>
      </c>
      <c r="H173" s="93">
        <f t="shared" si="36"/>
        <v>346.97374063899997</v>
      </c>
      <c r="I173" s="93">
        <f t="shared" si="36"/>
        <v>-147.65796277846718</v>
      </c>
      <c r="J173" s="93">
        <f t="shared" si="36"/>
        <v>67.790826711418759</v>
      </c>
      <c r="K173" s="93">
        <f t="shared" si="36"/>
        <v>289.88251993881494</v>
      </c>
      <c r="L173" s="93">
        <f t="shared" si="36"/>
        <v>-1020.2802601861179</v>
      </c>
      <c r="M173" s="93">
        <f t="shared" si="35"/>
        <v>-1310.1627801249329</v>
      </c>
    </row>
    <row r="174" spans="2:13" ht="15" thickBot="1" x14ac:dyDescent="0.4">
      <c r="B174" s="87" t="s">
        <v>39</v>
      </c>
      <c r="C174" s="93">
        <f t="shared" si="36"/>
        <v>0</v>
      </c>
      <c r="D174" s="93">
        <f t="shared" si="36"/>
        <v>55.490290000000002</v>
      </c>
      <c r="E174" s="93">
        <f t="shared" si="36"/>
        <v>0</v>
      </c>
      <c r="F174" s="93">
        <f t="shared" si="36"/>
        <v>1.0913219999999999</v>
      </c>
      <c r="G174" s="93">
        <f t="shared" si="36"/>
        <v>-54.235686371110823</v>
      </c>
      <c r="H174" s="93">
        <f t="shared" si="36"/>
        <v>297.29942174446637</v>
      </c>
      <c r="I174" s="93">
        <f t="shared" si="36"/>
        <v>-226.28374421171006</v>
      </c>
      <c r="J174" s="93">
        <f t="shared" si="36"/>
        <v>67.846294061737652</v>
      </c>
      <c r="K174" s="93">
        <f t="shared" si="36"/>
        <v>141.2078972233831</v>
      </c>
      <c r="L174" s="93">
        <f t="shared" si="36"/>
        <v>-715.28631140034452</v>
      </c>
      <c r="M174" s="93">
        <f t="shared" si="35"/>
        <v>-856.49420862372756</v>
      </c>
    </row>
    <row r="175" spans="2:13" ht="15" thickBot="1" x14ac:dyDescent="0.4">
      <c r="B175" s="87" t="s">
        <v>40</v>
      </c>
      <c r="C175" s="93">
        <f t="shared" si="36"/>
        <v>0</v>
      </c>
      <c r="D175" s="93">
        <f t="shared" si="36"/>
        <v>51.805402999999998</v>
      </c>
      <c r="E175" s="93">
        <f t="shared" si="36"/>
        <v>0</v>
      </c>
      <c r="F175" s="93">
        <f t="shared" si="36"/>
        <v>1.0902769999999999</v>
      </c>
      <c r="G175" s="93">
        <f t="shared" si="36"/>
        <v>-95.197158649102292</v>
      </c>
      <c r="H175" s="93">
        <f t="shared" si="36"/>
        <v>284.18386551989255</v>
      </c>
      <c r="I175" s="93">
        <f t="shared" si="36"/>
        <v>-281.2849193867645</v>
      </c>
      <c r="J175" s="93">
        <f t="shared" si="36"/>
        <v>67.902792457592071</v>
      </c>
      <c r="K175" s="93">
        <f t="shared" si="36"/>
        <v>28.500259941617845</v>
      </c>
      <c r="L175" s="93">
        <f t="shared" si="36"/>
        <v>-259.73446003732539</v>
      </c>
      <c r="M175" s="93">
        <f t="shared" si="35"/>
        <v>-288.23471997894325</v>
      </c>
    </row>
  </sheetData>
  <mergeCells count="22">
    <mergeCell ref="B121:E121"/>
    <mergeCell ref="F121:G121"/>
    <mergeCell ref="H121:I121"/>
    <mergeCell ref="B151:E151"/>
    <mergeCell ref="F151:G151"/>
    <mergeCell ref="H151:I151"/>
    <mergeCell ref="B58:E58"/>
    <mergeCell ref="F58:G58"/>
    <mergeCell ref="H58:I58"/>
    <mergeCell ref="J58:K58"/>
    <mergeCell ref="B86:E86"/>
    <mergeCell ref="F86:G86"/>
    <mergeCell ref="H86:I86"/>
    <mergeCell ref="J86:K86"/>
    <mergeCell ref="B2:E2"/>
    <mergeCell ref="F2:G2"/>
    <mergeCell ref="H2:I2"/>
    <mergeCell ref="J2:K2"/>
    <mergeCell ref="B30:E30"/>
    <mergeCell ref="F30:G30"/>
    <mergeCell ref="H30:I30"/>
    <mergeCell ref="J30:K30"/>
  </mergeCells>
  <phoneticPr fontId="13" type="noConversion"/>
  <printOptions horizontalCentered="1" verticalCentered="1"/>
  <pageMargins left="0.7" right="0.7" top="0.75" bottom="0.75" header="0.3" footer="0.3"/>
  <pageSetup scale="49" orientation="landscape" r:id="rId1"/>
  <headerFooter>
    <oddHeader>&amp;A</oddHeader>
  </headerFooter>
  <rowBreaks count="2" manualBreakCount="2">
    <brk id="56" max="16383" man="1"/>
    <brk id="120" max="16383" man="1"/>
  </rowBreaks>
  <colBreaks count="1" manualBreakCount="1">
    <brk id="16" max="1048575" man="1"/>
  </colBreaks>
  <customProperties>
    <customPr name="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11784-F900-4255-ABD7-79B2653DF7EE}">
  <sheetPr>
    <tabColor theme="4" tint="0.59999389629810485"/>
    <pageSetUpPr fitToPage="1"/>
  </sheetPr>
  <dimension ref="A1:O171"/>
  <sheetViews>
    <sheetView topLeftCell="B3" zoomScale="120" zoomScaleNormal="120" workbookViewId="0">
      <selection activeCell="L3" sqref="L3"/>
    </sheetView>
  </sheetViews>
  <sheetFormatPr defaultColWidth="20.453125" defaultRowHeight="14.5" x14ac:dyDescent="0.35"/>
  <cols>
    <col min="1" max="1" width="19.54296875" bestFit="1" customWidth="1"/>
    <col min="2" max="2" width="14" bestFit="1" customWidth="1"/>
    <col min="3" max="3" width="14.54296875" bestFit="1" customWidth="1"/>
    <col min="4" max="4" width="14.453125" bestFit="1" customWidth="1"/>
    <col min="5" max="5" width="25.54296875" bestFit="1" customWidth="1"/>
    <col min="6" max="6" width="12.453125" bestFit="1" customWidth="1"/>
    <col min="11" max="11" width="14.453125" bestFit="1" customWidth="1"/>
    <col min="12" max="12" width="21.08984375" customWidth="1"/>
    <col min="14" max="14" width="22.54296875" customWidth="1"/>
  </cols>
  <sheetData>
    <row r="1" spans="1:15" x14ac:dyDescent="0.35">
      <c r="A1" s="1" t="s">
        <v>0</v>
      </c>
      <c r="B1" s="53"/>
      <c r="C1" s="53"/>
      <c r="D1" s="53"/>
      <c r="E1" s="52"/>
      <c r="F1" s="52"/>
      <c r="G1" s="52"/>
      <c r="H1" s="52"/>
      <c r="I1" s="52"/>
      <c r="J1" s="52"/>
      <c r="K1" s="52"/>
    </row>
    <row r="2" spans="1:15" ht="43.5" x14ac:dyDescent="0.35">
      <c r="A2" s="15" t="s">
        <v>1</v>
      </c>
      <c r="B2" s="15" t="s">
        <v>2</v>
      </c>
      <c r="C2" s="15" t="s">
        <v>3</v>
      </c>
      <c r="D2" s="15" t="s">
        <v>4</v>
      </c>
      <c r="E2" s="15" t="s">
        <v>5</v>
      </c>
      <c r="F2" s="15" t="s">
        <v>6</v>
      </c>
      <c r="G2" s="15" t="s">
        <v>7</v>
      </c>
      <c r="H2" s="15" t="s">
        <v>8</v>
      </c>
      <c r="I2" s="15" t="s">
        <v>9</v>
      </c>
      <c r="J2" s="15" t="s">
        <v>10</v>
      </c>
      <c r="K2" s="15" t="s">
        <v>11</v>
      </c>
    </row>
    <row r="3" spans="1:15" x14ac:dyDescent="0.35">
      <c r="A3" s="51"/>
      <c r="B3" s="51"/>
      <c r="C3" s="51"/>
      <c r="D3" s="51"/>
      <c r="E3" s="51"/>
      <c r="F3" s="51"/>
      <c r="G3" s="51"/>
      <c r="H3" s="51"/>
      <c r="I3" s="51"/>
      <c r="J3" s="51"/>
      <c r="K3" s="51"/>
    </row>
    <row r="4" spans="1:15" x14ac:dyDescent="0.35">
      <c r="A4" s="43" t="s">
        <v>12</v>
      </c>
      <c r="B4" s="43" t="s">
        <v>13</v>
      </c>
      <c r="C4" s="10" t="s">
        <v>14</v>
      </c>
      <c r="D4" s="50">
        <v>0.13</v>
      </c>
      <c r="E4" s="49">
        <f>E36+E69+E102</f>
        <v>76112663.900604993</v>
      </c>
      <c r="F4" s="48">
        <f>D4*E4</f>
        <v>9894646.3070786502</v>
      </c>
      <c r="G4" s="47">
        <f t="shared" ref="G4:G25" si="0">K4/E4</f>
        <v>1.8631099304986654</v>
      </c>
      <c r="H4" s="297" t="e">
        <f>J4/I4</f>
        <v>#DIV/0!</v>
      </c>
      <c r="I4" s="295">
        <f>I36+I69+I102</f>
        <v>0</v>
      </c>
      <c r="J4" s="296">
        <f>J36+J69+J102</f>
        <v>0</v>
      </c>
      <c r="K4" s="46">
        <f t="shared" ref="K4:K29" si="1">K69+K36+K102</f>
        <v>141806259.94992444</v>
      </c>
      <c r="O4" s="218"/>
    </row>
    <row r="5" spans="1:15" x14ac:dyDescent="0.35">
      <c r="A5" s="10" t="s">
        <v>15</v>
      </c>
      <c r="B5" s="10" t="s">
        <v>12</v>
      </c>
      <c r="C5" s="10" t="s">
        <v>14</v>
      </c>
      <c r="D5" s="50">
        <v>0.14499999999999999</v>
      </c>
      <c r="E5" s="49">
        <f t="shared" ref="E5:E29" si="2">E37+E70+E103</f>
        <v>101959380.99297675</v>
      </c>
      <c r="F5" s="48">
        <f>D5*E5</f>
        <v>14784110.243981628</v>
      </c>
      <c r="G5" s="47">
        <f>K5/E5</f>
        <v>1.8631022631949592</v>
      </c>
      <c r="H5" s="297" t="e">
        <f t="shared" ref="H5:H29" si="3">J5/I5</f>
        <v>#DIV/0!</v>
      </c>
      <c r="I5" s="295">
        <f t="shared" ref="I5:J29" si="4">I37+I70+I103</f>
        <v>0</v>
      </c>
      <c r="J5" s="296">
        <f t="shared" si="4"/>
        <v>0</v>
      </c>
      <c r="K5" s="46">
        <f>K70+K37+K103</f>
        <v>189960753.4819721</v>
      </c>
      <c r="O5" s="218"/>
    </row>
    <row r="6" spans="1:15" x14ac:dyDescent="0.35">
      <c r="A6" s="10" t="s">
        <v>16</v>
      </c>
      <c r="B6" s="10" t="s">
        <v>15</v>
      </c>
      <c r="C6" s="10" t="s">
        <v>14</v>
      </c>
      <c r="D6" s="50">
        <v>0.16</v>
      </c>
      <c r="E6" s="49">
        <f t="shared" si="2"/>
        <v>125865782.01627436</v>
      </c>
      <c r="F6" s="48">
        <f t="shared" ref="F6:F29" si="5">D6*E6</f>
        <v>20138525.122603897</v>
      </c>
      <c r="G6" s="47">
        <f t="shared" si="0"/>
        <v>1.8637295446897024</v>
      </c>
      <c r="H6" s="297" t="e">
        <f t="shared" si="3"/>
        <v>#DIV/0!</v>
      </c>
      <c r="I6" s="295">
        <f t="shared" si="4"/>
        <v>0</v>
      </c>
      <c r="J6" s="296">
        <f t="shared" si="4"/>
        <v>0</v>
      </c>
      <c r="K6" s="46">
        <f t="shared" si="1"/>
        <v>234579776.60920435</v>
      </c>
      <c r="O6" s="218"/>
    </row>
    <row r="7" spans="1:15" x14ac:dyDescent="0.35">
      <c r="A7" s="10" t="s">
        <v>17</v>
      </c>
      <c r="B7" s="10" t="s">
        <v>16</v>
      </c>
      <c r="C7" s="10" t="s">
        <v>14</v>
      </c>
      <c r="D7" s="50">
        <v>0.17500000000000004</v>
      </c>
      <c r="E7" s="49">
        <f t="shared" si="2"/>
        <v>120852469.47880016</v>
      </c>
      <c r="F7" s="48">
        <f t="shared" si="5"/>
        <v>21149182.158790033</v>
      </c>
      <c r="G7" s="47">
        <f t="shared" si="0"/>
        <v>1.8637269201154412</v>
      </c>
      <c r="H7" s="297" t="e">
        <f t="shared" si="3"/>
        <v>#DIV/0!</v>
      </c>
      <c r="I7" s="295">
        <f t="shared" si="4"/>
        <v>0</v>
      </c>
      <c r="J7" s="296">
        <f t="shared" si="4"/>
        <v>0</v>
      </c>
      <c r="K7" s="46">
        <f>K72+K39+K105</f>
        <v>225236000.73006958</v>
      </c>
      <c r="O7" s="218"/>
    </row>
    <row r="8" spans="1:15" x14ac:dyDescent="0.35">
      <c r="A8" s="10" t="s">
        <v>18</v>
      </c>
      <c r="B8" s="10" t="s">
        <v>17</v>
      </c>
      <c r="C8" s="10" t="s">
        <v>14</v>
      </c>
      <c r="D8" s="50">
        <v>0.19000000000000006</v>
      </c>
      <c r="E8" s="49">
        <f t="shared" si="2"/>
        <v>119923435.18328001</v>
      </c>
      <c r="F8" s="48">
        <f t="shared" si="5"/>
        <v>22785452.684823208</v>
      </c>
      <c r="G8" s="47">
        <f t="shared" si="0"/>
        <v>3.8752878926725569</v>
      </c>
      <c r="H8" s="297" t="e">
        <f t="shared" si="3"/>
        <v>#DIV/0!</v>
      </c>
      <c r="I8" s="295">
        <f t="shared" si="4"/>
        <v>0</v>
      </c>
      <c r="J8" s="296">
        <f t="shared" si="4"/>
        <v>0</v>
      </c>
      <c r="K8" s="46">
        <f t="shared" si="1"/>
        <v>464737836.41346717</v>
      </c>
      <c r="O8" s="218"/>
    </row>
    <row r="9" spans="1:15" x14ac:dyDescent="0.35">
      <c r="A9" s="10" t="s">
        <v>19</v>
      </c>
      <c r="B9" s="10" t="s">
        <v>18</v>
      </c>
      <c r="C9" s="10" t="s">
        <v>14</v>
      </c>
      <c r="D9" s="50">
        <v>0.20500000000000007</v>
      </c>
      <c r="E9" s="49">
        <f t="shared" si="2"/>
        <v>120302327.52374344</v>
      </c>
      <c r="F9" s="48">
        <f t="shared" si="5"/>
        <v>24661977.142367411</v>
      </c>
      <c r="G9" s="47">
        <f>K9/E9</f>
        <v>4.8832221741438255</v>
      </c>
      <c r="H9" s="297" t="e">
        <f t="shared" si="3"/>
        <v>#DIV/0!</v>
      </c>
      <c r="I9" s="295">
        <f t="shared" si="4"/>
        <v>0</v>
      </c>
      <c r="J9" s="296">
        <f t="shared" si="4"/>
        <v>0</v>
      </c>
      <c r="K9" s="46">
        <f t="shared" si="1"/>
        <v>587462993.36505699</v>
      </c>
      <c r="O9" s="218"/>
    </row>
    <row r="10" spans="1:15" x14ac:dyDescent="0.35">
      <c r="A10" s="43" t="s">
        <v>20</v>
      </c>
      <c r="B10" s="10" t="s">
        <v>19</v>
      </c>
      <c r="C10" s="10" t="s">
        <v>14</v>
      </c>
      <c r="D10" s="50">
        <v>0.22000000000000008</v>
      </c>
      <c r="E10" s="49">
        <f t="shared" si="2"/>
        <v>118284569.94609663</v>
      </c>
      <c r="F10" s="48">
        <f t="shared" si="5"/>
        <v>26022605.388141267</v>
      </c>
      <c r="G10" s="47">
        <f t="shared" si="0"/>
        <v>4.8771240904761548</v>
      </c>
      <c r="H10" s="298">
        <f t="shared" si="3"/>
        <v>0.3135656</v>
      </c>
      <c r="I10" s="295">
        <f t="shared" si="4"/>
        <v>2500000</v>
      </c>
      <c r="J10" s="296">
        <f t="shared" si="4"/>
        <v>783914</v>
      </c>
      <c r="K10" s="46">
        <f>K75+K42+K108</f>
        <v>576888525.61571968</v>
      </c>
      <c r="L10" t="s">
        <v>21</v>
      </c>
      <c r="O10" s="218"/>
    </row>
    <row r="11" spans="1:15" x14ac:dyDescent="0.35">
      <c r="A11" s="43" t="s">
        <v>22</v>
      </c>
      <c r="B11" s="43" t="s">
        <v>20</v>
      </c>
      <c r="C11" s="10" t="s">
        <v>14</v>
      </c>
      <c r="D11" s="50">
        <v>0.2350000000000001</v>
      </c>
      <c r="E11" s="49">
        <f t="shared" si="2"/>
        <v>117448534.41866967</v>
      </c>
      <c r="F11" s="48">
        <f t="shared" si="5"/>
        <v>27600405.588387385</v>
      </c>
      <c r="G11" s="47">
        <f t="shared" si="0"/>
        <v>4.884076712853596</v>
      </c>
      <c r="H11" s="297" t="e">
        <f t="shared" si="3"/>
        <v>#DIV/0!</v>
      </c>
      <c r="I11" s="295">
        <f t="shared" si="4"/>
        <v>0</v>
      </c>
      <c r="J11" s="296">
        <f t="shared" si="4"/>
        <v>0</v>
      </c>
      <c r="K11" s="46">
        <f t="shared" si="1"/>
        <v>573627651.91300857</v>
      </c>
      <c r="L11" s="185"/>
      <c r="M11" s="185"/>
      <c r="O11" s="218"/>
    </row>
    <row r="12" spans="1:15" x14ac:dyDescent="0.35">
      <c r="A12" s="43" t="s">
        <v>23</v>
      </c>
      <c r="B12" s="43" t="s">
        <v>22</v>
      </c>
      <c r="C12" s="10" t="s">
        <v>14</v>
      </c>
      <c r="D12" s="50">
        <v>0.25000000000000011</v>
      </c>
      <c r="E12" s="49">
        <f t="shared" si="2"/>
        <v>116009160.13942751</v>
      </c>
      <c r="F12" s="48">
        <f t="shared" si="5"/>
        <v>29002290.034856889</v>
      </c>
      <c r="G12" s="47">
        <f t="shared" si="0"/>
        <v>4.883951511578517</v>
      </c>
      <c r="H12" s="297" t="e">
        <f t="shared" si="3"/>
        <v>#DIV/0!</v>
      </c>
      <c r="I12" s="295">
        <f t="shared" si="4"/>
        <v>0</v>
      </c>
      <c r="J12" s="296">
        <f t="shared" si="4"/>
        <v>0</v>
      </c>
      <c r="K12" s="46">
        <f t="shared" si="1"/>
        <v>566583113.01991129</v>
      </c>
      <c r="L12" s="185"/>
      <c r="M12" s="185"/>
      <c r="O12" s="218"/>
    </row>
    <row r="13" spans="1:15" x14ac:dyDescent="0.35">
      <c r="A13" s="10" t="s">
        <v>24</v>
      </c>
      <c r="B13" s="10" t="s">
        <v>23</v>
      </c>
      <c r="C13" s="10" t="s">
        <v>14</v>
      </c>
      <c r="D13" s="50">
        <v>0.28000000000000003</v>
      </c>
      <c r="E13" s="49">
        <f t="shared" si="2"/>
        <v>115254880.84831586</v>
      </c>
      <c r="F13" s="48">
        <f t="shared" si="5"/>
        <v>32271366.637528446</v>
      </c>
      <c r="G13" s="47">
        <f t="shared" si="0"/>
        <v>4.8844819051745176</v>
      </c>
      <c r="H13" s="297" t="e">
        <f t="shared" si="3"/>
        <v>#DIV/0!</v>
      </c>
      <c r="I13" s="295">
        <f t="shared" si="4"/>
        <v>0</v>
      </c>
      <c r="J13" s="296">
        <f t="shared" si="4"/>
        <v>0</v>
      </c>
      <c r="K13" s="46">
        <f t="shared" si="1"/>
        <v>562960379.98664391</v>
      </c>
      <c r="L13" s="185"/>
      <c r="M13" s="185"/>
      <c r="O13" s="218"/>
    </row>
    <row r="14" spans="1:15" x14ac:dyDescent="0.35">
      <c r="A14" s="10" t="s">
        <v>25</v>
      </c>
      <c r="B14" s="10" t="s">
        <v>24</v>
      </c>
      <c r="C14" s="10" t="s">
        <v>14</v>
      </c>
      <c r="D14" s="50">
        <v>0.31</v>
      </c>
      <c r="E14" s="49">
        <f t="shared" si="2"/>
        <v>115059568.07173257</v>
      </c>
      <c r="F14" s="48">
        <f t="shared" si="5"/>
        <v>35668466.102237098</v>
      </c>
      <c r="G14" s="47">
        <f t="shared" si="0"/>
        <v>4.8851231125653847</v>
      </c>
      <c r="H14" s="297" t="e">
        <f t="shared" si="3"/>
        <v>#DIV/0!</v>
      </c>
      <c r="I14" s="295">
        <f t="shared" si="4"/>
        <v>0</v>
      </c>
      <c r="J14" s="296">
        <f t="shared" si="4"/>
        <v>0</v>
      </c>
      <c r="K14" s="46">
        <f t="shared" si="1"/>
        <v>562080155.30901098</v>
      </c>
      <c r="L14" s="185"/>
      <c r="M14" s="185"/>
      <c r="O14" s="218"/>
    </row>
    <row r="15" spans="1:15" x14ac:dyDescent="0.35">
      <c r="A15" s="10" t="s">
        <v>26</v>
      </c>
      <c r="B15" s="10" t="s">
        <v>25</v>
      </c>
      <c r="C15" s="10" t="s">
        <v>14</v>
      </c>
      <c r="D15" s="50">
        <v>0.34</v>
      </c>
      <c r="E15" s="49">
        <f t="shared" si="2"/>
        <v>115352048.76349725</v>
      </c>
      <c r="F15" s="48">
        <f t="shared" si="5"/>
        <v>39219696.579589069</v>
      </c>
      <c r="G15" s="47">
        <f t="shared" si="0"/>
        <v>4.8854577931478262</v>
      </c>
      <c r="H15" s="297" t="e">
        <f t="shared" si="3"/>
        <v>#DIV/0!</v>
      </c>
      <c r="I15" s="295">
        <f t="shared" si="4"/>
        <v>0</v>
      </c>
      <c r="J15" s="296">
        <f t="shared" si="4"/>
        <v>0</v>
      </c>
      <c r="K15" s="46">
        <f>K80+K47+K113</f>
        <v>563547565.58719575</v>
      </c>
      <c r="L15" s="185"/>
      <c r="M15" s="185"/>
      <c r="O15" s="218"/>
    </row>
    <row r="16" spans="1:15" x14ac:dyDescent="0.35">
      <c r="A16" s="43" t="s">
        <v>27</v>
      </c>
      <c r="B16" s="10" t="s">
        <v>26</v>
      </c>
      <c r="C16" s="10" t="s">
        <v>14</v>
      </c>
      <c r="D16" s="50">
        <v>0.37</v>
      </c>
      <c r="E16" s="49">
        <f t="shared" si="2"/>
        <v>115444801.36907181</v>
      </c>
      <c r="F16" s="48">
        <f t="shared" si="5"/>
        <v>42714576.506556571</v>
      </c>
      <c r="G16" s="47">
        <f t="shared" si="0"/>
        <v>4.8855663558881108</v>
      </c>
      <c r="H16" s="297" t="e">
        <f t="shared" si="3"/>
        <v>#DIV/0!</v>
      </c>
      <c r="I16" s="295">
        <f t="shared" si="4"/>
        <v>0</v>
      </c>
      <c r="J16" s="296">
        <f t="shared" si="4"/>
        <v>0</v>
      </c>
      <c r="K16" s="46">
        <f t="shared" si="1"/>
        <v>564013237.53092301</v>
      </c>
      <c r="L16" s="185"/>
      <c r="M16" s="185"/>
      <c r="O16" s="218"/>
    </row>
    <row r="17" spans="1:15" x14ac:dyDescent="0.35">
      <c r="A17" s="43" t="s">
        <v>28</v>
      </c>
      <c r="B17" s="43" t="s">
        <v>27</v>
      </c>
      <c r="C17" s="10" t="s">
        <v>14</v>
      </c>
      <c r="D17" s="50">
        <v>0.4</v>
      </c>
      <c r="E17" s="49">
        <f t="shared" si="2"/>
        <v>116128439.89725208</v>
      </c>
      <c r="F17" s="48">
        <f>D17*E17</f>
        <v>46451375.958900839</v>
      </c>
      <c r="G17" s="47">
        <f t="shared" si="0"/>
        <v>4.886367469367725</v>
      </c>
      <c r="H17" s="297" t="e">
        <f t="shared" si="3"/>
        <v>#DIV/0!</v>
      </c>
      <c r="I17" s="295">
        <f t="shared" si="4"/>
        <v>0</v>
      </c>
      <c r="J17" s="296">
        <f t="shared" si="4"/>
        <v>0</v>
      </c>
      <c r="K17" s="46">
        <f t="shared" si="1"/>
        <v>567446230.98235762</v>
      </c>
      <c r="L17" s="185"/>
      <c r="M17" s="185"/>
      <c r="O17" s="218"/>
    </row>
    <row r="18" spans="1:15" x14ac:dyDescent="0.35">
      <c r="A18" s="43" t="s">
        <v>29</v>
      </c>
      <c r="B18" s="43" t="s">
        <v>28</v>
      </c>
      <c r="C18" s="10" t="s">
        <v>14</v>
      </c>
      <c r="D18" s="50">
        <v>0.40902608000000001</v>
      </c>
      <c r="E18" s="49">
        <f t="shared" si="2"/>
        <v>116772618.43303859</v>
      </c>
      <c r="F18" s="48">
        <f t="shared" si="5"/>
        <v>47763046.369001523</v>
      </c>
      <c r="G18" s="47">
        <f t="shared" si="0"/>
        <v>4.8871192254907125</v>
      </c>
      <c r="H18" s="297" t="e">
        <f t="shared" si="3"/>
        <v>#DIV/0!</v>
      </c>
      <c r="I18" s="295">
        <f t="shared" si="4"/>
        <v>0</v>
      </c>
      <c r="J18" s="296">
        <f t="shared" si="4"/>
        <v>0</v>
      </c>
      <c r="K18" s="46">
        <f t="shared" si="1"/>
        <v>570681708.55499411</v>
      </c>
      <c r="L18" s="185"/>
      <c r="M18" s="185"/>
      <c r="O18" s="218"/>
    </row>
    <row r="19" spans="1:15" x14ac:dyDescent="0.35">
      <c r="A19" s="10" t="s">
        <v>30</v>
      </c>
      <c r="B19" s="10" t="s">
        <v>29</v>
      </c>
      <c r="C19" s="10" t="s">
        <v>14</v>
      </c>
      <c r="D19" s="50">
        <v>0.41825583530041599</v>
      </c>
      <c r="E19" s="49">
        <f t="shared" si="2"/>
        <v>117528902.61606564</v>
      </c>
      <c r="F19" s="48">
        <f t="shared" si="5"/>
        <v>49157149.335623778</v>
      </c>
      <c r="G19" s="47">
        <f t="shared" si="0"/>
        <v>4.8879898815184388</v>
      </c>
      <c r="H19" s="297" t="e">
        <f t="shared" si="3"/>
        <v>#DIV/0!</v>
      </c>
      <c r="I19" s="295">
        <f t="shared" si="4"/>
        <v>0</v>
      </c>
      <c r="J19" s="296">
        <f t="shared" si="4"/>
        <v>0</v>
      </c>
      <c r="K19" s="46">
        <f t="shared" si="1"/>
        <v>574480086.77329481</v>
      </c>
      <c r="L19" s="185"/>
      <c r="M19" s="185"/>
      <c r="O19" s="218"/>
    </row>
    <row r="20" spans="1:15" x14ac:dyDescent="0.35">
      <c r="A20" s="10" t="s">
        <v>31</v>
      </c>
      <c r="B20" s="10" t="s">
        <v>30</v>
      </c>
      <c r="C20" s="10" t="s">
        <v>14</v>
      </c>
      <c r="D20" s="50">
        <v>0.42769386187513697</v>
      </c>
      <c r="E20" s="49">
        <f t="shared" si="2"/>
        <v>117893798.69128877</v>
      </c>
      <c r="F20" s="48">
        <f t="shared" si="5"/>
        <v>50422454.053407259</v>
      </c>
      <c r="G20" s="47">
        <f t="shared" si="0"/>
        <v>4.888409805628843</v>
      </c>
      <c r="H20" s="297" t="e">
        <f t="shared" si="3"/>
        <v>#DIV/0!</v>
      </c>
      <c r="I20" s="295">
        <f t="shared" si="4"/>
        <v>0</v>
      </c>
      <c r="J20" s="296">
        <f t="shared" si="4"/>
        <v>0</v>
      </c>
      <c r="K20" s="46">
        <f t="shared" si="1"/>
        <v>576313201.54532886</v>
      </c>
      <c r="L20" s="185"/>
      <c r="M20" s="185"/>
      <c r="O20" s="218"/>
    </row>
    <row r="21" spans="1:15" x14ac:dyDescent="0.35">
      <c r="A21" s="10" t="s">
        <v>32</v>
      </c>
      <c r="B21" s="10" t="s">
        <v>31</v>
      </c>
      <c r="C21" s="10" t="s">
        <v>14</v>
      </c>
      <c r="D21" s="50">
        <v>0.43734485940712181</v>
      </c>
      <c r="E21" s="49">
        <f t="shared" si="2"/>
        <v>118486356.65467341</v>
      </c>
      <c r="F21" s="48">
        <f t="shared" si="5"/>
        <v>51819398.992800236</v>
      </c>
      <c r="G21" s="47">
        <f t="shared" si="0"/>
        <v>4.8890843609008607</v>
      </c>
      <c r="H21" s="297" t="e">
        <f t="shared" si="3"/>
        <v>#DIV/0!</v>
      </c>
      <c r="I21" s="295">
        <f t="shared" si="4"/>
        <v>0</v>
      </c>
      <c r="J21" s="296">
        <f t="shared" si="4"/>
        <v>0</v>
      </c>
      <c r="K21" s="46">
        <f t="shared" si="1"/>
        <v>579289793.30048537</v>
      </c>
      <c r="L21" s="185"/>
      <c r="M21" s="185"/>
      <c r="O21" s="218"/>
    </row>
    <row r="22" spans="1:15" x14ac:dyDescent="0.35">
      <c r="A22" s="10" t="s">
        <v>33</v>
      </c>
      <c r="B22" s="10" t="s">
        <v>32</v>
      </c>
      <c r="C22" s="10" t="s">
        <v>14</v>
      </c>
      <c r="D22" s="50">
        <v>0.44721363362861538</v>
      </c>
      <c r="E22" s="49">
        <f t="shared" si="2"/>
        <v>118921146.03699698</v>
      </c>
      <c r="F22" s="48">
        <f t="shared" si="5"/>
        <v>53183157.834484629</v>
      </c>
      <c r="G22" s="47">
        <f t="shared" si="0"/>
        <v>4.8895735873058612</v>
      </c>
      <c r="H22" s="297" t="e">
        <f t="shared" si="3"/>
        <v>#DIV/0!</v>
      </c>
      <c r="I22" s="295">
        <f t="shared" si="4"/>
        <v>0</v>
      </c>
      <c r="J22" s="296">
        <f t="shared" si="4"/>
        <v>0</v>
      </c>
      <c r="K22" s="46">
        <f t="shared" si="1"/>
        <v>581473694.63464355</v>
      </c>
      <c r="L22" s="185"/>
      <c r="M22" s="185"/>
      <c r="O22" s="218"/>
    </row>
    <row r="23" spans="1:15" x14ac:dyDescent="0.35">
      <c r="A23" s="10" t="s">
        <v>34</v>
      </c>
      <c r="B23" s="10" t="s">
        <v>33</v>
      </c>
      <c r="C23" s="10" t="s">
        <v>14</v>
      </c>
      <c r="D23" s="50">
        <v>0.45730509871417185</v>
      </c>
      <c r="E23" s="49">
        <f t="shared" si="2"/>
        <v>119438458.76329821</v>
      </c>
      <c r="F23" s="48">
        <f t="shared" si="5"/>
        <v>54619816.175018631</v>
      </c>
      <c r="G23" s="47">
        <f t="shared" si="0"/>
        <v>4.8901528712652684</v>
      </c>
      <c r="H23" s="297" t="e">
        <f t="shared" si="3"/>
        <v>#DIV/0!</v>
      </c>
      <c r="I23" s="295">
        <f t="shared" si="4"/>
        <v>0</v>
      </c>
      <c r="J23" s="296">
        <f t="shared" si="4"/>
        <v>0</v>
      </c>
      <c r="K23" s="46">
        <f t="shared" si="1"/>
        <v>584072322.06084108</v>
      </c>
      <c r="L23" s="185"/>
      <c r="M23" s="185"/>
      <c r="O23" s="218"/>
    </row>
    <row r="24" spans="1:15" x14ac:dyDescent="0.35">
      <c r="A24" s="10" t="s">
        <v>35</v>
      </c>
      <c r="B24" s="10" t="s">
        <v>34</v>
      </c>
      <c r="C24" s="10" t="s">
        <v>14</v>
      </c>
      <c r="D24" s="50">
        <v>0.46762427972767689</v>
      </c>
      <c r="E24" s="49">
        <f t="shared" si="2"/>
        <v>119687558.50863524</v>
      </c>
      <c r="F24" s="48">
        <f t="shared" si="5"/>
        <v>55968808.33996474</v>
      </c>
      <c r="G24" s="47">
        <f t="shared" si="0"/>
        <v>4.8904272036549443</v>
      </c>
      <c r="H24" s="297" t="e">
        <f t="shared" si="3"/>
        <v>#DIV/0!</v>
      </c>
      <c r="I24" s="295">
        <f t="shared" si="4"/>
        <v>0</v>
      </c>
      <c r="J24" s="296">
        <f t="shared" si="4"/>
        <v>0</v>
      </c>
      <c r="K24" s="46">
        <f t="shared" si="1"/>
        <v>585323292.06967258</v>
      </c>
      <c r="L24" s="185"/>
      <c r="M24" s="185"/>
      <c r="O24" s="218"/>
    </row>
    <row r="25" spans="1:15" x14ac:dyDescent="0.35">
      <c r="A25" s="10" t="s">
        <v>36</v>
      </c>
      <c r="B25" s="10" t="s">
        <v>35</v>
      </c>
      <c r="C25" s="10" t="s">
        <v>14</v>
      </c>
      <c r="D25" s="50">
        <v>0.47817631512458791</v>
      </c>
      <c r="E25" s="49">
        <f t="shared" si="2"/>
        <v>120238640.29400086</v>
      </c>
      <c r="F25" s="48">
        <f t="shared" si="5"/>
        <v>57495269.951376133</v>
      </c>
      <c r="G25" s="47">
        <f t="shared" si="0"/>
        <v>4.8910376684966961</v>
      </c>
      <c r="H25" s="297" t="e">
        <f t="shared" si="3"/>
        <v>#DIV/0!</v>
      </c>
      <c r="I25" s="295">
        <f t="shared" si="4"/>
        <v>0</v>
      </c>
      <c r="J25" s="296">
        <f t="shared" si="4"/>
        <v>0</v>
      </c>
      <c r="K25" s="46">
        <f t="shared" si="1"/>
        <v>588091718.88678288</v>
      </c>
      <c r="L25" s="185"/>
      <c r="M25" s="185"/>
      <c r="O25" s="218"/>
    </row>
    <row r="26" spans="1:15" x14ac:dyDescent="0.35">
      <c r="A26" s="10" t="s">
        <v>37</v>
      </c>
      <c r="B26" s="10" t="s">
        <v>36</v>
      </c>
      <c r="C26" s="10" t="s">
        <v>14</v>
      </c>
      <c r="D26" s="50">
        <v>0.48896645931063754</v>
      </c>
      <c r="E26" s="49">
        <f t="shared" si="2"/>
        <v>120686452.29894094</v>
      </c>
      <c r="F26" s="48">
        <f t="shared" si="5"/>
        <v>59011627.267375305</v>
      </c>
      <c r="G26" s="47">
        <v>4.8906096307934241</v>
      </c>
      <c r="H26" s="297" t="e">
        <f t="shared" si="3"/>
        <v>#DIV/0!</v>
      </c>
      <c r="I26" s="295">
        <f t="shared" si="4"/>
        <v>0</v>
      </c>
      <c r="J26" s="296">
        <f t="shared" si="4"/>
        <v>0</v>
      </c>
      <c r="K26" s="46">
        <f t="shared" si="1"/>
        <v>590341290.77324343</v>
      </c>
      <c r="L26" s="185"/>
      <c r="M26" s="185"/>
      <c r="O26" s="218"/>
    </row>
    <row r="27" spans="1:15" x14ac:dyDescent="0.35">
      <c r="A27" s="10" t="s">
        <v>38</v>
      </c>
      <c r="B27" s="10" t="s">
        <v>37</v>
      </c>
      <c r="C27" s="10" t="s">
        <v>14</v>
      </c>
      <c r="D27" s="50">
        <v>0.50000008525827411</v>
      </c>
      <c r="E27" s="49">
        <f t="shared" si="2"/>
        <v>121221161.66351463</v>
      </c>
      <c r="F27" s="48">
        <f t="shared" si="5"/>
        <v>60610591.166864343</v>
      </c>
      <c r="G27" s="47">
        <v>4.8906096307934241</v>
      </c>
      <c r="H27" s="297" t="e">
        <f t="shared" si="3"/>
        <v>#DIV/0!</v>
      </c>
      <c r="I27" s="295">
        <f t="shared" si="4"/>
        <v>0</v>
      </c>
      <c r="J27" s="296">
        <f t="shared" si="4"/>
        <v>0</v>
      </c>
      <c r="K27" s="46">
        <f t="shared" si="1"/>
        <v>593027557.04729199</v>
      </c>
      <c r="L27" s="185"/>
      <c r="M27" s="185"/>
      <c r="O27" s="218"/>
    </row>
    <row r="28" spans="1:15" x14ac:dyDescent="0.35">
      <c r="A28" s="10" t="s">
        <v>39</v>
      </c>
      <c r="B28" s="10" t="s">
        <v>38</v>
      </c>
      <c r="C28" s="10" t="s">
        <v>14</v>
      </c>
      <c r="D28" s="50">
        <v>0.5</v>
      </c>
      <c r="E28" s="49">
        <f t="shared" si="2"/>
        <v>121589216.69504304</v>
      </c>
      <c r="F28" s="48">
        <f t="shared" si="5"/>
        <v>60794608.347521521</v>
      </c>
      <c r="G28" s="47">
        <v>4.8906096307934241</v>
      </c>
      <c r="H28" s="297" t="e">
        <f t="shared" si="3"/>
        <v>#DIV/0!</v>
      </c>
      <c r="I28" s="295">
        <f t="shared" si="4"/>
        <v>0</v>
      </c>
      <c r="J28" s="296">
        <f t="shared" si="4"/>
        <v>0</v>
      </c>
      <c r="K28" s="46">
        <f t="shared" si="1"/>
        <v>594876468.72458827</v>
      </c>
      <c r="L28" s="185"/>
    </row>
    <row r="29" spans="1:15" x14ac:dyDescent="0.35">
      <c r="A29" s="10" t="s">
        <v>40</v>
      </c>
      <c r="B29" s="10" t="s">
        <v>39</v>
      </c>
      <c r="C29" s="10" t="s">
        <v>14</v>
      </c>
      <c r="D29" s="50">
        <v>0.5</v>
      </c>
      <c r="E29" s="49">
        <f t="shared" si="2"/>
        <v>121964101.55949385</v>
      </c>
      <c r="F29" s="48">
        <f t="shared" si="5"/>
        <v>60982050.779746927</v>
      </c>
      <c r="G29" s="47">
        <v>4.8906096307934241</v>
      </c>
      <c r="H29" s="297" t="e">
        <f t="shared" si="3"/>
        <v>#DIV/0!</v>
      </c>
      <c r="I29" s="295">
        <f t="shared" si="4"/>
        <v>0</v>
      </c>
      <c r="J29" s="296">
        <f t="shared" si="4"/>
        <v>0</v>
      </c>
      <c r="K29" s="46">
        <f t="shared" si="1"/>
        <v>596759748.58640218</v>
      </c>
      <c r="L29" s="185"/>
    </row>
    <row r="33" spans="1:12" x14ac:dyDescent="0.35">
      <c r="A33" s="1" t="s">
        <v>41</v>
      </c>
    </row>
    <row r="34" spans="1:12" ht="43.5" x14ac:dyDescent="0.35">
      <c r="A34" s="15" t="s">
        <v>1</v>
      </c>
      <c r="B34" s="15" t="s">
        <v>2</v>
      </c>
      <c r="C34" s="15" t="s">
        <v>3</v>
      </c>
      <c r="D34" s="15" t="s">
        <v>4</v>
      </c>
      <c r="E34" s="209" t="s">
        <v>42</v>
      </c>
      <c r="F34" s="15" t="s">
        <v>6</v>
      </c>
      <c r="G34" s="15" t="s">
        <v>7</v>
      </c>
      <c r="H34" s="15" t="s">
        <v>8</v>
      </c>
      <c r="I34" s="15" t="s">
        <v>9</v>
      </c>
      <c r="J34" s="15" t="s">
        <v>10</v>
      </c>
      <c r="K34" s="15" t="s">
        <v>11</v>
      </c>
    </row>
    <row r="35" spans="1:12" x14ac:dyDescent="0.35">
      <c r="A35" s="51"/>
      <c r="B35" s="51"/>
      <c r="C35" s="51"/>
      <c r="D35" s="51"/>
      <c r="E35" s="51"/>
      <c r="F35" s="51"/>
      <c r="G35" s="51"/>
      <c r="H35" s="51"/>
      <c r="I35" s="51"/>
      <c r="J35" s="51"/>
      <c r="K35" s="51"/>
    </row>
    <row r="36" spans="1:12" x14ac:dyDescent="0.35">
      <c r="A36" s="43" t="s">
        <v>12</v>
      </c>
      <c r="B36" s="43" t="s">
        <v>13</v>
      </c>
      <c r="C36" s="10" t="s">
        <v>41</v>
      </c>
      <c r="D36" s="50">
        <v>0.13</v>
      </c>
      <c r="E36" s="69">
        <v>21152969.5</v>
      </c>
      <c r="F36" s="48">
        <f t="shared" ref="F36:F61" si="6">D36*E36</f>
        <v>2749886.0350000001</v>
      </c>
      <c r="G36" s="54">
        <v>1.8053999999999999</v>
      </c>
      <c r="H36" s="54"/>
      <c r="I36" s="54"/>
      <c r="J36" s="54"/>
      <c r="K36" s="46">
        <f>E36*G36</f>
        <v>38189571.135299996</v>
      </c>
    </row>
    <row r="37" spans="1:12" x14ac:dyDescent="0.35">
      <c r="A37" s="10" t="s">
        <v>15</v>
      </c>
      <c r="B37" s="10" t="s">
        <v>12</v>
      </c>
      <c r="C37" s="10" t="s">
        <v>41</v>
      </c>
      <c r="D37" s="50">
        <v>0.14499999999999999</v>
      </c>
      <c r="E37" s="69">
        <v>29995819.886929087</v>
      </c>
      <c r="F37" s="48">
        <f t="shared" si="6"/>
        <v>4349393.8836047174</v>
      </c>
      <c r="G37" s="54">
        <v>1.8053999999999999</v>
      </c>
      <c r="H37" s="54"/>
      <c r="I37" s="54"/>
      <c r="J37" s="54"/>
      <c r="K37" s="46">
        <f>E37*G37</f>
        <v>54154453.223861769</v>
      </c>
    </row>
    <row r="38" spans="1:12" x14ac:dyDescent="0.35">
      <c r="A38" s="10" t="s">
        <v>16</v>
      </c>
      <c r="B38" s="10" t="s">
        <v>15</v>
      </c>
      <c r="C38" s="10" t="s">
        <v>41</v>
      </c>
      <c r="D38" s="50">
        <v>0.16</v>
      </c>
      <c r="E38" s="69">
        <v>36810006</v>
      </c>
      <c r="F38" s="48">
        <f t="shared" si="6"/>
        <v>5889600.96</v>
      </c>
      <c r="G38" s="54">
        <v>1.8053999999999999</v>
      </c>
      <c r="H38" s="54"/>
      <c r="I38" s="54"/>
      <c r="J38" s="54"/>
      <c r="K38" s="46">
        <f>E38*G38</f>
        <v>66456784.832399994</v>
      </c>
    </row>
    <row r="39" spans="1:12" x14ac:dyDescent="0.35">
      <c r="A39" s="10" t="s">
        <v>17</v>
      </c>
      <c r="B39" s="10" t="s">
        <v>16</v>
      </c>
      <c r="C39" s="10" t="s">
        <v>41</v>
      </c>
      <c r="D39" s="50">
        <v>0.17500000000000004</v>
      </c>
      <c r="E39" s="69">
        <f>35620834882/1000</f>
        <v>35620834.881999999</v>
      </c>
      <c r="F39" s="48">
        <f t="shared" si="6"/>
        <v>6233646.1043500016</v>
      </c>
      <c r="G39" s="54">
        <v>1.8053999999999999</v>
      </c>
      <c r="H39" s="54"/>
      <c r="I39" s="54"/>
      <c r="J39" s="54"/>
      <c r="K39" s="46">
        <f>E39*G39</f>
        <v>64309855.295962796</v>
      </c>
    </row>
    <row r="40" spans="1:12" x14ac:dyDescent="0.35">
      <c r="A40" s="10" t="s">
        <v>18</v>
      </c>
      <c r="B40" s="10" t="s">
        <v>17</v>
      </c>
      <c r="C40" s="10" t="s">
        <v>41</v>
      </c>
      <c r="D40" s="50">
        <v>0.19000000000000006</v>
      </c>
      <c r="E40" s="69">
        <v>35458611</v>
      </c>
      <c r="F40" s="48">
        <f t="shared" si="6"/>
        <v>6737136.0900000017</v>
      </c>
      <c r="G40" s="61">
        <f>(G39*(1/3))+(G41*(2/3))</f>
        <v>3.652133333333333</v>
      </c>
      <c r="H40" s="61"/>
      <c r="I40" s="61"/>
      <c r="J40" s="61"/>
      <c r="K40" s="46">
        <f>E40*G40</f>
        <v>129499575.18679999</v>
      </c>
    </row>
    <row r="41" spans="1:12" x14ac:dyDescent="0.35">
      <c r="A41" s="10" t="s">
        <v>19</v>
      </c>
      <c r="B41" s="10" t="s">
        <v>18</v>
      </c>
      <c r="C41" s="10" t="s">
        <v>41</v>
      </c>
      <c r="D41" s="50">
        <v>0.20500000000000007</v>
      </c>
      <c r="E41" s="69">
        <v>35074493</v>
      </c>
      <c r="F41" s="48">
        <f t="shared" si="6"/>
        <v>7190271.0650000023</v>
      </c>
      <c r="G41" s="54">
        <v>4.5754999999999999</v>
      </c>
      <c r="H41" s="54"/>
      <c r="I41" s="54"/>
      <c r="J41" s="54"/>
      <c r="K41" s="46">
        <f t="shared" ref="K41:K61" si="7">G41*E41</f>
        <v>160483342.72150001</v>
      </c>
    </row>
    <row r="42" spans="1:12" x14ac:dyDescent="0.35">
      <c r="A42" s="43" t="s">
        <v>20</v>
      </c>
      <c r="B42" s="10" t="s">
        <v>19</v>
      </c>
      <c r="C42" s="10" t="s">
        <v>41</v>
      </c>
      <c r="D42" s="50">
        <v>0.22000000000000008</v>
      </c>
      <c r="E42" s="69">
        <f>34318518.792809</f>
        <v>34318518.792809002</v>
      </c>
      <c r="F42" s="48">
        <f t="shared" si="6"/>
        <v>7550074.1344179837</v>
      </c>
      <c r="G42" s="54">
        <v>4.5754999999999999</v>
      </c>
      <c r="H42" s="245">
        <v>0.31391599999999997</v>
      </c>
      <c r="I42" s="13">
        <v>500000</v>
      </c>
      <c r="J42" s="28">
        <f>H42*I42</f>
        <v>156958</v>
      </c>
      <c r="K42" s="299">
        <f>(G42*E42)-J42</f>
        <v>156867424.73649758</v>
      </c>
      <c r="L42" s="31"/>
    </row>
    <row r="43" spans="1:12" x14ac:dyDescent="0.35">
      <c r="A43" s="43" t="s">
        <v>22</v>
      </c>
      <c r="B43" s="43" t="s">
        <v>20</v>
      </c>
      <c r="C43" s="10" t="s">
        <v>41</v>
      </c>
      <c r="D43" s="50">
        <v>0.2350000000000001</v>
      </c>
      <c r="E43" s="69">
        <v>33963264.598822832</v>
      </c>
      <c r="F43" s="48">
        <f t="shared" si="6"/>
        <v>7981367.1807233691</v>
      </c>
      <c r="G43" s="54">
        <v>4.5754999999999999</v>
      </c>
      <c r="H43" s="54"/>
      <c r="I43" s="54"/>
      <c r="J43" s="54"/>
      <c r="K43" s="46">
        <f t="shared" si="7"/>
        <v>155398917.17191386</v>
      </c>
    </row>
    <row r="44" spans="1:12" x14ac:dyDescent="0.35">
      <c r="A44" s="43" t="s">
        <v>23</v>
      </c>
      <c r="B44" s="43" t="s">
        <v>22</v>
      </c>
      <c r="C44" s="10" t="s">
        <v>41</v>
      </c>
      <c r="D44" s="50">
        <v>0.25000000000000011</v>
      </c>
      <c r="E44" s="69">
        <v>33546577.545502201</v>
      </c>
      <c r="F44" s="48">
        <f t="shared" si="6"/>
        <v>8386644.3863755539</v>
      </c>
      <c r="G44" s="54">
        <v>4.5754999999999999</v>
      </c>
      <c r="H44" s="54"/>
      <c r="I44" s="54"/>
      <c r="J44" s="54"/>
      <c r="K44" s="46">
        <f t="shared" si="7"/>
        <v>153492365.55944532</v>
      </c>
      <c r="L44" s="31"/>
    </row>
    <row r="45" spans="1:12" x14ac:dyDescent="0.35">
      <c r="A45" s="10" t="s">
        <v>24</v>
      </c>
      <c r="B45" s="10" t="s">
        <v>23</v>
      </c>
      <c r="C45" s="10" t="s">
        <v>41</v>
      </c>
      <c r="D45" s="50">
        <v>0.28000000000000003</v>
      </c>
      <c r="E45" s="69">
        <v>33164501.805676758</v>
      </c>
      <c r="F45" s="48">
        <f t="shared" si="6"/>
        <v>9286060.5055894926</v>
      </c>
      <c r="G45" s="54">
        <v>4.5754999999999999</v>
      </c>
      <c r="H45" s="54"/>
      <c r="I45" s="54"/>
      <c r="J45" s="54"/>
      <c r="K45" s="46">
        <f t="shared" si="7"/>
        <v>151744178.01187399</v>
      </c>
    </row>
    <row r="46" spans="1:12" x14ac:dyDescent="0.35">
      <c r="A46" s="10" t="s">
        <v>25</v>
      </c>
      <c r="B46" s="10" t="s">
        <v>24</v>
      </c>
      <c r="C46" s="10" t="s">
        <v>41</v>
      </c>
      <c r="D46" s="50">
        <v>0.31</v>
      </c>
      <c r="E46" s="69">
        <v>32936208.175366048</v>
      </c>
      <c r="F46" s="48">
        <f t="shared" si="6"/>
        <v>10210224.534363475</v>
      </c>
      <c r="G46" s="54">
        <v>4.5754999999999999</v>
      </c>
      <c r="H46" s="54"/>
      <c r="I46" s="54"/>
      <c r="J46" s="54"/>
      <c r="K46" s="46">
        <f t="shared" si="7"/>
        <v>150699620.50638735</v>
      </c>
    </row>
    <row r="47" spans="1:12" x14ac:dyDescent="0.35">
      <c r="A47" s="10" t="s">
        <v>26</v>
      </c>
      <c r="B47" s="10" t="s">
        <v>25</v>
      </c>
      <c r="C47" s="10" t="s">
        <v>41</v>
      </c>
      <c r="D47" s="50">
        <v>0.34</v>
      </c>
      <c r="E47" s="69">
        <v>32936208.175366048</v>
      </c>
      <c r="F47" s="48">
        <f t="shared" si="6"/>
        <v>11198310.779624457</v>
      </c>
      <c r="G47" s="54">
        <v>4.5754999999999999</v>
      </c>
      <c r="H47" s="54"/>
      <c r="I47" s="54"/>
      <c r="J47" s="54"/>
      <c r="K47" s="46">
        <f t="shared" si="7"/>
        <v>150699620.50638735</v>
      </c>
    </row>
    <row r="48" spans="1:12" x14ac:dyDescent="0.35">
      <c r="A48" s="43" t="s">
        <v>27</v>
      </c>
      <c r="B48" s="10" t="s">
        <v>26</v>
      </c>
      <c r="C48" s="10" t="s">
        <v>41</v>
      </c>
      <c r="D48" s="50">
        <v>0.37</v>
      </c>
      <c r="E48" s="69">
        <v>32936208.175366048</v>
      </c>
      <c r="F48" s="48">
        <f t="shared" si="6"/>
        <v>12186397.024885438</v>
      </c>
      <c r="G48" s="54">
        <v>4.5754999999999999</v>
      </c>
      <c r="H48" s="54"/>
      <c r="I48" s="54"/>
      <c r="J48" s="54"/>
      <c r="K48" s="46">
        <f t="shared" si="7"/>
        <v>150699620.50638735</v>
      </c>
    </row>
    <row r="49" spans="1:13" x14ac:dyDescent="0.35">
      <c r="A49" s="43" t="s">
        <v>28</v>
      </c>
      <c r="B49" s="43" t="s">
        <v>27</v>
      </c>
      <c r="C49" s="10" t="s">
        <v>41</v>
      </c>
      <c r="D49" s="50">
        <v>0.4</v>
      </c>
      <c r="E49" s="69">
        <v>32936208.175366048</v>
      </c>
      <c r="F49" s="48">
        <f t="shared" si="6"/>
        <v>13174483.27014642</v>
      </c>
      <c r="G49" s="54">
        <v>4.5754999999999999</v>
      </c>
      <c r="H49" s="54"/>
      <c r="I49" s="54"/>
      <c r="J49" s="54"/>
      <c r="K49" s="46">
        <f t="shared" si="7"/>
        <v>150699620.50638735</v>
      </c>
    </row>
    <row r="50" spans="1:13" x14ac:dyDescent="0.35">
      <c r="A50" s="43" t="s">
        <v>29</v>
      </c>
      <c r="B50" s="43" t="s">
        <v>28</v>
      </c>
      <c r="C50" s="10" t="s">
        <v>41</v>
      </c>
      <c r="D50" s="50">
        <v>0.40902608000000001</v>
      </c>
      <c r="E50" s="69">
        <v>32936208.175366048</v>
      </c>
      <c r="F50" s="48">
        <f t="shared" si="6"/>
        <v>13471768.120033927</v>
      </c>
      <c r="G50" s="54">
        <v>4.5754999999999999</v>
      </c>
      <c r="H50" s="54"/>
      <c r="I50" s="54"/>
      <c r="J50" s="54"/>
      <c r="K50" s="46">
        <f>G50*E50</f>
        <v>150699620.50638735</v>
      </c>
    </row>
    <row r="51" spans="1:13" x14ac:dyDescent="0.35">
      <c r="A51" s="10" t="s">
        <v>30</v>
      </c>
      <c r="B51" s="10" t="s">
        <v>29</v>
      </c>
      <c r="C51" s="10" t="s">
        <v>41</v>
      </c>
      <c r="D51" s="50">
        <v>0.41825583530041599</v>
      </c>
      <c r="E51" s="69">
        <v>32936208.175366048</v>
      </c>
      <c r="F51" s="48">
        <f t="shared" si="6"/>
        <v>13775761.262016116</v>
      </c>
      <c r="G51" s="54">
        <v>4.5754999999999999</v>
      </c>
      <c r="H51" s="54"/>
      <c r="I51" s="54"/>
      <c r="J51" s="54"/>
      <c r="K51" s="46">
        <f t="shared" si="7"/>
        <v>150699620.50638735</v>
      </c>
    </row>
    <row r="52" spans="1:13" x14ac:dyDescent="0.35">
      <c r="A52" s="10" t="s">
        <v>31</v>
      </c>
      <c r="B52" s="10" t="s">
        <v>30</v>
      </c>
      <c r="C52" s="10" t="s">
        <v>41</v>
      </c>
      <c r="D52" s="50">
        <v>0.42769386187513697</v>
      </c>
      <c r="E52" s="69">
        <v>32936208.175366048</v>
      </c>
      <c r="F52" s="48">
        <f t="shared" si="6"/>
        <v>14086614.070045764</v>
      </c>
      <c r="G52" s="54">
        <v>4.5754999999999999</v>
      </c>
      <c r="H52" s="54"/>
      <c r="I52" s="54"/>
      <c r="J52" s="54"/>
      <c r="K52" s="46">
        <f t="shared" si="7"/>
        <v>150699620.50638735</v>
      </c>
    </row>
    <row r="53" spans="1:13" x14ac:dyDescent="0.35">
      <c r="A53" s="10" t="s">
        <v>32</v>
      </c>
      <c r="B53" s="10" t="s">
        <v>31</v>
      </c>
      <c r="C53" s="10" t="s">
        <v>41</v>
      </c>
      <c r="D53" s="50">
        <v>0.43734485940712181</v>
      </c>
      <c r="E53" s="69">
        <v>32936208.175366048</v>
      </c>
      <c r="F53" s="48">
        <f t="shared" si="6"/>
        <v>14404481.333859161</v>
      </c>
      <c r="G53" s="54">
        <v>4.5754999999999999</v>
      </c>
      <c r="H53" s="54"/>
      <c r="I53" s="54"/>
      <c r="J53" s="54"/>
      <c r="K53" s="46">
        <f t="shared" si="7"/>
        <v>150699620.50638735</v>
      </c>
    </row>
    <row r="54" spans="1:13" x14ac:dyDescent="0.35">
      <c r="A54" s="10" t="s">
        <v>33</v>
      </c>
      <c r="B54" s="10" t="s">
        <v>32</v>
      </c>
      <c r="C54" s="10" t="s">
        <v>41</v>
      </c>
      <c r="D54" s="50">
        <v>0.44721363362861538</v>
      </c>
      <c r="E54" s="69">
        <v>32936208.175366048</v>
      </c>
      <c r="F54" s="48">
        <f t="shared" si="6"/>
        <v>14729521.336053958</v>
      </c>
      <c r="G54" s="54">
        <v>4.5754999999999999</v>
      </c>
      <c r="H54" s="54"/>
      <c r="I54" s="54"/>
      <c r="J54" s="54"/>
      <c r="K54" s="46">
        <f t="shared" si="7"/>
        <v>150699620.50638735</v>
      </c>
    </row>
    <row r="55" spans="1:13" x14ac:dyDescent="0.35">
      <c r="A55" s="10" t="s">
        <v>34</v>
      </c>
      <c r="B55" s="10" t="s">
        <v>33</v>
      </c>
      <c r="C55" s="10" t="s">
        <v>41</v>
      </c>
      <c r="D55" s="50">
        <v>0.45730509871417185</v>
      </c>
      <c r="E55" s="69">
        <v>32936208.175366048</v>
      </c>
      <c r="F55" s="48">
        <f t="shared" si="6"/>
        <v>15061895.930906285</v>
      </c>
      <c r="G55" s="54">
        <v>4.5754999999999999</v>
      </c>
      <c r="H55" s="54"/>
      <c r="I55" s="54"/>
      <c r="J55" s="54"/>
      <c r="K55" s="46">
        <f t="shared" si="7"/>
        <v>150699620.50638735</v>
      </c>
      <c r="M55" s="72"/>
    </row>
    <row r="56" spans="1:13" x14ac:dyDescent="0.35">
      <c r="A56" s="10" t="s">
        <v>35</v>
      </c>
      <c r="B56" s="10" t="s">
        <v>34</v>
      </c>
      <c r="C56" s="10" t="s">
        <v>41</v>
      </c>
      <c r="D56" s="50">
        <v>0.46762427972767689</v>
      </c>
      <c r="E56" s="69">
        <v>32936208.175366048</v>
      </c>
      <c r="F56" s="48">
        <f t="shared" si="6"/>
        <v>15401770.624966372</v>
      </c>
      <c r="G56" s="54">
        <v>4.5754999999999999</v>
      </c>
      <c r="H56" s="54"/>
      <c r="I56" s="54"/>
      <c r="J56" s="54"/>
      <c r="K56" s="46">
        <f t="shared" si="7"/>
        <v>150699620.50638735</v>
      </c>
      <c r="M56" s="72"/>
    </row>
    <row r="57" spans="1:13" x14ac:dyDescent="0.35">
      <c r="A57" s="10" t="s">
        <v>36</v>
      </c>
      <c r="B57" s="10" t="s">
        <v>35</v>
      </c>
      <c r="C57" s="10" t="s">
        <v>41</v>
      </c>
      <c r="D57" s="50">
        <v>0.47817631512458803</v>
      </c>
      <c r="E57" s="69">
        <v>32936208.175366048</v>
      </c>
      <c r="F57" s="48">
        <f t="shared" si="6"/>
        <v>15749314.659472868</v>
      </c>
      <c r="G57" s="54">
        <v>4.5754999999999999</v>
      </c>
      <c r="H57" s="54"/>
      <c r="I57" s="54"/>
      <c r="J57" s="54"/>
      <c r="K57" s="46">
        <f t="shared" si="7"/>
        <v>150699620.50638735</v>
      </c>
      <c r="M57" s="72"/>
    </row>
    <row r="58" spans="1:13" x14ac:dyDescent="0.35">
      <c r="A58" s="10" t="s">
        <v>37</v>
      </c>
      <c r="B58" s="10" t="s">
        <v>36</v>
      </c>
      <c r="C58" s="10" t="s">
        <v>41</v>
      </c>
      <c r="D58" s="50">
        <v>0.48896645931063754</v>
      </c>
      <c r="E58" s="69">
        <v>32936208.175366048</v>
      </c>
      <c r="F58" s="48">
        <f t="shared" si="6"/>
        <v>16104701.09462681</v>
      </c>
      <c r="G58" s="54">
        <v>4.5754999999999999</v>
      </c>
      <c r="H58" s="54"/>
      <c r="I58" s="54"/>
      <c r="J58" s="54"/>
      <c r="K58" s="46">
        <f t="shared" si="7"/>
        <v>150699620.50638735</v>
      </c>
      <c r="M58" s="72"/>
    </row>
    <row r="59" spans="1:13" x14ac:dyDescent="0.35">
      <c r="A59" s="10" t="s">
        <v>38</v>
      </c>
      <c r="B59" s="10" t="s">
        <v>37</v>
      </c>
      <c r="C59" s="10" t="s">
        <v>41</v>
      </c>
      <c r="D59" s="50">
        <v>0.50000008525827411</v>
      </c>
      <c r="E59" s="69">
        <v>32936208.175366048</v>
      </c>
      <c r="F59" s="48">
        <f t="shared" si="6"/>
        <v>16468106.895767288</v>
      </c>
      <c r="G59" s="54">
        <v>4.5754999999999999</v>
      </c>
      <c r="H59" s="54"/>
      <c r="I59" s="54"/>
      <c r="J59" s="54"/>
      <c r="K59" s="46">
        <f t="shared" si="7"/>
        <v>150699620.50638735</v>
      </c>
      <c r="M59" s="72"/>
    </row>
    <row r="60" spans="1:13" x14ac:dyDescent="0.35">
      <c r="A60" s="10" t="s">
        <v>39</v>
      </c>
      <c r="B60" s="10" t="s">
        <v>38</v>
      </c>
      <c r="C60" s="10" t="s">
        <v>41</v>
      </c>
      <c r="D60" s="50">
        <v>0.5</v>
      </c>
      <c r="E60" s="69">
        <v>32936208.175366048</v>
      </c>
      <c r="F60" s="48">
        <f t="shared" si="6"/>
        <v>16468104.087683024</v>
      </c>
      <c r="G60" s="54">
        <v>4.5754999999999999</v>
      </c>
      <c r="H60" s="54"/>
      <c r="I60" s="54"/>
      <c r="J60" s="54"/>
      <c r="K60" s="46">
        <f t="shared" si="7"/>
        <v>150699620.50638735</v>
      </c>
      <c r="M60" s="72"/>
    </row>
    <row r="61" spans="1:13" x14ac:dyDescent="0.35">
      <c r="A61" s="10" t="s">
        <v>40</v>
      </c>
      <c r="B61" s="10" t="s">
        <v>39</v>
      </c>
      <c r="C61" s="10" t="s">
        <v>41</v>
      </c>
      <c r="D61" s="50">
        <v>0.5</v>
      </c>
      <c r="E61" s="69">
        <v>32936208.175366048</v>
      </c>
      <c r="F61" s="48">
        <f t="shared" si="6"/>
        <v>16468104.087683024</v>
      </c>
      <c r="G61" s="54">
        <v>4.5754999999999999</v>
      </c>
      <c r="H61" s="54"/>
      <c r="I61" s="54"/>
      <c r="J61" s="54"/>
      <c r="K61" s="46">
        <f t="shared" si="7"/>
        <v>150699620.50638735</v>
      </c>
      <c r="M61" s="72"/>
    </row>
    <row r="64" spans="1:13" x14ac:dyDescent="0.35">
      <c r="A64" s="52"/>
      <c r="B64" s="52"/>
      <c r="C64" s="52"/>
      <c r="D64" s="68"/>
      <c r="F64" s="67"/>
      <c r="G64" s="66"/>
      <c r="H64" s="66"/>
      <c r="I64" s="66"/>
      <c r="J64" s="66"/>
      <c r="K64" s="56"/>
    </row>
    <row r="65" spans="1:11" x14ac:dyDescent="0.35">
      <c r="A65" s="52"/>
      <c r="B65" s="52"/>
      <c r="C65" s="52"/>
      <c r="D65" s="68"/>
      <c r="E65" s="71"/>
      <c r="F65" s="67"/>
      <c r="G65" s="66"/>
      <c r="H65" s="66"/>
      <c r="I65" s="66"/>
      <c r="J65" s="66"/>
      <c r="K65" s="56"/>
    </row>
    <row r="66" spans="1:11" x14ac:dyDescent="0.35">
      <c r="A66" s="1" t="s">
        <v>43</v>
      </c>
      <c r="B66" s="53"/>
      <c r="C66" s="53"/>
      <c r="D66" s="53"/>
      <c r="E66" s="52"/>
      <c r="F66" s="52"/>
      <c r="G66" s="52"/>
      <c r="H66" s="52"/>
      <c r="I66" s="52"/>
      <c r="J66" s="52"/>
      <c r="K66" s="52"/>
    </row>
    <row r="67" spans="1:11" ht="55.5" customHeight="1" x14ac:dyDescent="0.35">
      <c r="A67" s="15" t="s">
        <v>1</v>
      </c>
      <c r="B67" s="15" t="s">
        <v>2</v>
      </c>
      <c r="C67" s="15" t="s">
        <v>3</v>
      </c>
      <c r="D67" s="15" t="s">
        <v>4</v>
      </c>
      <c r="E67" s="15" t="s">
        <v>5</v>
      </c>
      <c r="F67" s="15" t="s">
        <v>6</v>
      </c>
      <c r="G67" s="15" t="s">
        <v>7</v>
      </c>
      <c r="H67" s="15" t="s">
        <v>8</v>
      </c>
      <c r="I67" s="15" t="s">
        <v>9</v>
      </c>
      <c r="J67" s="15" t="s">
        <v>10</v>
      </c>
      <c r="K67" s="15" t="s">
        <v>11</v>
      </c>
    </row>
    <row r="68" spans="1:11" x14ac:dyDescent="0.35">
      <c r="A68" s="51"/>
      <c r="B68" s="51"/>
      <c r="C68" s="51"/>
      <c r="D68" s="51"/>
      <c r="E68" s="51"/>
      <c r="F68" s="51"/>
      <c r="G68" s="51"/>
      <c r="H68" s="51"/>
      <c r="I68" s="51"/>
      <c r="J68" s="51"/>
      <c r="K68" s="51"/>
    </row>
    <row r="69" spans="1:11" x14ac:dyDescent="0.35">
      <c r="A69" s="43" t="s">
        <v>12</v>
      </c>
      <c r="B69" s="43" t="s">
        <v>13</v>
      </c>
      <c r="C69" s="10" t="s">
        <v>43</v>
      </c>
      <c r="D69" s="50">
        <v>0.13</v>
      </c>
      <c r="E69" s="69">
        <v>54420529.400604993</v>
      </c>
      <c r="F69" s="48">
        <f t="shared" ref="F69:F94" si="8">D69*E69</f>
        <v>7074668.822078649</v>
      </c>
      <c r="G69" s="54">
        <v>1.8916999999999999</v>
      </c>
      <c r="H69" s="54"/>
      <c r="I69" s="54"/>
      <c r="J69" s="54"/>
      <c r="K69" s="46">
        <f t="shared" ref="K69:K94" si="9">G69*E69</f>
        <v>102947315.46712446</v>
      </c>
    </row>
    <row r="70" spans="1:11" x14ac:dyDescent="0.35">
      <c r="A70" s="10" t="s">
        <v>15</v>
      </c>
      <c r="B70" s="10" t="s">
        <v>12</v>
      </c>
      <c r="C70" s="10" t="s">
        <v>43</v>
      </c>
      <c r="D70" s="50">
        <v>0.14499999999999999</v>
      </c>
      <c r="E70" s="70">
        <v>71460380.10604766</v>
      </c>
      <c r="F70" s="48">
        <f t="shared" si="8"/>
        <v>10361755.11537691</v>
      </c>
      <c r="G70" s="54">
        <v>1.8916999999999999</v>
      </c>
      <c r="H70" s="54"/>
      <c r="I70" s="54"/>
      <c r="J70" s="54"/>
      <c r="K70" s="46">
        <f t="shared" si="9"/>
        <v>135181601.04661036</v>
      </c>
    </row>
    <row r="71" spans="1:11" x14ac:dyDescent="0.35">
      <c r="A71" s="10" t="s">
        <v>16</v>
      </c>
      <c r="B71" s="10" t="s">
        <v>15</v>
      </c>
      <c r="C71" s="10" t="s">
        <v>43</v>
      </c>
      <c r="D71" s="50">
        <v>0.16</v>
      </c>
      <c r="E71" s="69">
        <v>88526985.316209987</v>
      </c>
      <c r="F71" s="48">
        <f t="shared" si="8"/>
        <v>14164317.650593597</v>
      </c>
      <c r="G71" s="54">
        <v>1.8916999999999999</v>
      </c>
      <c r="H71" s="54"/>
      <c r="I71" s="54"/>
      <c r="J71" s="54"/>
      <c r="K71" s="46">
        <f t="shared" si="9"/>
        <v>167466498.12267444</v>
      </c>
    </row>
    <row r="72" spans="1:11" x14ac:dyDescent="0.35">
      <c r="A72" s="10" t="s">
        <v>17</v>
      </c>
      <c r="B72" s="10" t="s">
        <v>16</v>
      </c>
      <c r="C72" s="10" t="s">
        <v>43</v>
      </c>
      <c r="D72" s="50">
        <v>0.17500000000000004</v>
      </c>
      <c r="E72" s="69">
        <f>84760183147/1000</f>
        <v>84760183.147</v>
      </c>
      <c r="F72" s="48">
        <f t="shared" si="8"/>
        <v>14833032.050725004</v>
      </c>
      <c r="G72" s="54">
        <v>1.8916999999999999</v>
      </c>
      <c r="H72" s="54"/>
      <c r="I72" s="54"/>
      <c r="J72" s="54"/>
      <c r="K72" s="46">
        <f t="shared" si="9"/>
        <v>160340838.45917991</v>
      </c>
    </row>
    <row r="73" spans="1:11" x14ac:dyDescent="0.35">
      <c r="A73" s="10" t="s">
        <v>18</v>
      </c>
      <c r="B73" s="10" t="s">
        <v>17</v>
      </c>
      <c r="C73" s="10" t="s">
        <v>43</v>
      </c>
      <c r="D73" s="50">
        <v>0.19000000000000006</v>
      </c>
      <c r="E73" s="69">
        <v>83931773.183280006</v>
      </c>
      <c r="F73" s="48">
        <f t="shared" si="8"/>
        <v>15947036.904823206</v>
      </c>
      <c r="G73" s="61">
        <f>(G72*(1/3))+(G74*(2/3))</f>
        <v>3.980433333333333</v>
      </c>
      <c r="H73" s="61"/>
      <c r="I73" s="61"/>
      <c r="J73" s="61"/>
      <c r="K73" s="46">
        <f t="shared" si="9"/>
        <v>334084827.7045005</v>
      </c>
    </row>
    <row r="74" spans="1:11" x14ac:dyDescent="0.35">
      <c r="A74" s="10" t="s">
        <v>19</v>
      </c>
      <c r="B74" s="10" t="s">
        <v>18</v>
      </c>
      <c r="C74" s="10" t="s">
        <v>43</v>
      </c>
      <c r="D74" s="50">
        <v>0.20500000000000007</v>
      </c>
      <c r="E74" s="69">
        <v>84697301.866293222</v>
      </c>
      <c r="F74" s="48">
        <f t="shared" si="8"/>
        <v>17362946.882590115</v>
      </c>
      <c r="G74" s="54">
        <v>5.0247999999999999</v>
      </c>
      <c r="H74" s="54"/>
      <c r="I74" s="54"/>
      <c r="J74" s="54"/>
      <c r="K74" s="46">
        <f t="shared" si="9"/>
        <v>425587002.41775018</v>
      </c>
    </row>
    <row r="75" spans="1:11" x14ac:dyDescent="0.35">
      <c r="A75" s="43" t="s">
        <v>20</v>
      </c>
      <c r="B75" s="10" t="s">
        <v>19</v>
      </c>
      <c r="C75" s="10" t="s">
        <v>43</v>
      </c>
      <c r="D75" s="50">
        <v>0.22000000000000008</v>
      </c>
      <c r="E75" s="69">
        <v>83439108.509810001</v>
      </c>
      <c r="F75" s="48">
        <f t="shared" si="8"/>
        <v>18356603.872158207</v>
      </c>
      <c r="G75" s="54">
        <v>5.0247999999999999</v>
      </c>
      <c r="H75" s="245">
        <v>0.31347799999999998</v>
      </c>
      <c r="I75" s="13">
        <v>2000000</v>
      </c>
      <c r="J75" s="28">
        <f>H75*I75</f>
        <v>626956</v>
      </c>
      <c r="K75" s="299">
        <f>(G75*E75)-J75</f>
        <v>418637876.44009328</v>
      </c>
    </row>
    <row r="76" spans="1:11" x14ac:dyDescent="0.35">
      <c r="A76" s="43" t="s">
        <v>22</v>
      </c>
      <c r="B76" s="43" t="s">
        <v>20</v>
      </c>
      <c r="C76" s="10" t="s">
        <v>43</v>
      </c>
      <c r="D76" s="50">
        <v>0.2350000000000001</v>
      </c>
      <c r="E76" s="69">
        <v>82956872.015999988</v>
      </c>
      <c r="F76" s="48">
        <f t="shared" si="8"/>
        <v>19494864.923760004</v>
      </c>
      <c r="G76" s="54">
        <v>5.0247999999999999</v>
      </c>
      <c r="H76" s="54"/>
      <c r="I76" s="54"/>
      <c r="J76" s="54"/>
      <c r="K76" s="46">
        <f t="shared" si="9"/>
        <v>416841690.5059967</v>
      </c>
    </row>
    <row r="77" spans="1:11" x14ac:dyDescent="0.35">
      <c r="A77" s="43" t="s">
        <v>23</v>
      </c>
      <c r="B77" s="43" t="s">
        <v>22</v>
      </c>
      <c r="C77" s="10" t="s">
        <v>43</v>
      </c>
      <c r="D77" s="50">
        <v>0.25000000000000011</v>
      </c>
      <c r="E77" s="69">
        <v>81934522.939999998</v>
      </c>
      <c r="F77" s="48">
        <f t="shared" si="8"/>
        <v>20483630.735000007</v>
      </c>
      <c r="G77" s="54">
        <v>5.0247999999999999</v>
      </c>
      <c r="H77" s="54"/>
      <c r="I77" s="54"/>
      <c r="J77" s="54"/>
      <c r="K77" s="46">
        <f t="shared" si="9"/>
        <v>411704590.86891198</v>
      </c>
    </row>
    <row r="78" spans="1:11" x14ac:dyDescent="0.35">
      <c r="A78" s="10" t="s">
        <v>24</v>
      </c>
      <c r="B78" s="10" t="s">
        <v>23</v>
      </c>
      <c r="C78" s="10" t="s">
        <v>43</v>
      </c>
      <c r="D78" s="50">
        <v>0.28000000000000003</v>
      </c>
      <c r="E78" s="69">
        <v>81560528.789000005</v>
      </c>
      <c r="F78" s="48">
        <f t="shared" si="8"/>
        <v>22836948.060920004</v>
      </c>
      <c r="G78" s="54">
        <v>5.0247999999999999</v>
      </c>
      <c r="H78" s="54"/>
      <c r="I78" s="54"/>
      <c r="J78" s="54"/>
      <c r="K78" s="46">
        <f t="shared" si="9"/>
        <v>409825345.05896723</v>
      </c>
    </row>
    <row r="79" spans="1:11" x14ac:dyDescent="0.35">
      <c r="A79" s="10" t="s">
        <v>25</v>
      </c>
      <c r="B79" s="10" t="s">
        <v>24</v>
      </c>
      <c r="C79" s="10" t="s">
        <v>43</v>
      </c>
      <c r="D79" s="50">
        <v>0.31</v>
      </c>
      <c r="E79" s="69">
        <v>81592930.692000002</v>
      </c>
      <c r="F79" s="48">
        <f t="shared" si="8"/>
        <v>25293808.514520001</v>
      </c>
      <c r="G79" s="54">
        <v>5.0247999999999999</v>
      </c>
      <c r="H79" s="54"/>
      <c r="I79" s="54"/>
      <c r="J79" s="54"/>
      <c r="K79" s="46">
        <f t="shared" si="9"/>
        <v>409988158.14116162</v>
      </c>
    </row>
    <row r="80" spans="1:11" x14ac:dyDescent="0.35">
      <c r="A80" s="10" t="s">
        <v>26</v>
      </c>
      <c r="B80" s="10" t="s">
        <v>25</v>
      </c>
      <c r="C80" s="10" t="s">
        <v>43</v>
      </c>
      <c r="D80" s="50">
        <v>0.34</v>
      </c>
      <c r="E80" s="69">
        <v>81884475.179999992</v>
      </c>
      <c r="F80" s="48">
        <f t="shared" si="8"/>
        <v>27840721.5612</v>
      </c>
      <c r="G80" s="54">
        <v>5.0247999999999999</v>
      </c>
      <c r="H80" s="54"/>
      <c r="I80" s="54"/>
      <c r="J80" s="54"/>
      <c r="K80" s="46">
        <f t="shared" si="9"/>
        <v>411453110.88446397</v>
      </c>
    </row>
    <row r="81" spans="1:13" x14ac:dyDescent="0.35">
      <c r="A81" s="43" t="s">
        <v>27</v>
      </c>
      <c r="B81" s="10" t="s">
        <v>26</v>
      </c>
      <c r="C81" s="10" t="s">
        <v>43</v>
      </c>
      <c r="D81" s="50">
        <v>0.37</v>
      </c>
      <c r="E81" s="69">
        <v>81977064.710000008</v>
      </c>
      <c r="F81" s="48">
        <f t="shared" si="8"/>
        <v>30331513.942700002</v>
      </c>
      <c r="G81" s="54">
        <v>5.0247999999999999</v>
      </c>
      <c r="H81" s="54"/>
      <c r="I81" s="54"/>
      <c r="J81" s="54"/>
      <c r="K81" s="46">
        <f t="shared" si="9"/>
        <v>411918354.75480801</v>
      </c>
    </row>
    <row r="82" spans="1:13" x14ac:dyDescent="0.35">
      <c r="A82" s="43" t="s">
        <v>28</v>
      </c>
      <c r="B82" s="43" t="s">
        <v>27</v>
      </c>
      <c r="C82" s="10" t="s">
        <v>43</v>
      </c>
      <c r="D82" s="50">
        <v>0.4</v>
      </c>
      <c r="E82" s="69">
        <v>82659805.902999997</v>
      </c>
      <c r="F82" s="48">
        <f t="shared" si="8"/>
        <v>33063922.361200001</v>
      </c>
      <c r="G82" s="54">
        <v>5.0247999999999999</v>
      </c>
      <c r="H82" s="54"/>
      <c r="I82" s="54"/>
      <c r="J82" s="54"/>
      <c r="K82" s="46">
        <f t="shared" si="9"/>
        <v>415348992.70139438</v>
      </c>
    </row>
    <row r="83" spans="1:13" x14ac:dyDescent="0.35">
      <c r="A83" s="43" t="s">
        <v>29</v>
      </c>
      <c r="B83" s="43" t="s">
        <v>28</v>
      </c>
      <c r="C83" s="10" t="s">
        <v>43</v>
      </c>
      <c r="D83" s="50">
        <v>0.40902608000000001</v>
      </c>
      <c r="E83" s="69">
        <v>83303404.917999998</v>
      </c>
      <c r="F83" s="48">
        <f t="shared" si="8"/>
        <v>34073265.164262265</v>
      </c>
      <c r="G83" s="54">
        <v>5.0247999999999999</v>
      </c>
      <c r="H83" s="54"/>
      <c r="I83" s="54"/>
      <c r="J83" s="54"/>
      <c r="K83" s="46">
        <f t="shared" si="9"/>
        <v>418582949.03196639</v>
      </c>
      <c r="M83" s="65"/>
    </row>
    <row r="84" spans="1:13" x14ac:dyDescent="0.35">
      <c r="A84" s="10" t="s">
        <v>30</v>
      </c>
      <c r="B84" s="10" t="s">
        <v>29</v>
      </c>
      <c r="C84" s="10" t="s">
        <v>43</v>
      </c>
      <c r="D84" s="50">
        <v>0.41825583530041599</v>
      </c>
      <c r="E84" s="69">
        <v>84058939.645000011</v>
      </c>
      <c r="F84" s="48">
        <f t="shared" si="8"/>
        <v>35158142.015686736</v>
      </c>
      <c r="G84" s="54">
        <v>5.0247999999999999</v>
      </c>
      <c r="H84" s="54"/>
      <c r="I84" s="54"/>
      <c r="J84" s="54"/>
      <c r="K84" s="46">
        <f t="shared" si="9"/>
        <v>422379359.92819607</v>
      </c>
      <c r="M84" s="72"/>
    </row>
    <row r="85" spans="1:13" x14ac:dyDescent="0.35">
      <c r="A85" s="10" t="s">
        <v>31</v>
      </c>
      <c r="B85" s="10" t="s">
        <v>30</v>
      </c>
      <c r="C85" s="10" t="s">
        <v>43</v>
      </c>
      <c r="D85" s="50">
        <v>0.42769386187513697</v>
      </c>
      <c r="E85" s="69">
        <v>84423662.777999997</v>
      </c>
      <c r="F85" s="48">
        <f t="shared" si="8"/>
        <v>36107482.367167071</v>
      </c>
      <c r="G85" s="54">
        <v>5.0247999999999999</v>
      </c>
      <c r="H85" s="54"/>
      <c r="I85" s="54"/>
      <c r="J85" s="54"/>
      <c r="K85" s="46">
        <f t="shared" si="9"/>
        <v>424212020.72689438</v>
      </c>
      <c r="M85" s="72"/>
    </row>
    <row r="86" spans="1:13" x14ac:dyDescent="0.35">
      <c r="A86" s="10" t="s">
        <v>32</v>
      </c>
      <c r="B86" s="10" t="s">
        <v>31</v>
      </c>
      <c r="C86" s="10" t="s">
        <v>43</v>
      </c>
      <c r="D86" s="50">
        <v>0.43734485940712181</v>
      </c>
      <c r="E86" s="69">
        <v>85015848.419</v>
      </c>
      <c r="F86" s="48">
        <f t="shared" si="8"/>
        <v>37181244.274184734</v>
      </c>
      <c r="G86" s="54">
        <v>5.0247999999999999</v>
      </c>
      <c r="H86" s="54"/>
      <c r="I86" s="54"/>
      <c r="J86" s="54"/>
      <c r="K86" s="46">
        <f t="shared" si="9"/>
        <v>427187635.13579118</v>
      </c>
      <c r="M86" s="72"/>
    </row>
    <row r="87" spans="1:13" x14ac:dyDescent="0.35">
      <c r="A87" s="10" t="s">
        <v>33</v>
      </c>
      <c r="B87" s="10" t="s">
        <v>32</v>
      </c>
      <c r="C87" s="10" t="s">
        <v>43</v>
      </c>
      <c r="D87" s="50">
        <v>0.44721363362861538</v>
      </c>
      <c r="E87" s="69">
        <v>85450292.625</v>
      </c>
      <c r="F87" s="48">
        <f t="shared" si="8"/>
        <v>38214535.859454721</v>
      </c>
      <c r="G87" s="54">
        <v>5.0247999999999999</v>
      </c>
      <c r="H87" s="54"/>
      <c r="I87" s="54"/>
      <c r="J87" s="54"/>
      <c r="K87" s="46">
        <f t="shared" si="9"/>
        <v>429370630.38209999</v>
      </c>
      <c r="M87" s="72"/>
    </row>
    <row r="88" spans="1:13" x14ac:dyDescent="0.35">
      <c r="A88" s="10" t="s">
        <v>34</v>
      </c>
      <c r="B88" s="10" t="s">
        <v>33</v>
      </c>
      <c r="C88" s="10" t="s">
        <v>43</v>
      </c>
      <c r="D88" s="50">
        <v>0.45730509871417185</v>
      </c>
      <c r="E88" s="69">
        <v>85967286.341000006</v>
      </c>
      <c r="F88" s="48">
        <f t="shared" si="8"/>
        <v>39313278.366360486</v>
      </c>
      <c r="G88" s="54">
        <v>5.0247999999999999</v>
      </c>
      <c r="H88" s="54"/>
      <c r="I88" s="54"/>
      <c r="J88" s="54"/>
      <c r="K88" s="46">
        <f t="shared" si="9"/>
        <v>431968420.40625679</v>
      </c>
      <c r="M88" s="72"/>
    </row>
    <row r="89" spans="1:13" x14ac:dyDescent="0.35">
      <c r="A89" s="10" t="s">
        <v>35</v>
      </c>
      <c r="B89" s="10" t="s">
        <v>34</v>
      </c>
      <c r="C89" s="10" t="s">
        <v>43</v>
      </c>
      <c r="D89" s="50">
        <v>0.46762427972767689</v>
      </c>
      <c r="E89" s="69">
        <v>86216091.731999993</v>
      </c>
      <c r="F89" s="48">
        <f t="shared" si="8"/>
        <v>40316737.797111817</v>
      </c>
      <c r="G89" s="54">
        <v>5.0247999999999999</v>
      </c>
      <c r="H89" s="54"/>
      <c r="I89" s="54"/>
      <c r="J89" s="54"/>
      <c r="K89" s="46">
        <f t="shared" si="9"/>
        <v>433218617.73495358</v>
      </c>
      <c r="M89" s="72"/>
    </row>
    <row r="90" spans="1:13" x14ac:dyDescent="0.35">
      <c r="A90" s="10" t="s">
        <v>36</v>
      </c>
      <c r="B90" s="10" t="s">
        <v>35</v>
      </c>
      <c r="C90" s="10" t="s">
        <v>43</v>
      </c>
      <c r="D90" s="50">
        <v>0.47817631512458791</v>
      </c>
      <c r="E90" s="69">
        <v>86766903.104000002</v>
      </c>
      <c r="F90" s="48">
        <f t="shared" si="8"/>
        <v>41489878.001042888</v>
      </c>
      <c r="G90" s="54">
        <v>5.0247999999999999</v>
      </c>
      <c r="H90" s="54"/>
      <c r="I90" s="54"/>
      <c r="J90" s="54"/>
      <c r="K90" s="46">
        <f t="shared" si="9"/>
        <v>435986334.71697921</v>
      </c>
      <c r="M90" s="72"/>
    </row>
    <row r="91" spans="1:13" x14ac:dyDescent="0.35">
      <c r="A91" s="10" t="s">
        <v>37</v>
      </c>
      <c r="B91" s="10" t="s">
        <v>36</v>
      </c>
      <c r="C91" s="10" t="s">
        <v>43</v>
      </c>
      <c r="D91" s="50">
        <v>0.48896645931063754</v>
      </c>
      <c r="E91" s="69">
        <v>87214467.640000001</v>
      </c>
      <c r="F91" s="48">
        <f t="shared" si="8"/>
        <v>42644949.442592971</v>
      </c>
      <c r="G91" s="54">
        <v>5.0247999999999999</v>
      </c>
      <c r="H91" s="54"/>
      <c r="I91" s="54"/>
      <c r="J91" s="54"/>
      <c r="K91" s="46">
        <f t="shared" si="9"/>
        <v>438235256.99747199</v>
      </c>
      <c r="M91" s="72"/>
    </row>
    <row r="92" spans="1:13" x14ac:dyDescent="0.35">
      <c r="A92" s="10" t="s">
        <v>38</v>
      </c>
      <c r="B92" s="10" t="s">
        <v>37</v>
      </c>
      <c r="C92" s="10" t="s">
        <v>43</v>
      </c>
      <c r="D92" s="50">
        <v>0.50000008525827411</v>
      </c>
      <c r="E92" s="69">
        <v>87748951.427000001</v>
      </c>
      <c r="F92" s="48">
        <f t="shared" si="8"/>
        <v>43874483.194824152</v>
      </c>
      <c r="G92" s="54">
        <v>5.0247999999999999</v>
      </c>
      <c r="H92" s="54"/>
      <c r="I92" s="54"/>
      <c r="J92" s="54"/>
      <c r="K92" s="46">
        <f t="shared" si="9"/>
        <v>440920931.13038957</v>
      </c>
      <c r="M92" s="72"/>
    </row>
    <row r="93" spans="1:13" x14ac:dyDescent="0.35">
      <c r="A93" s="10" t="s">
        <v>39</v>
      </c>
      <c r="B93" s="10" t="s">
        <v>38</v>
      </c>
      <c r="C93" s="10" t="s">
        <v>43</v>
      </c>
      <c r="D93" s="50">
        <v>0.5</v>
      </c>
      <c r="E93" s="69">
        <v>88116801.755999997</v>
      </c>
      <c r="F93" s="48">
        <f t="shared" si="8"/>
        <v>44058400.877999999</v>
      </c>
      <c r="G93" s="54">
        <v>5.0247999999999999</v>
      </c>
      <c r="H93" s="54"/>
      <c r="I93" s="54"/>
      <c r="J93" s="54"/>
      <c r="K93" s="46">
        <f t="shared" si="9"/>
        <v>442769305.46354878</v>
      </c>
      <c r="M93" s="72"/>
    </row>
    <row r="94" spans="1:13" x14ac:dyDescent="0.35">
      <c r="A94" s="10" t="s">
        <v>40</v>
      </c>
      <c r="B94" s="10" t="s">
        <v>39</v>
      </c>
      <c r="C94" s="10" t="s">
        <v>43</v>
      </c>
      <c r="D94" s="50">
        <v>0.5</v>
      </c>
      <c r="E94" s="69">
        <v>88491502.603</v>
      </c>
      <c r="F94" s="48">
        <f t="shared" si="8"/>
        <v>44245751.3015</v>
      </c>
      <c r="G94" s="54">
        <v>5.0247999999999999</v>
      </c>
      <c r="H94" s="54"/>
      <c r="I94" s="54"/>
      <c r="J94" s="54"/>
      <c r="K94" s="46">
        <f t="shared" si="9"/>
        <v>444652102.27955437</v>
      </c>
      <c r="M94" s="72"/>
    </row>
    <row r="97" spans="1:13" x14ac:dyDescent="0.35">
      <c r="A97" s="52"/>
      <c r="B97" s="52"/>
      <c r="C97" s="52"/>
      <c r="D97" s="68"/>
      <c r="F97" s="67"/>
      <c r="G97" s="66"/>
      <c r="H97" s="66"/>
      <c r="I97" s="66"/>
      <c r="J97" s="66"/>
      <c r="K97" s="56"/>
      <c r="M97" s="65"/>
    </row>
    <row r="98" spans="1:13" x14ac:dyDescent="0.35">
      <c r="A98" s="52"/>
      <c r="B98" s="52"/>
      <c r="C98" s="52"/>
      <c r="D98" s="52"/>
      <c r="E98" s="52"/>
    </row>
    <row r="99" spans="1:13" x14ac:dyDescent="0.35">
      <c r="A99" s="1" t="s">
        <v>44</v>
      </c>
      <c r="B99" s="53"/>
      <c r="C99" s="53"/>
      <c r="D99" s="53"/>
      <c r="E99" s="52"/>
      <c r="F99" s="52"/>
      <c r="G99" s="52"/>
      <c r="H99" s="52"/>
      <c r="I99" s="52"/>
      <c r="J99" s="52"/>
      <c r="K99" s="52"/>
    </row>
    <row r="100" spans="1:13" ht="58" x14ac:dyDescent="0.35">
      <c r="A100" s="15" t="s">
        <v>1</v>
      </c>
      <c r="B100" s="15" t="s">
        <v>2</v>
      </c>
      <c r="C100" s="15" t="s">
        <v>3</v>
      </c>
      <c r="D100" s="15" t="s">
        <v>4</v>
      </c>
      <c r="E100" s="15" t="s">
        <v>45</v>
      </c>
      <c r="F100" s="15" t="s">
        <v>6</v>
      </c>
      <c r="G100" s="15" t="s">
        <v>7</v>
      </c>
      <c r="H100" s="15" t="s">
        <v>8</v>
      </c>
      <c r="I100" s="15" t="s">
        <v>9</v>
      </c>
      <c r="J100" s="15" t="s">
        <v>10</v>
      </c>
      <c r="K100" s="15" t="s">
        <v>11</v>
      </c>
      <c r="L100" s="56" t="s">
        <v>46</v>
      </c>
    </row>
    <row r="101" spans="1:13" x14ac:dyDescent="0.35">
      <c r="A101" s="51"/>
      <c r="B101" s="51"/>
      <c r="C101" s="51"/>
      <c r="D101" s="51"/>
      <c r="E101" s="64">
        <f>26.0253830755776%</f>
        <v>0.26025383075577602</v>
      </c>
      <c r="F101" s="51"/>
      <c r="G101" s="51"/>
      <c r="H101" s="51"/>
      <c r="I101" s="51"/>
      <c r="J101" s="51"/>
      <c r="K101" s="51"/>
      <c r="L101" s="63">
        <v>44348</v>
      </c>
    </row>
    <row r="102" spans="1:13" x14ac:dyDescent="0.35">
      <c r="A102" s="43" t="s">
        <v>12</v>
      </c>
      <c r="B102" s="43" t="s">
        <v>13</v>
      </c>
      <c r="C102" s="10" t="s">
        <v>44</v>
      </c>
      <c r="D102" s="50">
        <v>0.13</v>
      </c>
      <c r="E102" s="59">
        <v>539165</v>
      </c>
      <c r="F102" s="48">
        <f t="shared" ref="F102:F127" si="10">D102*E102</f>
        <v>70091.45</v>
      </c>
      <c r="G102" s="54">
        <v>1.2415</v>
      </c>
      <c r="H102" s="54"/>
      <c r="I102" s="54"/>
      <c r="J102" s="54"/>
      <c r="K102" s="46">
        <f>G102*E102</f>
        <v>669373.34750000003</v>
      </c>
      <c r="L102" s="56"/>
    </row>
    <row r="103" spans="1:13" x14ac:dyDescent="0.35">
      <c r="A103" s="10" t="s">
        <v>15</v>
      </c>
      <c r="B103" s="10" t="s">
        <v>12</v>
      </c>
      <c r="C103" s="10" t="s">
        <v>44</v>
      </c>
      <c r="D103" s="50">
        <v>0.14499999999999999</v>
      </c>
      <c r="E103" s="59">
        <v>503181</v>
      </c>
      <c r="F103" s="48">
        <f t="shared" si="10"/>
        <v>72961.244999999995</v>
      </c>
      <c r="G103" s="54">
        <v>1.2415</v>
      </c>
      <c r="H103" s="54"/>
      <c r="I103" s="54"/>
      <c r="J103" s="54"/>
      <c r="K103" s="46">
        <f>G103*E103</f>
        <v>624699.21149999998</v>
      </c>
    </row>
    <row r="104" spans="1:13" x14ac:dyDescent="0.35">
      <c r="A104" s="10" t="s">
        <v>16</v>
      </c>
      <c r="B104" s="10" t="s">
        <v>15</v>
      </c>
      <c r="C104" s="10" t="s">
        <v>44</v>
      </c>
      <c r="D104" s="50">
        <v>0.16</v>
      </c>
      <c r="E104" s="59">
        <v>528790.700064381</v>
      </c>
      <c r="F104" s="48">
        <f t="shared" si="10"/>
        <v>84606.512010300969</v>
      </c>
      <c r="G104" s="54">
        <v>1.2415</v>
      </c>
      <c r="H104" s="54"/>
      <c r="I104" s="54"/>
      <c r="J104" s="54"/>
      <c r="K104" s="46">
        <f>G104*E104</f>
        <v>656493.65412992903</v>
      </c>
    </row>
    <row r="105" spans="1:13" x14ac:dyDescent="0.35">
      <c r="A105" s="10" t="s">
        <v>17</v>
      </c>
      <c r="B105" s="10" t="s">
        <v>16</v>
      </c>
      <c r="C105" s="10" t="s">
        <v>44</v>
      </c>
      <c r="D105" s="50">
        <v>0.17500000000000004</v>
      </c>
      <c r="E105" s="59">
        <v>471451.44980015844</v>
      </c>
      <c r="F105" s="48">
        <f t="shared" si="10"/>
        <v>82504.003715027749</v>
      </c>
      <c r="G105" s="54">
        <v>1.2415</v>
      </c>
      <c r="H105" s="54"/>
      <c r="I105" s="54"/>
      <c r="J105" s="54"/>
      <c r="K105" s="46">
        <f>G105*E105</f>
        <v>585306.97492689674</v>
      </c>
      <c r="L105" s="62">
        <v>1811506.2838117136</v>
      </c>
    </row>
    <row r="106" spans="1:13" x14ac:dyDescent="0.35">
      <c r="A106" s="10" t="s">
        <v>18</v>
      </c>
      <c r="B106" s="10" t="s">
        <v>17</v>
      </c>
      <c r="C106" s="10" t="s">
        <v>44</v>
      </c>
      <c r="D106" s="50">
        <v>0.19000000000000006</v>
      </c>
      <c r="E106" s="59">
        <v>533051</v>
      </c>
      <c r="F106" s="48">
        <f t="shared" si="10"/>
        <v>101279.69000000003</v>
      </c>
      <c r="G106" s="61">
        <f>(G105*(1/3))+(G107*(2/3))</f>
        <v>2.1638333333333333</v>
      </c>
      <c r="H106" s="61"/>
      <c r="I106" s="61"/>
      <c r="J106" s="61"/>
      <c r="K106" s="46">
        <f>G106*E106</f>
        <v>1153433.5221666666</v>
      </c>
      <c r="L106" s="60">
        <v>1936031</v>
      </c>
    </row>
    <row r="107" spans="1:13" x14ac:dyDescent="0.35">
      <c r="A107" s="10" t="s">
        <v>19</v>
      </c>
      <c r="B107" s="10" t="s">
        <v>18</v>
      </c>
      <c r="C107" s="10" t="s">
        <v>44</v>
      </c>
      <c r="D107" s="50">
        <v>0.20500000000000007</v>
      </c>
      <c r="E107" s="59">
        <v>530532.65745021519</v>
      </c>
      <c r="F107" s="48">
        <f t="shared" si="10"/>
        <v>108759.19477729415</v>
      </c>
      <c r="G107" s="54">
        <v>2.625</v>
      </c>
      <c r="H107" s="54"/>
      <c r="I107" s="54"/>
      <c r="J107" s="54"/>
      <c r="K107" s="46">
        <f t="shared" ref="K107:K127" si="11">G107*E107</f>
        <v>1392648.2258068149</v>
      </c>
      <c r="L107" s="58">
        <v>1913299.2299400053</v>
      </c>
      <c r="M107" s="39"/>
    </row>
    <row r="108" spans="1:13" x14ac:dyDescent="0.35">
      <c r="A108" s="43" t="s">
        <v>20</v>
      </c>
      <c r="B108" s="10" t="s">
        <v>19</v>
      </c>
      <c r="C108" s="10" t="s">
        <v>44</v>
      </c>
      <c r="D108" s="50">
        <v>0.22000000000000008</v>
      </c>
      <c r="E108" s="59">
        <v>526942.64347762323</v>
      </c>
      <c r="F108" s="48">
        <f t="shared" si="10"/>
        <v>115927.38156507716</v>
      </c>
      <c r="G108" s="54">
        <v>2.625</v>
      </c>
      <c r="H108" s="54"/>
      <c r="I108" s="54"/>
      <c r="J108" s="54"/>
      <c r="K108" s="46">
        <f t="shared" si="11"/>
        <v>1383224.4391287609</v>
      </c>
      <c r="L108" s="58">
        <v>1985842.9875904245</v>
      </c>
      <c r="M108" s="39"/>
    </row>
    <row r="109" spans="1:13" x14ac:dyDescent="0.35">
      <c r="A109" s="43" t="s">
        <v>22</v>
      </c>
      <c r="B109" s="43" t="s">
        <v>20</v>
      </c>
      <c r="C109" s="10" t="s">
        <v>44</v>
      </c>
      <c r="D109" s="50">
        <v>0.2350000000000001</v>
      </c>
      <c r="E109" s="59">
        <v>528397.803846856</v>
      </c>
      <c r="F109" s="48">
        <f t="shared" si="10"/>
        <v>124173.48390401121</v>
      </c>
      <c r="G109" s="54">
        <v>2.625</v>
      </c>
      <c r="H109" s="54"/>
      <c r="I109" s="54"/>
      <c r="J109" s="54"/>
      <c r="K109" s="46">
        <f t="shared" si="11"/>
        <v>1387044.2350979969</v>
      </c>
      <c r="L109" s="58">
        <v>2031361.7468766836</v>
      </c>
      <c r="M109" s="39"/>
    </row>
    <row r="110" spans="1:13" x14ac:dyDescent="0.35">
      <c r="A110" s="43" t="s">
        <v>23</v>
      </c>
      <c r="B110" s="43" t="s">
        <v>22</v>
      </c>
      <c r="C110" s="10" t="s">
        <v>44</v>
      </c>
      <c r="D110" s="50">
        <v>0.25000000000000011</v>
      </c>
      <c r="E110" s="55">
        <v>528059.65392531082</v>
      </c>
      <c r="F110" s="48">
        <f t="shared" si="10"/>
        <v>132014.91348132776</v>
      </c>
      <c r="G110" s="54">
        <v>2.625</v>
      </c>
      <c r="H110" s="54"/>
      <c r="I110" s="54"/>
      <c r="J110" s="54"/>
      <c r="K110" s="46">
        <f t="shared" si="11"/>
        <v>1386156.5915539409</v>
      </c>
      <c r="L110" s="58">
        <v>2031757.1150187554</v>
      </c>
      <c r="M110" s="39"/>
    </row>
    <row r="111" spans="1:13" x14ac:dyDescent="0.35">
      <c r="A111" s="10" t="s">
        <v>24</v>
      </c>
      <c r="B111" s="10" t="s">
        <v>23</v>
      </c>
      <c r="C111" s="10" t="s">
        <v>44</v>
      </c>
      <c r="D111" s="50">
        <v>0.28000000000000003</v>
      </c>
      <c r="E111" s="55">
        <v>529850.25363910827</v>
      </c>
      <c r="F111" s="48">
        <f t="shared" si="10"/>
        <v>148358.07101895032</v>
      </c>
      <c r="G111" s="54">
        <v>2.625</v>
      </c>
      <c r="H111" s="54"/>
      <c r="I111" s="54"/>
      <c r="J111" s="54"/>
      <c r="K111" s="46">
        <f t="shared" si="11"/>
        <v>1390856.9158026592</v>
      </c>
      <c r="L111" s="58">
        <v>2032902.5821294354</v>
      </c>
      <c r="M111" s="39"/>
    </row>
    <row r="112" spans="1:13" x14ac:dyDescent="0.35">
      <c r="A112" s="10" t="s">
        <v>25</v>
      </c>
      <c r="B112" s="10" t="s">
        <v>24</v>
      </c>
      <c r="C112" s="10" t="s">
        <v>44</v>
      </c>
      <c r="D112" s="50">
        <v>0.31</v>
      </c>
      <c r="E112" s="55">
        <v>530429.20436652494</v>
      </c>
      <c r="F112" s="48">
        <f t="shared" si="10"/>
        <v>164433.05335362273</v>
      </c>
      <c r="G112" s="54">
        <v>2.625</v>
      </c>
      <c r="H112" s="54"/>
      <c r="I112" s="54"/>
      <c r="J112" s="54"/>
      <c r="K112" s="46">
        <f t="shared" si="11"/>
        <v>1392376.6614621279</v>
      </c>
      <c r="L112" s="58">
        <v>2034248.8457400231</v>
      </c>
      <c r="M112" s="39"/>
    </row>
    <row r="113" spans="1:13" x14ac:dyDescent="0.35">
      <c r="A113" s="10" t="s">
        <v>26</v>
      </c>
      <c r="B113" s="10" t="s">
        <v>25</v>
      </c>
      <c r="C113" s="10" t="s">
        <v>44</v>
      </c>
      <c r="D113" s="50">
        <v>0.34</v>
      </c>
      <c r="E113" s="55">
        <v>531365.40813121572</v>
      </c>
      <c r="F113" s="48">
        <f t="shared" si="10"/>
        <v>180664.23876461337</v>
      </c>
      <c r="G113" s="54">
        <v>2.625</v>
      </c>
      <c r="H113" s="54"/>
      <c r="I113" s="54"/>
      <c r="J113" s="54"/>
      <c r="K113" s="46">
        <f t="shared" si="11"/>
        <v>1394834.1963444413</v>
      </c>
      <c r="L113" s="58">
        <v>2035436.7095460405</v>
      </c>
      <c r="M113" s="39"/>
    </row>
    <row r="114" spans="1:13" x14ac:dyDescent="0.35">
      <c r="A114" s="43" t="s">
        <v>27</v>
      </c>
      <c r="B114" s="10" t="s">
        <v>26</v>
      </c>
      <c r="C114" s="10" t="s">
        <v>44</v>
      </c>
      <c r="D114" s="50">
        <v>0.37</v>
      </c>
      <c r="E114" s="55">
        <v>531528.48370576557</v>
      </c>
      <c r="F114" s="48">
        <f t="shared" si="10"/>
        <v>196665.53897113327</v>
      </c>
      <c r="G114" s="54">
        <v>2.625</v>
      </c>
      <c r="H114" s="54"/>
      <c r="I114" s="54"/>
      <c r="J114" s="54"/>
      <c r="K114" s="46">
        <f t="shared" si="11"/>
        <v>1395262.2697276347</v>
      </c>
      <c r="L114" s="58">
        <v>2036877.7836252931</v>
      </c>
      <c r="M114" s="39"/>
    </row>
    <row r="115" spans="1:13" x14ac:dyDescent="0.35">
      <c r="A115" s="43" t="s">
        <v>28</v>
      </c>
      <c r="B115" s="43" t="s">
        <v>27</v>
      </c>
      <c r="C115" s="10" t="s">
        <v>44</v>
      </c>
      <c r="D115" s="50">
        <v>0.4</v>
      </c>
      <c r="E115" s="55">
        <v>532425.81888603442</v>
      </c>
      <c r="F115" s="48">
        <f t="shared" si="10"/>
        <v>212970.32755441379</v>
      </c>
      <c r="G115" s="54">
        <v>2.625</v>
      </c>
      <c r="H115" s="54"/>
      <c r="I115" s="54"/>
      <c r="J115" s="54"/>
      <c r="K115" s="46">
        <f t="shared" si="11"/>
        <v>1397617.7745758404</v>
      </c>
      <c r="L115" s="58">
        <v>2038203.8653873855</v>
      </c>
      <c r="M115" s="39"/>
    </row>
    <row r="116" spans="1:13" x14ac:dyDescent="0.35">
      <c r="A116" s="43" t="s">
        <v>29</v>
      </c>
      <c r="B116" s="43" t="s">
        <v>28</v>
      </c>
      <c r="C116" s="10" t="s">
        <v>44</v>
      </c>
      <c r="D116" s="50">
        <v>0.40902608000000001</v>
      </c>
      <c r="E116" s="55">
        <v>533005.33967255801</v>
      </c>
      <c r="F116" s="48">
        <f t="shared" si="10"/>
        <v>218013.08470533488</v>
      </c>
      <c r="G116" s="54">
        <v>2.625</v>
      </c>
      <c r="H116" s="54"/>
      <c r="I116" s="54"/>
      <c r="J116" s="54"/>
      <c r="K116" s="46">
        <f t="shared" si="11"/>
        <v>1399139.0166404648</v>
      </c>
      <c r="L116" s="58">
        <v>2039151.6884040157</v>
      </c>
      <c r="M116" s="39"/>
    </row>
    <row r="117" spans="1:13" x14ac:dyDescent="0.35">
      <c r="A117" s="10" t="s">
        <v>30</v>
      </c>
      <c r="B117" s="10" t="s">
        <v>29</v>
      </c>
      <c r="C117" s="10" t="s">
        <v>44</v>
      </c>
      <c r="D117" s="50">
        <v>0.41825583530041599</v>
      </c>
      <c r="E117" s="55">
        <v>533754.79569958372</v>
      </c>
      <c r="F117" s="48">
        <f t="shared" si="10"/>
        <v>223246.05792093228</v>
      </c>
      <c r="G117" s="54">
        <v>2.625</v>
      </c>
      <c r="H117" s="54"/>
      <c r="I117" s="54"/>
      <c r="J117" s="54"/>
      <c r="K117" s="46">
        <f t="shared" si="11"/>
        <v>1401106.3387114073</v>
      </c>
      <c r="L117" s="58">
        <v>2040028.7592896603</v>
      </c>
      <c r="M117" s="39"/>
    </row>
    <row r="118" spans="1:13" x14ac:dyDescent="0.35">
      <c r="A118" s="10" t="s">
        <v>31</v>
      </c>
      <c r="B118" s="10" t="s">
        <v>30</v>
      </c>
      <c r="C118" s="10" t="s">
        <v>44</v>
      </c>
      <c r="D118" s="50">
        <v>0.42769386187513697</v>
      </c>
      <c r="E118" s="55">
        <v>533927.73792272958</v>
      </c>
      <c r="F118" s="48">
        <f t="shared" si="10"/>
        <v>228357.61619442824</v>
      </c>
      <c r="G118" s="54">
        <v>2.625</v>
      </c>
      <c r="H118" s="54"/>
      <c r="I118" s="54"/>
      <c r="J118" s="54"/>
      <c r="K118" s="46">
        <f t="shared" si="11"/>
        <v>1401560.3120471651</v>
      </c>
      <c r="L118" s="58">
        <v>2040801.2574976794</v>
      </c>
      <c r="M118" s="39"/>
    </row>
    <row r="119" spans="1:13" x14ac:dyDescent="0.35">
      <c r="A119" s="10" t="s">
        <v>32</v>
      </c>
      <c r="B119" s="10" t="s">
        <v>31</v>
      </c>
      <c r="C119" s="10" t="s">
        <v>44</v>
      </c>
      <c r="D119" s="50">
        <v>0.43734485940712181</v>
      </c>
      <c r="E119" s="55">
        <v>534300.06030736852</v>
      </c>
      <c r="F119" s="48">
        <f t="shared" si="10"/>
        <v>233673.3847563428</v>
      </c>
      <c r="G119" s="54">
        <v>2.625</v>
      </c>
      <c r="H119" s="54"/>
      <c r="I119" s="54"/>
      <c r="J119" s="54"/>
      <c r="K119" s="46">
        <f t="shared" si="11"/>
        <v>1402537.6583068424</v>
      </c>
      <c r="L119" s="58">
        <v>2041559.7906517184</v>
      </c>
      <c r="M119" s="39"/>
    </row>
    <row r="120" spans="1:13" x14ac:dyDescent="0.35">
      <c r="A120" s="10" t="s">
        <v>33</v>
      </c>
      <c r="B120" s="10" t="s">
        <v>32</v>
      </c>
      <c r="C120" s="10" t="s">
        <v>44</v>
      </c>
      <c r="D120" s="50">
        <v>0.44721363362861538</v>
      </c>
      <c r="E120" s="55">
        <v>534645.23663093371</v>
      </c>
      <c r="F120" s="48">
        <f t="shared" si="10"/>
        <v>239100.63897595077</v>
      </c>
      <c r="G120" s="54">
        <v>2.625</v>
      </c>
      <c r="H120" s="54"/>
      <c r="I120" s="54"/>
      <c r="J120" s="54"/>
      <c r="K120" s="46">
        <f t="shared" si="11"/>
        <v>1403443.746156201</v>
      </c>
      <c r="L120" s="58">
        <v>2042228.0448328247</v>
      </c>
      <c r="M120" s="39"/>
    </row>
    <row r="121" spans="1:13" x14ac:dyDescent="0.35">
      <c r="A121" s="10" t="s">
        <v>34</v>
      </c>
      <c r="B121" s="10" t="s">
        <v>33</v>
      </c>
      <c r="C121" s="10" t="s">
        <v>44</v>
      </c>
      <c r="D121" s="50">
        <v>0.45730509871417185</v>
      </c>
      <c r="E121" s="55">
        <v>534964.2469321622</v>
      </c>
      <c r="F121" s="48">
        <f t="shared" si="10"/>
        <v>244641.87775186505</v>
      </c>
      <c r="G121" s="54">
        <v>2.625</v>
      </c>
      <c r="H121" s="54"/>
      <c r="I121" s="54"/>
      <c r="J121" s="54"/>
      <c r="K121" s="46">
        <f t="shared" si="11"/>
        <v>1404281.1481969259</v>
      </c>
      <c r="L121" s="58">
        <v>2042622.4927971303</v>
      </c>
      <c r="M121" s="39"/>
    </row>
    <row r="122" spans="1:13" x14ac:dyDescent="0.35">
      <c r="A122" s="10" t="s">
        <v>35</v>
      </c>
      <c r="B122" s="10" t="s">
        <v>34</v>
      </c>
      <c r="C122" s="10" t="s">
        <v>44</v>
      </c>
      <c r="D122" s="50">
        <v>0.46762427972767689</v>
      </c>
      <c r="E122" s="55">
        <v>535258.6012692037</v>
      </c>
      <c r="F122" s="48">
        <f t="shared" si="10"/>
        <v>250299.91788655519</v>
      </c>
      <c r="G122" s="54">
        <v>2.625</v>
      </c>
      <c r="H122" s="54"/>
      <c r="I122" s="54"/>
      <c r="J122" s="54"/>
      <c r="K122" s="46">
        <f t="shared" si="11"/>
        <v>1405053.8283316598</v>
      </c>
      <c r="L122" s="58">
        <v>2043089.2737057647</v>
      </c>
      <c r="M122" s="39"/>
    </row>
    <row r="123" spans="1:13" x14ac:dyDescent="0.35">
      <c r="A123" s="10" t="s">
        <v>36</v>
      </c>
      <c r="B123" s="10" t="s">
        <v>35</v>
      </c>
      <c r="C123" s="10" t="s">
        <v>44</v>
      </c>
      <c r="D123" s="50">
        <v>0.47817631512458791</v>
      </c>
      <c r="E123" s="55">
        <v>535529.01463481109</v>
      </c>
      <c r="F123" s="48">
        <f t="shared" si="10"/>
        <v>256077.29086037548</v>
      </c>
      <c r="G123" s="54">
        <v>2.625</v>
      </c>
      <c r="H123" s="54"/>
      <c r="I123" s="54"/>
      <c r="J123" s="54"/>
      <c r="K123" s="46">
        <f t="shared" si="11"/>
        <v>1405763.6634163791</v>
      </c>
      <c r="L123" s="57">
        <v>2043809.8008337496</v>
      </c>
      <c r="M123" s="39"/>
    </row>
    <row r="124" spans="1:13" x14ac:dyDescent="0.35">
      <c r="A124" s="10" t="s">
        <v>37</v>
      </c>
      <c r="B124" s="10" t="s">
        <v>36</v>
      </c>
      <c r="C124" s="10" t="s">
        <v>44</v>
      </c>
      <c r="D124" s="50">
        <v>0.48896645931063754</v>
      </c>
      <c r="E124" s="55">
        <v>535776.48357490334</v>
      </c>
      <c r="F124" s="48">
        <f t="shared" si="10"/>
        <v>261976.73015552442</v>
      </c>
      <c r="G124" s="54">
        <v>2.625</v>
      </c>
      <c r="H124" s="54"/>
      <c r="I124" s="54"/>
      <c r="J124" s="54"/>
      <c r="K124" s="46">
        <f t="shared" si="11"/>
        <v>1406413.2693841213</v>
      </c>
      <c r="L124" s="56"/>
      <c r="M124" s="39"/>
    </row>
    <row r="125" spans="1:13" x14ac:dyDescent="0.35">
      <c r="A125" s="10" t="s">
        <v>38</v>
      </c>
      <c r="B125" s="10" t="s">
        <v>37</v>
      </c>
      <c r="C125" s="10" t="s">
        <v>44</v>
      </c>
      <c r="D125" s="50">
        <v>0.50000008525827411</v>
      </c>
      <c r="E125" s="55">
        <v>536002.06114858564</v>
      </c>
      <c r="F125" s="48">
        <f t="shared" si="10"/>
        <v>268001.07627290348</v>
      </c>
      <c r="G125" s="54">
        <v>2.625</v>
      </c>
      <c r="H125" s="54"/>
      <c r="I125" s="54"/>
      <c r="J125" s="54"/>
      <c r="K125" s="46">
        <f t="shared" si="11"/>
        <v>1407005.4105150374</v>
      </c>
      <c r="M125" s="39"/>
    </row>
    <row r="126" spans="1:13" x14ac:dyDescent="0.35">
      <c r="A126" s="10" t="s">
        <v>39</v>
      </c>
      <c r="B126" s="10" t="s">
        <v>38</v>
      </c>
      <c r="C126" s="10" t="s">
        <v>44</v>
      </c>
      <c r="D126" s="50">
        <v>0.5</v>
      </c>
      <c r="E126" s="55">
        <v>536206.763677001</v>
      </c>
      <c r="F126" s="48">
        <f t="shared" si="10"/>
        <v>268103.3818385005</v>
      </c>
      <c r="G126" s="54">
        <v>2.625</v>
      </c>
      <c r="H126" s="54"/>
      <c r="I126" s="54"/>
      <c r="J126" s="54"/>
      <c r="K126" s="46">
        <f t="shared" si="11"/>
        <v>1407542.7546521276</v>
      </c>
      <c r="M126" s="39"/>
    </row>
    <row r="127" spans="1:13" x14ac:dyDescent="0.35">
      <c r="A127" s="10" t="s">
        <v>40</v>
      </c>
      <c r="B127" s="10" t="s">
        <v>39</v>
      </c>
      <c r="C127" s="10" t="s">
        <v>44</v>
      </c>
      <c r="D127" s="50">
        <v>0.5</v>
      </c>
      <c r="E127" s="55">
        <v>536390.78112780477</v>
      </c>
      <c r="F127" s="48">
        <f t="shared" si="10"/>
        <v>268195.39056390239</v>
      </c>
      <c r="G127" s="54">
        <v>2.625</v>
      </c>
      <c r="H127" s="54"/>
      <c r="I127" s="54"/>
      <c r="J127" s="54"/>
      <c r="K127" s="46">
        <f t="shared" si="11"/>
        <v>1408025.8004604876</v>
      </c>
      <c r="M127" s="39"/>
    </row>
    <row r="139" spans="1:5" x14ac:dyDescent="0.35">
      <c r="A139" s="301" t="s">
        <v>47</v>
      </c>
      <c r="B139" s="301"/>
    </row>
    <row r="140" spans="1:5" x14ac:dyDescent="0.35">
      <c r="B140" s="44" t="s">
        <v>41</v>
      </c>
      <c r="C140" s="44" t="s">
        <v>43</v>
      </c>
      <c r="D140" s="44" t="s">
        <v>44</v>
      </c>
      <c r="E140" s="44" t="s">
        <v>48</v>
      </c>
    </row>
    <row r="141" spans="1:5" x14ac:dyDescent="0.35">
      <c r="A141" t="s">
        <v>49</v>
      </c>
      <c r="B141" s="239">
        <v>23519409</v>
      </c>
      <c r="C141" s="73">
        <v>44214248</v>
      </c>
      <c r="D141" s="45">
        <v>13556</v>
      </c>
      <c r="E141" s="181">
        <f>SUM(B141:D141)</f>
        <v>67747213</v>
      </c>
    </row>
    <row r="142" spans="1:5" x14ac:dyDescent="0.35">
      <c r="A142" t="s">
        <v>50</v>
      </c>
      <c r="B142" s="239">
        <v>12955428</v>
      </c>
      <c r="C142" s="237">
        <v>23326123.079999998</v>
      </c>
      <c r="D142" s="238"/>
      <c r="E142" s="181">
        <f>SUM(B142:D142)</f>
        <v>36281551.079999998</v>
      </c>
    </row>
    <row r="143" spans="1:5" x14ac:dyDescent="0.35">
      <c r="A143" t="s">
        <v>51</v>
      </c>
      <c r="B143" s="237">
        <v>41705.58</v>
      </c>
      <c r="C143" s="237">
        <v>1692119.3599999999</v>
      </c>
      <c r="D143" s="238"/>
      <c r="E143" s="181">
        <f>SUM(B143:D143)</f>
        <v>1733824.94</v>
      </c>
    </row>
    <row r="144" spans="1:5" x14ac:dyDescent="0.35">
      <c r="A144" t="s">
        <v>52</v>
      </c>
      <c r="B144" s="237">
        <f>B142-B143</f>
        <v>12913722.42</v>
      </c>
      <c r="C144" s="237">
        <f>C142-C143</f>
        <v>21634003.719999999</v>
      </c>
      <c r="D144" s="238"/>
      <c r="E144" s="181">
        <f>SUM(B144:D144)</f>
        <v>34547726.140000001</v>
      </c>
    </row>
    <row r="145" spans="1:10" x14ac:dyDescent="0.35">
      <c r="A145" s="253" t="s">
        <v>53</v>
      </c>
      <c r="B145" s="255">
        <f>B144+B141</f>
        <v>36433131.420000002</v>
      </c>
      <c r="C145" s="255">
        <f>C144+C141</f>
        <v>65848251.719999999</v>
      </c>
      <c r="D145" s="255">
        <f>D144+D141</f>
        <v>13556</v>
      </c>
      <c r="E145" s="181">
        <f>SUM(B145:D145)</f>
        <v>102294939.14</v>
      </c>
    </row>
    <row r="146" spans="1:10" x14ac:dyDescent="0.35">
      <c r="B146" s="19"/>
      <c r="C146" s="19"/>
      <c r="D146" s="19"/>
      <c r="E146" s="19"/>
    </row>
    <row r="147" spans="1:10" x14ac:dyDescent="0.35">
      <c r="B147" s="19"/>
      <c r="C147" s="19"/>
      <c r="D147" s="19"/>
      <c r="E147" s="19"/>
    </row>
    <row r="148" spans="1:10" ht="29" x14ac:dyDescent="0.35">
      <c r="A148" s="15" t="s">
        <v>1</v>
      </c>
      <c r="B148" s="44" t="s">
        <v>41</v>
      </c>
      <c r="C148" s="44" t="s">
        <v>43</v>
      </c>
      <c r="D148" s="44" t="s">
        <v>44</v>
      </c>
      <c r="E148" s="254" t="s">
        <v>54</v>
      </c>
    </row>
    <row r="149" spans="1:10" x14ac:dyDescent="0.35">
      <c r="A149" s="10" t="s">
        <v>17</v>
      </c>
      <c r="B149" s="17">
        <f t="shared" ref="B149:B171" si="12">K39</f>
        <v>64309855.295962796</v>
      </c>
      <c r="C149" s="17">
        <f>K72</f>
        <v>160340838.45917991</v>
      </c>
      <c r="D149" s="17">
        <f t="shared" ref="D149:D171" si="13">K107</f>
        <v>1392648.2258068149</v>
      </c>
      <c r="E149" s="23">
        <f>B149+C149+D149+$E$141</f>
        <v>293790554.98094952</v>
      </c>
      <c r="G149" s="19"/>
      <c r="H149" s="19"/>
      <c r="I149" s="19"/>
      <c r="J149" s="19"/>
    </row>
    <row r="150" spans="1:10" x14ac:dyDescent="0.35">
      <c r="A150" s="10" t="s">
        <v>18</v>
      </c>
      <c r="B150" s="17">
        <f t="shared" si="12"/>
        <v>129499575.18679999</v>
      </c>
      <c r="C150" s="17">
        <f t="shared" ref="C150:C171" si="14">K73</f>
        <v>334084827.7045005</v>
      </c>
      <c r="D150" s="17">
        <f t="shared" si="13"/>
        <v>1383224.4391287609</v>
      </c>
      <c r="E150" s="23">
        <f t="shared" ref="E150:E171" si="15">B150+C150+D150+$E$141</f>
        <v>532714840.33042926</v>
      </c>
    </row>
    <row r="151" spans="1:10" x14ac:dyDescent="0.35">
      <c r="A151" s="10" t="s">
        <v>19</v>
      </c>
      <c r="B151" s="17">
        <f t="shared" si="12"/>
        <v>160483342.72150001</v>
      </c>
      <c r="C151" s="17">
        <f t="shared" si="14"/>
        <v>425587002.41775018</v>
      </c>
      <c r="D151" s="17">
        <f t="shared" si="13"/>
        <v>1387044.2350979969</v>
      </c>
      <c r="E151" s="23">
        <f t="shared" si="15"/>
        <v>655204602.37434816</v>
      </c>
    </row>
    <row r="152" spans="1:10" x14ac:dyDescent="0.35">
      <c r="A152" s="43" t="s">
        <v>20</v>
      </c>
      <c r="B152" s="17">
        <f t="shared" si="12"/>
        <v>156867424.73649758</v>
      </c>
      <c r="C152" s="17">
        <f t="shared" si="14"/>
        <v>418637876.44009328</v>
      </c>
      <c r="D152" s="17">
        <f t="shared" si="13"/>
        <v>1386156.5915539409</v>
      </c>
      <c r="E152" s="23">
        <f t="shared" si="15"/>
        <v>644638670.76814485</v>
      </c>
    </row>
    <row r="153" spans="1:10" x14ac:dyDescent="0.35">
      <c r="A153" s="43" t="s">
        <v>22</v>
      </c>
      <c r="B153" s="17">
        <f t="shared" si="12"/>
        <v>155398917.17191386</v>
      </c>
      <c r="C153" s="17">
        <f t="shared" si="14"/>
        <v>416841690.5059967</v>
      </c>
      <c r="D153" s="17">
        <f t="shared" si="13"/>
        <v>1390856.9158026592</v>
      </c>
      <c r="E153" s="23">
        <f t="shared" si="15"/>
        <v>641378677.59371328</v>
      </c>
    </row>
    <row r="154" spans="1:10" x14ac:dyDescent="0.35">
      <c r="A154" s="43" t="s">
        <v>23</v>
      </c>
      <c r="B154" s="17">
        <f t="shared" si="12"/>
        <v>153492365.55944532</v>
      </c>
      <c r="C154" s="17">
        <f t="shared" si="14"/>
        <v>411704590.86891198</v>
      </c>
      <c r="D154" s="17">
        <f t="shared" si="13"/>
        <v>1392376.6614621279</v>
      </c>
      <c r="E154" s="23">
        <f t="shared" si="15"/>
        <v>634336546.08981943</v>
      </c>
    </row>
    <row r="155" spans="1:10" x14ac:dyDescent="0.35">
      <c r="A155" s="10" t="s">
        <v>24</v>
      </c>
      <c r="B155" s="17">
        <f t="shared" si="12"/>
        <v>151744178.01187399</v>
      </c>
      <c r="C155" s="17">
        <f t="shared" si="14"/>
        <v>409825345.05896723</v>
      </c>
      <c r="D155" s="17">
        <f t="shared" si="13"/>
        <v>1394834.1963444413</v>
      </c>
      <c r="E155" s="23">
        <f t="shared" si="15"/>
        <v>630711570.26718569</v>
      </c>
    </row>
    <row r="156" spans="1:10" x14ac:dyDescent="0.35">
      <c r="A156" s="10" t="s">
        <v>25</v>
      </c>
      <c r="B156" s="17">
        <f t="shared" si="12"/>
        <v>150699620.50638735</v>
      </c>
      <c r="C156" s="17">
        <f t="shared" si="14"/>
        <v>409988158.14116162</v>
      </c>
      <c r="D156" s="17">
        <f t="shared" si="13"/>
        <v>1395262.2697276347</v>
      </c>
      <c r="E156" s="23">
        <f t="shared" si="15"/>
        <v>629830253.9172765</v>
      </c>
    </row>
    <row r="157" spans="1:10" x14ac:dyDescent="0.35">
      <c r="A157" s="10" t="s">
        <v>26</v>
      </c>
      <c r="B157" s="17">
        <f t="shared" si="12"/>
        <v>150699620.50638735</v>
      </c>
      <c r="C157" s="17">
        <f t="shared" si="14"/>
        <v>411453110.88446397</v>
      </c>
      <c r="D157" s="17">
        <f t="shared" si="13"/>
        <v>1397617.7745758404</v>
      </c>
      <c r="E157" s="23">
        <f t="shared" si="15"/>
        <v>631297562.16542709</v>
      </c>
    </row>
    <row r="158" spans="1:10" x14ac:dyDescent="0.35">
      <c r="A158" s="43" t="s">
        <v>27</v>
      </c>
      <c r="B158" s="17">
        <f t="shared" si="12"/>
        <v>150699620.50638735</v>
      </c>
      <c r="C158" s="17">
        <f t="shared" si="14"/>
        <v>411918354.75480801</v>
      </c>
      <c r="D158" s="17">
        <f t="shared" si="13"/>
        <v>1399139.0166404648</v>
      </c>
      <c r="E158" s="23">
        <f t="shared" si="15"/>
        <v>631764327.27783585</v>
      </c>
    </row>
    <row r="159" spans="1:10" x14ac:dyDescent="0.35">
      <c r="A159" s="43" t="s">
        <v>28</v>
      </c>
      <c r="B159" s="17">
        <f t="shared" si="12"/>
        <v>150699620.50638735</v>
      </c>
      <c r="C159" s="17">
        <f t="shared" si="14"/>
        <v>415348992.70139438</v>
      </c>
      <c r="D159" s="17">
        <f t="shared" si="13"/>
        <v>1401106.3387114073</v>
      </c>
      <c r="E159" s="23">
        <f t="shared" si="15"/>
        <v>635196932.54649317</v>
      </c>
    </row>
    <row r="160" spans="1:10" x14ac:dyDescent="0.35">
      <c r="A160" s="43" t="s">
        <v>29</v>
      </c>
      <c r="B160" s="17">
        <f t="shared" si="12"/>
        <v>150699620.50638735</v>
      </c>
      <c r="C160" s="17">
        <f t="shared" si="14"/>
        <v>418582949.03196639</v>
      </c>
      <c r="D160" s="17">
        <f t="shared" si="13"/>
        <v>1401560.3120471651</v>
      </c>
      <c r="E160" s="23">
        <f t="shared" si="15"/>
        <v>638431342.85040081</v>
      </c>
    </row>
    <row r="161" spans="1:5" x14ac:dyDescent="0.35">
      <c r="A161" s="10" t="s">
        <v>30</v>
      </c>
      <c r="B161" s="17">
        <f t="shared" si="12"/>
        <v>150699620.50638735</v>
      </c>
      <c r="C161" s="17">
        <f t="shared" si="14"/>
        <v>422379359.92819607</v>
      </c>
      <c r="D161" s="17">
        <f t="shared" si="13"/>
        <v>1402537.6583068424</v>
      </c>
      <c r="E161" s="23">
        <f t="shared" si="15"/>
        <v>642228731.09289026</v>
      </c>
    </row>
    <row r="162" spans="1:5" x14ac:dyDescent="0.35">
      <c r="A162" s="10" t="s">
        <v>31</v>
      </c>
      <c r="B162" s="17">
        <f t="shared" si="12"/>
        <v>150699620.50638735</v>
      </c>
      <c r="C162" s="17">
        <f t="shared" si="14"/>
        <v>424212020.72689438</v>
      </c>
      <c r="D162" s="17">
        <f t="shared" si="13"/>
        <v>1403443.746156201</v>
      </c>
      <c r="E162" s="23">
        <f t="shared" si="15"/>
        <v>644062297.97943795</v>
      </c>
    </row>
    <row r="163" spans="1:5" x14ac:dyDescent="0.35">
      <c r="A163" s="10" t="s">
        <v>32</v>
      </c>
      <c r="B163" s="17">
        <f t="shared" si="12"/>
        <v>150699620.50638735</v>
      </c>
      <c r="C163" s="17">
        <f t="shared" si="14"/>
        <v>427187635.13579118</v>
      </c>
      <c r="D163" s="17">
        <f t="shared" si="13"/>
        <v>1404281.1481969259</v>
      </c>
      <c r="E163" s="23">
        <f t="shared" si="15"/>
        <v>647038749.79037547</v>
      </c>
    </row>
    <row r="164" spans="1:5" x14ac:dyDescent="0.35">
      <c r="A164" s="10" t="s">
        <v>33</v>
      </c>
      <c r="B164" s="17">
        <f t="shared" si="12"/>
        <v>150699620.50638735</v>
      </c>
      <c r="C164" s="17">
        <f t="shared" si="14"/>
        <v>429370630.38209999</v>
      </c>
      <c r="D164" s="17">
        <f t="shared" si="13"/>
        <v>1405053.8283316598</v>
      </c>
      <c r="E164" s="23">
        <f t="shared" si="15"/>
        <v>649222517.71681905</v>
      </c>
    </row>
    <row r="165" spans="1:5" x14ac:dyDescent="0.35">
      <c r="A165" s="10" t="s">
        <v>34</v>
      </c>
      <c r="B165" s="17">
        <f t="shared" si="12"/>
        <v>150699620.50638735</v>
      </c>
      <c r="C165" s="17">
        <f t="shared" si="14"/>
        <v>431968420.40625679</v>
      </c>
      <c r="D165" s="17">
        <f t="shared" si="13"/>
        <v>1405763.6634163791</v>
      </c>
      <c r="E165" s="23">
        <f t="shared" si="15"/>
        <v>651821017.57606053</v>
      </c>
    </row>
    <row r="166" spans="1:5" x14ac:dyDescent="0.35">
      <c r="A166" s="10" t="s">
        <v>35</v>
      </c>
      <c r="B166" s="17">
        <f t="shared" si="12"/>
        <v>150699620.50638735</v>
      </c>
      <c r="C166" s="17">
        <f t="shared" si="14"/>
        <v>433218617.73495358</v>
      </c>
      <c r="D166" s="17">
        <f t="shared" si="13"/>
        <v>1406413.2693841213</v>
      </c>
      <c r="E166" s="23">
        <f t="shared" si="15"/>
        <v>653071864.51072502</v>
      </c>
    </row>
    <row r="167" spans="1:5" x14ac:dyDescent="0.35">
      <c r="A167" s="10" t="s">
        <v>36</v>
      </c>
      <c r="B167" s="17">
        <f t="shared" si="12"/>
        <v>150699620.50638735</v>
      </c>
      <c r="C167" s="17">
        <f t="shared" si="14"/>
        <v>435986334.71697921</v>
      </c>
      <c r="D167" s="17">
        <f t="shared" si="13"/>
        <v>1407005.4105150374</v>
      </c>
      <c r="E167" s="23">
        <f t="shared" si="15"/>
        <v>655840173.63388157</v>
      </c>
    </row>
    <row r="168" spans="1:5" x14ac:dyDescent="0.35">
      <c r="A168" s="10" t="s">
        <v>37</v>
      </c>
      <c r="B168" s="17">
        <f t="shared" si="12"/>
        <v>150699620.50638735</v>
      </c>
      <c r="C168" s="17">
        <f t="shared" si="14"/>
        <v>438235256.99747199</v>
      </c>
      <c r="D168" s="17">
        <f t="shared" si="13"/>
        <v>1407542.7546521276</v>
      </c>
      <c r="E168" s="23">
        <f t="shared" si="15"/>
        <v>658089633.25851142</v>
      </c>
    </row>
    <row r="169" spans="1:5" x14ac:dyDescent="0.35">
      <c r="A169" s="10" t="s">
        <v>38</v>
      </c>
      <c r="B169" s="17">
        <f t="shared" si="12"/>
        <v>150699620.50638735</v>
      </c>
      <c r="C169" s="17">
        <f t="shared" si="14"/>
        <v>440920931.13038957</v>
      </c>
      <c r="D169" s="17">
        <f t="shared" si="13"/>
        <v>1408025.8004604876</v>
      </c>
      <c r="E169" s="23">
        <f t="shared" si="15"/>
        <v>660775790.43723738</v>
      </c>
    </row>
    <row r="170" spans="1:5" x14ac:dyDescent="0.35">
      <c r="A170" s="10" t="s">
        <v>39</v>
      </c>
      <c r="B170" s="17">
        <f t="shared" si="12"/>
        <v>150699620.50638735</v>
      </c>
      <c r="C170" s="17">
        <f t="shared" si="14"/>
        <v>442769305.46354878</v>
      </c>
      <c r="D170" s="17">
        <f t="shared" si="13"/>
        <v>0</v>
      </c>
      <c r="E170" s="23">
        <f t="shared" si="15"/>
        <v>661216138.96993613</v>
      </c>
    </row>
    <row r="171" spans="1:5" x14ac:dyDescent="0.35">
      <c r="A171" s="10" t="s">
        <v>40</v>
      </c>
      <c r="B171" s="17">
        <f t="shared" si="12"/>
        <v>150699620.50638735</v>
      </c>
      <c r="C171" s="17">
        <f t="shared" si="14"/>
        <v>444652102.27955437</v>
      </c>
      <c r="D171" s="17">
        <f t="shared" si="13"/>
        <v>0</v>
      </c>
      <c r="E171" s="23">
        <f t="shared" si="15"/>
        <v>663098935.78594172</v>
      </c>
    </row>
  </sheetData>
  <mergeCells count="1">
    <mergeCell ref="A139:B139"/>
  </mergeCells>
  <printOptions horizontalCentered="1" verticalCentered="1"/>
  <pageMargins left="0.25" right="0.25" top="0.75" bottom="0.75" header="0.3" footer="0.3"/>
  <pageSetup scale="56" fitToHeight="6" orientation="landscape" r:id="rId1"/>
  <headerFooter>
    <oddHeader>&amp;A</oddHeader>
  </headerFooter>
  <rowBreaks count="3" manualBreakCount="3">
    <brk id="64" max="16383" man="1"/>
    <brk id="97" max="16383" man="1"/>
    <brk id="137" max="16383" man="1"/>
  </rowBreaks>
  <customProperties>
    <customPr name="GUID" r:id="rId2"/>
  </customProperties>
  <ignoredErrors>
    <ignoredError sqref="H4 H5:H9 H11:H29" evalErro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FBF2-FF33-4526-A654-A9B4C5FF1FB0}">
  <sheetPr>
    <tabColor theme="5" tint="0.59999389629810485"/>
    <pageSetUpPr fitToPage="1"/>
  </sheetPr>
  <dimension ref="A1:AH92"/>
  <sheetViews>
    <sheetView zoomScaleNormal="100" workbookViewId="0">
      <selection activeCell="L3" sqref="L3"/>
    </sheetView>
  </sheetViews>
  <sheetFormatPr defaultRowHeight="14.5" x14ac:dyDescent="0.35"/>
  <cols>
    <col min="2" max="2" width="17.453125" bestFit="1" customWidth="1"/>
    <col min="4" max="24" width="9.453125" bestFit="1" customWidth="1"/>
    <col min="25" max="25" width="24.54296875" bestFit="1" customWidth="1"/>
    <col min="26" max="26" width="14.453125" bestFit="1" customWidth="1"/>
  </cols>
  <sheetData>
    <row r="1" spans="1:34" x14ac:dyDescent="0.35">
      <c r="A1" t="s">
        <v>55</v>
      </c>
      <c r="D1" s="243">
        <v>32.954017059999998</v>
      </c>
      <c r="E1" s="243">
        <v>40.562906249999997</v>
      </c>
      <c r="F1" s="243">
        <v>42.697086310000003</v>
      </c>
      <c r="G1" s="244">
        <v>42.986665080000002</v>
      </c>
      <c r="H1" s="243">
        <v>43.199580750000003</v>
      </c>
      <c r="I1" s="243">
        <v>43.120825000000004</v>
      </c>
      <c r="J1" s="243">
        <v>45.196049899999998</v>
      </c>
      <c r="K1" s="243">
        <v>47.633003080000002</v>
      </c>
      <c r="L1" s="243">
        <v>47.994488590000003</v>
      </c>
      <c r="M1" s="243">
        <v>48.755720140000001</v>
      </c>
      <c r="N1" s="243">
        <v>50.026022820000001</v>
      </c>
      <c r="O1" s="243">
        <v>51.163177580000003</v>
      </c>
      <c r="P1" s="243">
        <v>52.69907688</v>
      </c>
      <c r="Q1" s="243">
        <v>54.220859330000003</v>
      </c>
      <c r="R1" s="243">
        <v>55.70663046</v>
      </c>
      <c r="S1" s="243">
        <v>57.192187599999997</v>
      </c>
      <c r="T1" s="243">
        <v>58.623416570000003</v>
      </c>
      <c r="U1" s="243">
        <v>59.996350300000003</v>
      </c>
      <c r="V1" s="243">
        <v>61.410839289999998</v>
      </c>
      <c r="W1" s="243">
        <v>62.798883230000001</v>
      </c>
      <c r="X1" s="243">
        <v>64.236507540000005</v>
      </c>
    </row>
    <row r="2" spans="1:34" s="105" customFormat="1" x14ac:dyDescent="0.35">
      <c r="B2" s="105" t="s">
        <v>56</v>
      </c>
      <c r="D2" s="219">
        <v>0</v>
      </c>
      <c r="E2" s="219">
        <f t="shared" ref="E2:X2" si="0">$D$2</f>
        <v>0</v>
      </c>
      <c r="F2" s="219">
        <f t="shared" si="0"/>
        <v>0</v>
      </c>
      <c r="G2" s="219">
        <f t="shared" si="0"/>
        <v>0</v>
      </c>
      <c r="H2" s="219">
        <f>$D$2</f>
        <v>0</v>
      </c>
      <c r="I2" s="219">
        <f t="shared" si="0"/>
        <v>0</v>
      </c>
      <c r="J2" s="219">
        <f t="shared" si="0"/>
        <v>0</v>
      </c>
      <c r="K2" s="219">
        <f t="shared" si="0"/>
        <v>0</v>
      </c>
      <c r="L2" s="219">
        <f t="shared" si="0"/>
        <v>0</v>
      </c>
      <c r="M2" s="219">
        <f t="shared" si="0"/>
        <v>0</v>
      </c>
      <c r="N2" s="219">
        <f t="shared" si="0"/>
        <v>0</v>
      </c>
      <c r="O2" s="219">
        <f t="shared" si="0"/>
        <v>0</v>
      </c>
      <c r="P2" s="219">
        <f t="shared" si="0"/>
        <v>0</v>
      </c>
      <c r="Q2" s="219">
        <f t="shared" si="0"/>
        <v>0</v>
      </c>
      <c r="R2" s="219">
        <f t="shared" si="0"/>
        <v>0</v>
      </c>
      <c r="S2" s="219">
        <f t="shared" si="0"/>
        <v>0</v>
      </c>
      <c r="T2" s="219">
        <f t="shared" si="0"/>
        <v>0</v>
      </c>
      <c r="U2" s="219">
        <f t="shared" si="0"/>
        <v>0</v>
      </c>
      <c r="V2" s="219">
        <f t="shared" si="0"/>
        <v>0</v>
      </c>
      <c r="W2" s="219">
        <f t="shared" si="0"/>
        <v>0</v>
      </c>
      <c r="X2" s="219">
        <f t="shared" si="0"/>
        <v>0</v>
      </c>
    </row>
    <row r="3" spans="1:34" x14ac:dyDescent="0.35">
      <c r="B3" s="1" t="s">
        <v>57</v>
      </c>
      <c r="D3" s="96"/>
      <c r="E3" s="96"/>
      <c r="F3" s="96"/>
      <c r="G3" s="96"/>
      <c r="H3" s="96"/>
      <c r="I3" s="96"/>
      <c r="J3" s="96"/>
      <c r="K3" s="96"/>
      <c r="L3" s="96"/>
      <c r="M3" s="96"/>
      <c r="N3" s="96"/>
      <c r="O3" s="96"/>
      <c r="P3" s="96"/>
      <c r="Q3" s="96"/>
      <c r="R3" s="96"/>
      <c r="S3" s="96"/>
      <c r="T3" s="96"/>
      <c r="U3" s="96"/>
      <c r="V3" s="96"/>
      <c r="W3" s="96"/>
      <c r="X3" s="189"/>
    </row>
    <row r="4" spans="1:34" x14ac:dyDescent="0.35">
      <c r="C4" t="s">
        <v>1</v>
      </c>
    </row>
    <row r="5" spans="1:34" ht="18.5" x14ac:dyDescent="0.35">
      <c r="C5" s="2">
        <v>2022</v>
      </c>
      <c r="D5" s="2">
        <v>2023</v>
      </c>
      <c r="E5" s="2">
        <v>2024</v>
      </c>
      <c r="F5" s="2">
        <v>2025</v>
      </c>
      <c r="G5" s="2">
        <v>2026</v>
      </c>
      <c r="H5" s="2">
        <v>2027</v>
      </c>
      <c r="I5" s="2">
        <v>2028</v>
      </c>
      <c r="J5" s="2">
        <v>2029</v>
      </c>
      <c r="K5" s="2">
        <v>2030</v>
      </c>
      <c r="L5" s="2">
        <v>2031</v>
      </c>
      <c r="M5" s="2">
        <v>2032</v>
      </c>
      <c r="N5" s="2">
        <v>2033</v>
      </c>
      <c r="O5" s="2">
        <v>2034</v>
      </c>
      <c r="P5" s="2">
        <v>2035</v>
      </c>
      <c r="Q5" s="2">
        <v>2036</v>
      </c>
      <c r="R5" s="2">
        <v>2037</v>
      </c>
      <c r="S5" s="2">
        <v>2038</v>
      </c>
      <c r="T5" s="2">
        <v>2039</v>
      </c>
      <c r="U5" s="2">
        <v>2040</v>
      </c>
      <c r="V5" s="2">
        <v>2041</v>
      </c>
      <c r="W5" s="2">
        <v>2042</v>
      </c>
      <c r="X5" s="169">
        <v>2043</v>
      </c>
    </row>
    <row r="6" spans="1:34" x14ac:dyDescent="0.35">
      <c r="B6" t="s">
        <v>58</v>
      </c>
      <c r="C6" s="3"/>
      <c r="D6" s="96">
        <f>D1*(1+D2)</f>
        <v>32.954017059999998</v>
      </c>
      <c r="E6" s="96">
        <f>E1*(1+E2)</f>
        <v>40.562906249999997</v>
      </c>
      <c r="F6" s="96">
        <f>F1*(1+F2)</f>
        <v>42.697086310000003</v>
      </c>
      <c r="G6" s="96">
        <f>G1*(1+G2)</f>
        <v>42.986665080000002</v>
      </c>
      <c r="H6" s="96">
        <f t="shared" ref="H6:X6" si="1">H1*(1+H2)</f>
        <v>43.199580750000003</v>
      </c>
      <c r="I6" s="96">
        <f t="shared" si="1"/>
        <v>43.120825000000004</v>
      </c>
      <c r="J6" s="96">
        <f t="shared" si="1"/>
        <v>45.196049899999998</v>
      </c>
      <c r="K6" s="96">
        <f t="shared" si="1"/>
        <v>47.633003080000002</v>
      </c>
      <c r="L6" s="96">
        <f t="shared" si="1"/>
        <v>47.994488590000003</v>
      </c>
      <c r="M6" s="96">
        <f t="shared" si="1"/>
        <v>48.755720140000001</v>
      </c>
      <c r="N6" s="96">
        <f t="shared" si="1"/>
        <v>50.026022820000001</v>
      </c>
      <c r="O6" s="96">
        <f t="shared" si="1"/>
        <v>51.163177580000003</v>
      </c>
      <c r="P6" s="96">
        <f t="shared" si="1"/>
        <v>52.69907688</v>
      </c>
      <c r="Q6" s="96">
        <f t="shared" si="1"/>
        <v>54.220859330000003</v>
      </c>
      <c r="R6" s="96">
        <f t="shared" si="1"/>
        <v>55.70663046</v>
      </c>
      <c r="S6" s="96">
        <f t="shared" si="1"/>
        <v>57.192187599999997</v>
      </c>
      <c r="T6" s="96">
        <f t="shared" si="1"/>
        <v>58.623416570000003</v>
      </c>
      <c r="U6" s="96">
        <f t="shared" si="1"/>
        <v>59.996350300000003</v>
      </c>
      <c r="V6" s="96">
        <f t="shared" si="1"/>
        <v>61.410839289999998</v>
      </c>
      <c r="W6" s="96">
        <f t="shared" si="1"/>
        <v>62.798883230000001</v>
      </c>
      <c r="X6" s="96">
        <f t="shared" si="1"/>
        <v>64.236507540000005</v>
      </c>
      <c r="Y6" s="95"/>
      <c r="Z6" s="95"/>
      <c r="AA6" s="95"/>
      <c r="AB6" s="95"/>
      <c r="AC6" s="95"/>
      <c r="AD6" s="95"/>
      <c r="AE6" s="95"/>
      <c r="AF6" s="95"/>
      <c r="AG6" s="95"/>
      <c r="AH6" s="95"/>
    </row>
    <row r="9" spans="1:34" x14ac:dyDescent="0.35">
      <c r="B9" t="s">
        <v>59</v>
      </c>
      <c r="F9" s="247">
        <f t="shared" ref="F9:W9" si="2">$Y$14-F6</f>
        <v>9.5979136899999986</v>
      </c>
      <c r="G9" s="4">
        <f t="shared" si="2"/>
        <v>9.3083349200000001</v>
      </c>
      <c r="H9" s="4">
        <f t="shared" si="2"/>
        <v>9.0954192499999991</v>
      </c>
      <c r="I9" s="4">
        <f t="shared" si="2"/>
        <v>9.1741749999999982</v>
      </c>
      <c r="J9" s="4">
        <f t="shared" si="2"/>
        <v>7.0989501000000033</v>
      </c>
      <c r="K9" s="4">
        <f t="shared" si="2"/>
        <v>4.66199692</v>
      </c>
      <c r="L9" s="4">
        <f t="shared" si="2"/>
        <v>4.3005114099999986</v>
      </c>
      <c r="M9" s="4">
        <f t="shared" si="2"/>
        <v>3.5392798600000006</v>
      </c>
      <c r="N9" s="4">
        <f t="shared" si="2"/>
        <v>2.2689771800000003</v>
      </c>
      <c r="O9" s="4">
        <f t="shared" si="2"/>
        <v>1.1318224199999989</v>
      </c>
      <c r="P9" s="4">
        <f t="shared" si="2"/>
        <v>-0.40407687999999808</v>
      </c>
      <c r="Q9" s="4">
        <f t="shared" si="2"/>
        <v>-1.9258593300000015</v>
      </c>
      <c r="R9" s="4">
        <f t="shared" si="2"/>
        <v>-3.4116304599999978</v>
      </c>
      <c r="S9" s="4">
        <f t="shared" si="2"/>
        <v>-4.8971875999999952</v>
      </c>
      <c r="T9" s="4">
        <f t="shared" si="2"/>
        <v>-6.3284165700000017</v>
      </c>
      <c r="U9" s="4">
        <f t="shared" si="2"/>
        <v>-7.7013503000000014</v>
      </c>
      <c r="V9" s="4">
        <f t="shared" si="2"/>
        <v>-9.1158392899999967</v>
      </c>
      <c r="W9" s="4">
        <f t="shared" si="2"/>
        <v>-10.50388323</v>
      </c>
      <c r="X9" s="4">
        <f t="shared" ref="X9:X27" si="3">($Y$14*(1+(($Y$17)*$A9))-X$6)</f>
        <v>-11.941507540000003</v>
      </c>
    </row>
    <row r="10" spans="1:34" ht="15" thickBot="1" x14ac:dyDescent="0.4">
      <c r="A10">
        <v>1</v>
      </c>
      <c r="B10" t="s">
        <v>60</v>
      </c>
      <c r="G10" s="4">
        <f t="shared" ref="G10:W10" si="4">($Z$14*(1+(($Y$17)*$A10))-G$6)</f>
        <v>9.3083349200000001</v>
      </c>
      <c r="H10" s="4">
        <f t="shared" si="4"/>
        <v>9.0954192499999991</v>
      </c>
      <c r="I10" s="4">
        <f t="shared" si="4"/>
        <v>9.1741749999999982</v>
      </c>
      <c r="J10" s="4">
        <f t="shared" si="4"/>
        <v>7.0989501000000033</v>
      </c>
      <c r="K10" s="4">
        <f t="shared" si="4"/>
        <v>4.66199692</v>
      </c>
      <c r="L10" s="4">
        <f t="shared" si="4"/>
        <v>4.3005114099999986</v>
      </c>
      <c r="M10" s="4">
        <f t="shared" si="4"/>
        <v>3.5392798600000006</v>
      </c>
      <c r="N10" s="4">
        <f t="shared" si="4"/>
        <v>2.2689771800000003</v>
      </c>
      <c r="O10" s="4">
        <f t="shared" si="4"/>
        <v>1.1318224199999989</v>
      </c>
      <c r="P10" s="4">
        <f t="shared" si="4"/>
        <v>-0.40407687999999808</v>
      </c>
      <c r="Q10" s="4">
        <f t="shared" si="4"/>
        <v>-1.9258593300000015</v>
      </c>
      <c r="R10" s="4">
        <f t="shared" si="4"/>
        <v>-3.4116304599999978</v>
      </c>
      <c r="S10" s="4">
        <f t="shared" si="4"/>
        <v>-4.8971875999999952</v>
      </c>
      <c r="T10" s="4">
        <f t="shared" si="4"/>
        <v>-6.3284165700000017</v>
      </c>
      <c r="U10" s="4">
        <f t="shared" si="4"/>
        <v>-7.7013503000000014</v>
      </c>
      <c r="V10" s="4">
        <f t="shared" si="4"/>
        <v>-9.1158392899999967</v>
      </c>
      <c r="W10" s="4">
        <f t="shared" si="4"/>
        <v>-10.50388323</v>
      </c>
      <c r="X10" s="4">
        <f t="shared" si="3"/>
        <v>-11.941507540000003</v>
      </c>
    </row>
    <row r="11" spans="1:34" x14ac:dyDescent="0.35">
      <c r="A11">
        <v>2</v>
      </c>
      <c r="B11" t="s">
        <v>61</v>
      </c>
      <c r="H11" s="4">
        <f t="shared" ref="H11:W11" si="5">($Y$14*(1+(($Y$17)*$A11))-H$6)</f>
        <v>9.0954192499999991</v>
      </c>
      <c r="I11" s="4">
        <f t="shared" si="5"/>
        <v>9.1741749999999982</v>
      </c>
      <c r="J11" s="4">
        <f t="shared" si="5"/>
        <v>7.0989501000000033</v>
      </c>
      <c r="K11" s="4">
        <f t="shared" si="5"/>
        <v>4.66199692</v>
      </c>
      <c r="L11" s="4">
        <f t="shared" si="5"/>
        <v>4.3005114099999986</v>
      </c>
      <c r="M11" s="4">
        <f t="shared" si="5"/>
        <v>3.5392798600000006</v>
      </c>
      <c r="N11" s="4">
        <f t="shared" si="5"/>
        <v>2.2689771800000003</v>
      </c>
      <c r="O11" s="4">
        <f t="shared" si="5"/>
        <v>1.1318224199999989</v>
      </c>
      <c r="P11" s="4">
        <f t="shared" si="5"/>
        <v>-0.40407687999999808</v>
      </c>
      <c r="Q11" s="4">
        <f t="shared" si="5"/>
        <v>-1.9258593300000015</v>
      </c>
      <c r="R11" s="4">
        <f t="shared" si="5"/>
        <v>-3.4116304599999978</v>
      </c>
      <c r="S11" s="4">
        <f t="shared" si="5"/>
        <v>-4.8971875999999952</v>
      </c>
      <c r="T11" s="4">
        <f t="shared" si="5"/>
        <v>-6.3284165700000017</v>
      </c>
      <c r="U11" s="4">
        <f t="shared" si="5"/>
        <v>-7.7013503000000014</v>
      </c>
      <c r="V11" s="4">
        <f t="shared" si="5"/>
        <v>-9.1158392899999967</v>
      </c>
      <c r="W11" s="4">
        <f t="shared" si="5"/>
        <v>-10.50388323</v>
      </c>
      <c r="X11" s="4">
        <f t="shared" si="3"/>
        <v>-11.941507540000003</v>
      </c>
      <c r="Y11" s="5" t="s">
        <v>62</v>
      </c>
    </row>
    <row r="12" spans="1:34" x14ac:dyDescent="0.35">
      <c r="A12">
        <v>3</v>
      </c>
      <c r="B12" t="s">
        <v>63</v>
      </c>
      <c r="I12" s="4">
        <f t="shared" ref="I12:W12" si="6">($Y$14*(1+(($Y$17)*$A12))-I$6)</f>
        <v>9.1741749999999982</v>
      </c>
      <c r="J12" s="4">
        <f t="shared" si="6"/>
        <v>7.0989501000000033</v>
      </c>
      <c r="K12" s="4">
        <f t="shared" si="6"/>
        <v>4.66199692</v>
      </c>
      <c r="L12" s="4">
        <f t="shared" si="6"/>
        <v>4.3005114099999986</v>
      </c>
      <c r="M12" s="4">
        <f t="shared" si="6"/>
        <v>3.5392798600000006</v>
      </c>
      <c r="N12" s="4">
        <f t="shared" si="6"/>
        <v>2.2689771800000003</v>
      </c>
      <c r="O12" s="4">
        <f t="shared" si="6"/>
        <v>1.1318224199999989</v>
      </c>
      <c r="P12" s="4">
        <f t="shared" si="6"/>
        <v>-0.40407687999999808</v>
      </c>
      <c r="Q12" s="4">
        <f t="shared" si="6"/>
        <v>-1.9258593300000015</v>
      </c>
      <c r="R12" s="4">
        <f t="shared" si="6"/>
        <v>-3.4116304599999978</v>
      </c>
      <c r="S12" s="4">
        <f t="shared" si="6"/>
        <v>-4.8971875999999952</v>
      </c>
      <c r="T12" s="4">
        <f t="shared" si="6"/>
        <v>-6.3284165700000017</v>
      </c>
      <c r="U12" s="4">
        <f t="shared" si="6"/>
        <v>-7.7013503000000014</v>
      </c>
      <c r="V12" s="4">
        <f t="shared" si="6"/>
        <v>-9.1158392899999967</v>
      </c>
      <c r="W12" s="4">
        <f t="shared" si="6"/>
        <v>-10.50388323</v>
      </c>
      <c r="X12" s="4">
        <f t="shared" si="3"/>
        <v>-11.941507540000003</v>
      </c>
      <c r="Y12" s="6"/>
    </row>
    <row r="13" spans="1:34" x14ac:dyDescent="0.35">
      <c r="A13">
        <v>4</v>
      </c>
      <c r="B13" t="s">
        <v>64</v>
      </c>
      <c r="J13" s="4">
        <f t="shared" ref="J13:W13" si="7">($Y$14*(1+(($Y$17)*$A13))-J$6)</f>
        <v>7.0989501000000033</v>
      </c>
      <c r="K13" s="4">
        <f t="shared" si="7"/>
        <v>4.66199692</v>
      </c>
      <c r="L13" s="4">
        <f t="shared" si="7"/>
        <v>4.3005114099999986</v>
      </c>
      <c r="M13" s="4">
        <f t="shared" si="7"/>
        <v>3.5392798600000006</v>
      </c>
      <c r="N13" s="4">
        <f t="shared" si="7"/>
        <v>2.2689771800000003</v>
      </c>
      <c r="O13" s="4">
        <f t="shared" si="7"/>
        <v>1.1318224199999989</v>
      </c>
      <c r="P13" s="4">
        <f t="shared" si="7"/>
        <v>-0.40407687999999808</v>
      </c>
      <c r="Q13" s="4">
        <f t="shared" si="7"/>
        <v>-1.9258593300000015</v>
      </c>
      <c r="R13" s="4">
        <f t="shared" si="7"/>
        <v>-3.4116304599999978</v>
      </c>
      <c r="S13" s="4">
        <f t="shared" si="7"/>
        <v>-4.8971875999999952</v>
      </c>
      <c r="T13" s="4">
        <f t="shared" si="7"/>
        <v>-6.3284165700000017</v>
      </c>
      <c r="U13" s="4">
        <f t="shared" si="7"/>
        <v>-7.7013503000000014</v>
      </c>
      <c r="V13" s="4">
        <f t="shared" si="7"/>
        <v>-9.1158392899999967</v>
      </c>
      <c r="W13" s="4">
        <f t="shared" si="7"/>
        <v>-10.50388323</v>
      </c>
      <c r="X13" s="4">
        <f t="shared" si="3"/>
        <v>-11.941507540000003</v>
      </c>
      <c r="Y13" s="6" t="s">
        <v>65</v>
      </c>
      <c r="Z13" s="6" t="s">
        <v>66</v>
      </c>
    </row>
    <row r="14" spans="1:34" x14ac:dyDescent="0.35">
      <c r="A14">
        <v>5</v>
      </c>
      <c r="B14" t="s">
        <v>67</v>
      </c>
      <c r="K14" s="4">
        <f t="shared" ref="K14:W14" si="8">($Y$14*(1+(($Y$17)*$A14))-K$6)</f>
        <v>4.66199692</v>
      </c>
      <c r="L14" s="4">
        <f t="shared" si="8"/>
        <v>4.3005114099999986</v>
      </c>
      <c r="M14" s="4">
        <f t="shared" si="8"/>
        <v>3.5392798600000006</v>
      </c>
      <c r="N14" s="4">
        <f t="shared" si="8"/>
        <v>2.2689771800000003</v>
      </c>
      <c r="O14" s="4">
        <f t="shared" si="8"/>
        <v>1.1318224199999989</v>
      </c>
      <c r="P14" s="4">
        <f t="shared" si="8"/>
        <v>-0.40407687999999808</v>
      </c>
      <c r="Q14" s="4">
        <f t="shared" si="8"/>
        <v>-1.9258593300000015</v>
      </c>
      <c r="R14" s="4">
        <f t="shared" si="8"/>
        <v>-3.4116304599999978</v>
      </c>
      <c r="S14" s="4">
        <f t="shared" si="8"/>
        <v>-4.8971875999999952</v>
      </c>
      <c r="T14" s="4">
        <f t="shared" si="8"/>
        <v>-6.3284165700000017</v>
      </c>
      <c r="U14" s="4">
        <f t="shared" si="8"/>
        <v>-7.7013503000000014</v>
      </c>
      <c r="V14" s="4">
        <f t="shared" si="8"/>
        <v>-9.1158392899999967</v>
      </c>
      <c r="W14" s="4">
        <f t="shared" si="8"/>
        <v>-10.50388323</v>
      </c>
      <c r="X14" s="4">
        <f t="shared" si="3"/>
        <v>-11.941507540000003</v>
      </c>
      <c r="Y14" s="7">
        <v>52.295000000000002</v>
      </c>
      <c r="Z14" s="7">
        <v>52.295000000000002</v>
      </c>
    </row>
    <row r="15" spans="1:34" x14ac:dyDescent="0.35">
      <c r="A15">
        <v>6</v>
      </c>
      <c r="B15" t="s">
        <v>68</v>
      </c>
      <c r="L15" s="4">
        <f t="shared" ref="L15:W15" si="9">($Y$14*(1+(($Y$17)*$A15))-L$6)</f>
        <v>4.3005114099999986</v>
      </c>
      <c r="M15" s="4">
        <f t="shared" si="9"/>
        <v>3.5392798600000006</v>
      </c>
      <c r="N15" s="4">
        <f t="shared" si="9"/>
        <v>2.2689771800000003</v>
      </c>
      <c r="O15" s="4">
        <f t="shared" si="9"/>
        <v>1.1318224199999989</v>
      </c>
      <c r="P15" s="4">
        <f t="shared" si="9"/>
        <v>-0.40407687999999808</v>
      </c>
      <c r="Q15" s="4">
        <f t="shared" si="9"/>
        <v>-1.9258593300000015</v>
      </c>
      <c r="R15" s="4">
        <f t="shared" si="9"/>
        <v>-3.4116304599999978</v>
      </c>
      <c r="S15" s="4">
        <f t="shared" si="9"/>
        <v>-4.8971875999999952</v>
      </c>
      <c r="T15" s="4">
        <f t="shared" si="9"/>
        <v>-6.3284165700000017</v>
      </c>
      <c r="U15" s="4">
        <f t="shared" si="9"/>
        <v>-7.7013503000000014</v>
      </c>
      <c r="V15" s="4">
        <f t="shared" si="9"/>
        <v>-9.1158392899999967</v>
      </c>
      <c r="W15" s="4">
        <f t="shared" si="9"/>
        <v>-10.50388323</v>
      </c>
      <c r="X15" s="4">
        <f t="shared" si="3"/>
        <v>-11.941507540000003</v>
      </c>
      <c r="Y15" s="6"/>
    </row>
    <row r="16" spans="1:34" x14ac:dyDescent="0.35">
      <c r="A16">
        <v>7</v>
      </c>
      <c r="B16" t="s">
        <v>69</v>
      </c>
      <c r="M16" s="4">
        <f t="shared" ref="M16:W16" si="10">($Y$14*(1+(($Y$17)*$A16))-M$6)</f>
        <v>3.5392798600000006</v>
      </c>
      <c r="N16" s="4">
        <f t="shared" si="10"/>
        <v>2.2689771800000003</v>
      </c>
      <c r="O16" s="4">
        <f t="shared" si="10"/>
        <v>1.1318224199999989</v>
      </c>
      <c r="P16" s="4">
        <f t="shared" si="10"/>
        <v>-0.40407687999999808</v>
      </c>
      <c r="Q16" s="4">
        <f t="shared" si="10"/>
        <v>-1.9258593300000015</v>
      </c>
      <c r="R16" s="4">
        <f t="shared" si="10"/>
        <v>-3.4116304599999978</v>
      </c>
      <c r="S16" s="4">
        <f t="shared" si="10"/>
        <v>-4.8971875999999952</v>
      </c>
      <c r="T16" s="4">
        <f t="shared" si="10"/>
        <v>-6.3284165700000017</v>
      </c>
      <c r="U16" s="4">
        <f t="shared" si="10"/>
        <v>-7.7013503000000014</v>
      </c>
      <c r="V16" s="4">
        <f t="shared" si="10"/>
        <v>-9.1158392899999967</v>
      </c>
      <c r="W16" s="4">
        <f t="shared" si="10"/>
        <v>-10.50388323</v>
      </c>
      <c r="X16" s="4">
        <f t="shared" si="3"/>
        <v>-11.941507540000003</v>
      </c>
      <c r="Y16" s="6" t="s">
        <v>70</v>
      </c>
    </row>
    <row r="17" spans="1:25" ht="15" thickBot="1" x14ac:dyDescent="0.4">
      <c r="A17">
        <v>8</v>
      </c>
      <c r="B17" t="s">
        <v>71</v>
      </c>
      <c r="M17" s="4"/>
      <c r="N17" s="4">
        <f t="shared" ref="N17:W17" si="11">($Y$14*(1+(($Y$17)*$A17))-N$6)</f>
        <v>2.2689771800000003</v>
      </c>
      <c r="O17" s="4">
        <f t="shared" si="11"/>
        <v>1.1318224199999989</v>
      </c>
      <c r="P17" s="4">
        <f t="shared" si="11"/>
        <v>-0.40407687999999808</v>
      </c>
      <c r="Q17" s="4">
        <f t="shared" si="11"/>
        <v>-1.9258593300000015</v>
      </c>
      <c r="R17" s="4">
        <f t="shared" si="11"/>
        <v>-3.4116304599999978</v>
      </c>
      <c r="S17" s="4">
        <f t="shared" si="11"/>
        <v>-4.8971875999999952</v>
      </c>
      <c r="T17" s="4">
        <f t="shared" si="11"/>
        <v>-6.3284165700000017</v>
      </c>
      <c r="U17" s="4">
        <f t="shared" si="11"/>
        <v>-7.7013503000000014</v>
      </c>
      <c r="V17" s="4">
        <f t="shared" si="11"/>
        <v>-9.1158392899999967</v>
      </c>
      <c r="W17" s="4">
        <f t="shared" si="11"/>
        <v>-10.50388323</v>
      </c>
      <c r="X17" s="4">
        <f t="shared" si="3"/>
        <v>-11.941507540000003</v>
      </c>
      <c r="Y17" s="8">
        <v>0</v>
      </c>
    </row>
    <row r="18" spans="1:25" x14ac:dyDescent="0.35">
      <c r="A18">
        <v>9</v>
      </c>
      <c r="B18" t="s">
        <v>72</v>
      </c>
      <c r="O18" s="4">
        <f t="shared" ref="O18:W18" si="12">($Y$14*(1+(($Y$17)*$A18))-O$6)</f>
        <v>1.1318224199999989</v>
      </c>
      <c r="P18" s="4">
        <f t="shared" si="12"/>
        <v>-0.40407687999999808</v>
      </c>
      <c r="Q18" s="4">
        <f t="shared" si="12"/>
        <v>-1.9258593300000015</v>
      </c>
      <c r="R18" s="4">
        <f t="shared" si="12"/>
        <v>-3.4116304599999978</v>
      </c>
      <c r="S18" s="4">
        <f t="shared" si="12"/>
        <v>-4.8971875999999952</v>
      </c>
      <c r="T18" s="4">
        <f t="shared" si="12"/>
        <v>-6.3284165700000017</v>
      </c>
      <c r="U18" s="4">
        <f t="shared" si="12"/>
        <v>-7.7013503000000014</v>
      </c>
      <c r="V18" s="4">
        <f t="shared" si="12"/>
        <v>-9.1158392899999967</v>
      </c>
      <c r="W18" s="4">
        <f t="shared" si="12"/>
        <v>-10.50388323</v>
      </c>
      <c r="X18" s="4">
        <f t="shared" si="3"/>
        <v>-11.941507540000003</v>
      </c>
    </row>
    <row r="19" spans="1:25" x14ac:dyDescent="0.35">
      <c r="A19">
        <v>10</v>
      </c>
      <c r="B19" t="s">
        <v>73</v>
      </c>
      <c r="P19" s="4">
        <f t="shared" ref="P19:W19" si="13">($Y$14*(1+(($Y$17)*$A19))-P$6)</f>
        <v>-0.40407687999999808</v>
      </c>
      <c r="Q19" s="4">
        <f t="shared" si="13"/>
        <v>-1.9258593300000015</v>
      </c>
      <c r="R19" s="4">
        <f t="shared" si="13"/>
        <v>-3.4116304599999978</v>
      </c>
      <c r="S19" s="4">
        <f t="shared" si="13"/>
        <v>-4.8971875999999952</v>
      </c>
      <c r="T19" s="4">
        <f t="shared" si="13"/>
        <v>-6.3284165700000017</v>
      </c>
      <c r="U19" s="4">
        <f t="shared" si="13"/>
        <v>-7.7013503000000014</v>
      </c>
      <c r="V19" s="4">
        <f t="shared" si="13"/>
        <v>-9.1158392899999967</v>
      </c>
      <c r="W19" s="4">
        <f t="shared" si="13"/>
        <v>-10.50388323</v>
      </c>
      <c r="X19" s="4">
        <f t="shared" si="3"/>
        <v>-11.941507540000003</v>
      </c>
    </row>
    <row r="20" spans="1:25" x14ac:dyDescent="0.35">
      <c r="A20">
        <v>11</v>
      </c>
      <c r="B20" t="s">
        <v>74</v>
      </c>
      <c r="Q20" s="4">
        <f t="shared" ref="Q20:W20" si="14">($Y$14*(1+(($Y$17)*$A20))-Q$6)</f>
        <v>-1.9258593300000015</v>
      </c>
      <c r="R20" s="4">
        <f t="shared" si="14"/>
        <v>-3.4116304599999978</v>
      </c>
      <c r="S20" s="4">
        <f t="shared" si="14"/>
        <v>-4.8971875999999952</v>
      </c>
      <c r="T20" s="4">
        <f t="shared" si="14"/>
        <v>-6.3284165700000017</v>
      </c>
      <c r="U20" s="4">
        <f t="shared" si="14"/>
        <v>-7.7013503000000014</v>
      </c>
      <c r="V20" s="4">
        <f t="shared" si="14"/>
        <v>-9.1158392899999967</v>
      </c>
      <c r="W20" s="4">
        <f t="shared" si="14"/>
        <v>-10.50388323</v>
      </c>
      <c r="X20" s="4">
        <f t="shared" si="3"/>
        <v>-11.941507540000003</v>
      </c>
    </row>
    <row r="21" spans="1:25" x14ac:dyDescent="0.35">
      <c r="A21">
        <v>12</v>
      </c>
      <c r="B21" t="s">
        <v>75</v>
      </c>
      <c r="R21" s="4">
        <f t="shared" ref="R21:W21" si="15">($Y$14*(1+(($Y$17)*$A21))-R$6)</f>
        <v>-3.4116304599999978</v>
      </c>
      <c r="S21" s="4">
        <f t="shared" si="15"/>
        <v>-4.8971875999999952</v>
      </c>
      <c r="T21" s="4">
        <f t="shared" si="15"/>
        <v>-6.3284165700000017</v>
      </c>
      <c r="U21" s="4">
        <f t="shared" si="15"/>
        <v>-7.7013503000000014</v>
      </c>
      <c r="V21" s="4">
        <f t="shared" si="15"/>
        <v>-9.1158392899999967</v>
      </c>
      <c r="W21" s="4">
        <f t="shared" si="15"/>
        <v>-10.50388323</v>
      </c>
      <c r="X21" s="4">
        <f t="shared" si="3"/>
        <v>-11.941507540000003</v>
      </c>
    </row>
    <row r="22" spans="1:25" x14ac:dyDescent="0.35">
      <c r="A22">
        <v>13</v>
      </c>
      <c r="B22" t="s">
        <v>76</v>
      </c>
      <c r="S22" s="4">
        <f>($Y$14*(1+(($Y$17)*$A22))-S$6)</f>
        <v>-4.8971875999999952</v>
      </c>
      <c r="T22" s="4">
        <f>($Y$14*(1+(($Y$17)*$A22))-T$6)</f>
        <v>-6.3284165700000017</v>
      </c>
      <c r="U22" s="4">
        <f>($Y$14*(1+(($Y$17)*$A22))-U$6)</f>
        <v>-7.7013503000000014</v>
      </c>
      <c r="V22" s="4">
        <f>($Y$14*(1+(($Y$17)*$A22))-V$6)</f>
        <v>-9.1158392899999967</v>
      </c>
      <c r="W22" s="4">
        <f>($Y$14*(1+(($Y$17)*$A22))-W$6)</f>
        <v>-10.50388323</v>
      </c>
      <c r="X22" s="4">
        <f t="shared" si="3"/>
        <v>-11.941507540000003</v>
      </c>
    </row>
    <row r="23" spans="1:25" x14ac:dyDescent="0.35">
      <c r="A23">
        <v>14</v>
      </c>
      <c r="B23" t="s">
        <v>77</v>
      </c>
      <c r="T23" s="4">
        <f>($Y$14*(1+(($Y$17)*$A23))-T$6)</f>
        <v>-6.3284165700000017</v>
      </c>
      <c r="U23" s="4">
        <f>($Y$14*(1+(($Y$17)*$A23))-U$6)</f>
        <v>-7.7013503000000014</v>
      </c>
      <c r="V23" s="4">
        <f>($Y$14*(1+(($Y$17)*$A23))-V$6)</f>
        <v>-9.1158392899999967</v>
      </c>
      <c r="W23" s="4">
        <f>($Y$14*(1+(($Y$17)*$A23))-W$6)</f>
        <v>-10.50388323</v>
      </c>
      <c r="X23" s="4">
        <f t="shared" si="3"/>
        <v>-11.941507540000003</v>
      </c>
    </row>
    <row r="24" spans="1:25" x14ac:dyDescent="0.35">
      <c r="A24">
        <v>15</v>
      </c>
      <c r="B24" t="s">
        <v>78</v>
      </c>
      <c r="U24" s="4">
        <f>($Y$14*(1+(($Y$17)*$A24))-U$6)</f>
        <v>-7.7013503000000014</v>
      </c>
      <c r="V24" s="4">
        <f>($Y$14*(1+(($Y$17)*$A24))-V$6)</f>
        <v>-9.1158392899999967</v>
      </c>
      <c r="W24" s="4">
        <f>($Y$14*(1+(($Y$17)*$A24))-W$6)</f>
        <v>-10.50388323</v>
      </c>
      <c r="X24" s="4">
        <f t="shared" si="3"/>
        <v>-11.941507540000003</v>
      </c>
    </row>
    <row r="25" spans="1:25" x14ac:dyDescent="0.35">
      <c r="A25">
        <v>16</v>
      </c>
      <c r="B25" t="s">
        <v>79</v>
      </c>
      <c r="V25" s="4">
        <f>($Y$14*(1+(($Y$17)*$A25))-V$6)</f>
        <v>-9.1158392899999967</v>
      </c>
      <c r="W25" s="4">
        <f>($Y$14*(1+(($Y$17)*$A25))-W$6)</f>
        <v>-10.50388323</v>
      </c>
      <c r="X25" s="4">
        <f t="shared" si="3"/>
        <v>-11.941507540000003</v>
      </c>
    </row>
    <row r="26" spans="1:25" x14ac:dyDescent="0.35">
      <c r="A26">
        <v>17</v>
      </c>
      <c r="B26" t="s">
        <v>80</v>
      </c>
      <c r="W26" s="4">
        <f>($Y$14*(1+(($Y$17)*$A26))-W$6)</f>
        <v>-10.50388323</v>
      </c>
      <c r="X26" s="4">
        <f t="shared" si="3"/>
        <v>-11.941507540000003</v>
      </c>
    </row>
    <row r="27" spans="1:25" x14ac:dyDescent="0.35">
      <c r="A27">
        <v>18</v>
      </c>
      <c r="B27" t="s">
        <v>81</v>
      </c>
      <c r="X27" s="4">
        <f t="shared" si="3"/>
        <v>-11.941507540000003</v>
      </c>
    </row>
    <row r="28" spans="1:25" x14ac:dyDescent="0.35">
      <c r="X28" s="4"/>
    </row>
    <row r="30" spans="1:25" x14ac:dyDescent="0.35">
      <c r="B30" s="1" t="s">
        <v>82</v>
      </c>
    </row>
    <row r="31" spans="1:25" x14ac:dyDescent="0.35">
      <c r="C31" t="s">
        <v>1</v>
      </c>
    </row>
    <row r="32" spans="1:25" ht="18.5" x14ac:dyDescent="0.35">
      <c r="C32" s="2">
        <v>2022</v>
      </c>
      <c r="D32" s="2">
        <v>2023</v>
      </c>
      <c r="E32" s="2">
        <v>2024</v>
      </c>
      <c r="F32" s="2">
        <v>2025</v>
      </c>
      <c r="G32" s="2">
        <v>2026</v>
      </c>
      <c r="H32" s="2">
        <v>2027</v>
      </c>
      <c r="I32" s="2">
        <v>2028</v>
      </c>
      <c r="J32" s="2">
        <v>2029</v>
      </c>
      <c r="K32" s="2">
        <v>2030</v>
      </c>
      <c r="L32" s="2">
        <v>2031</v>
      </c>
      <c r="M32" s="2">
        <v>2032</v>
      </c>
      <c r="N32" s="2">
        <v>2033</v>
      </c>
      <c r="O32" s="2">
        <v>2034</v>
      </c>
      <c r="P32" s="2">
        <v>2035</v>
      </c>
      <c r="Q32" s="2">
        <v>2036</v>
      </c>
      <c r="R32" s="2">
        <v>2037</v>
      </c>
      <c r="S32" s="2">
        <v>2038</v>
      </c>
      <c r="T32" s="2">
        <v>2039</v>
      </c>
      <c r="U32" s="2">
        <v>2040</v>
      </c>
      <c r="V32" s="2">
        <v>2041</v>
      </c>
      <c r="W32" s="2">
        <v>2042</v>
      </c>
      <c r="X32" s="169">
        <v>2043</v>
      </c>
    </row>
    <row r="33" spans="1:26" x14ac:dyDescent="0.35">
      <c r="B33" t="s">
        <v>58</v>
      </c>
      <c r="C33" s="3"/>
      <c r="D33" s="96">
        <f>D1*(1+D2)</f>
        <v>32.954017059999998</v>
      </c>
      <c r="E33" s="96">
        <f t="shared" ref="E33:X33" si="16">E1*(1+E2)</f>
        <v>40.562906249999997</v>
      </c>
      <c r="F33" s="96">
        <f t="shared" si="16"/>
        <v>42.697086310000003</v>
      </c>
      <c r="G33" s="96">
        <f t="shared" si="16"/>
        <v>42.986665080000002</v>
      </c>
      <c r="H33" s="96">
        <f t="shared" si="16"/>
        <v>43.199580750000003</v>
      </c>
      <c r="I33" s="96">
        <f t="shared" si="16"/>
        <v>43.120825000000004</v>
      </c>
      <c r="J33" s="96">
        <f t="shared" si="16"/>
        <v>45.196049899999998</v>
      </c>
      <c r="K33" s="96">
        <f t="shared" si="16"/>
        <v>47.633003080000002</v>
      </c>
      <c r="L33" s="96">
        <f t="shared" si="16"/>
        <v>47.994488590000003</v>
      </c>
      <c r="M33" s="96">
        <f t="shared" si="16"/>
        <v>48.755720140000001</v>
      </c>
      <c r="N33" s="96">
        <f t="shared" si="16"/>
        <v>50.026022820000001</v>
      </c>
      <c r="O33" s="96">
        <f t="shared" si="16"/>
        <v>51.163177580000003</v>
      </c>
      <c r="P33" s="96">
        <f t="shared" si="16"/>
        <v>52.69907688</v>
      </c>
      <c r="Q33" s="96">
        <f t="shared" si="16"/>
        <v>54.220859330000003</v>
      </c>
      <c r="R33" s="96">
        <f t="shared" si="16"/>
        <v>55.70663046</v>
      </c>
      <c r="S33" s="96">
        <f t="shared" si="16"/>
        <v>57.192187599999997</v>
      </c>
      <c r="T33" s="96">
        <f t="shared" si="16"/>
        <v>58.623416570000003</v>
      </c>
      <c r="U33" s="96">
        <f t="shared" si="16"/>
        <v>59.996350300000003</v>
      </c>
      <c r="V33" s="96">
        <f t="shared" si="16"/>
        <v>61.410839289999998</v>
      </c>
      <c r="W33" s="96">
        <f t="shared" si="16"/>
        <v>62.798883230000001</v>
      </c>
      <c r="X33" s="96">
        <f t="shared" si="16"/>
        <v>64.236507540000005</v>
      </c>
    </row>
    <row r="36" spans="1:26" x14ac:dyDescent="0.35">
      <c r="B36" t="s">
        <v>59</v>
      </c>
      <c r="F36" s="247">
        <f t="shared" ref="F36:W36" si="17">$Y$41-F33</f>
        <v>19.427913689999997</v>
      </c>
      <c r="G36" s="4">
        <f t="shared" si="17"/>
        <v>19.138334919999998</v>
      </c>
      <c r="H36" s="4">
        <f t="shared" si="17"/>
        <v>18.925419249999997</v>
      </c>
      <c r="I36" s="4">
        <f t="shared" si="17"/>
        <v>19.004174999999996</v>
      </c>
      <c r="J36" s="4">
        <f t="shared" si="17"/>
        <v>16.928950100000002</v>
      </c>
      <c r="K36" s="4">
        <f t="shared" si="17"/>
        <v>14.491996919999998</v>
      </c>
      <c r="L36" s="4">
        <f t="shared" si="17"/>
        <v>14.130511409999997</v>
      </c>
      <c r="M36" s="4">
        <f t="shared" si="17"/>
        <v>13.369279859999999</v>
      </c>
      <c r="N36" s="4">
        <f t="shared" si="17"/>
        <v>12.098977179999999</v>
      </c>
      <c r="O36" s="4">
        <f t="shared" si="17"/>
        <v>10.961822419999997</v>
      </c>
      <c r="P36" s="4">
        <f t="shared" si="17"/>
        <v>9.4259231200000002</v>
      </c>
      <c r="Q36" s="4">
        <f t="shared" si="17"/>
        <v>7.9041406699999968</v>
      </c>
      <c r="R36" s="4">
        <f t="shared" si="17"/>
        <v>6.4183695400000005</v>
      </c>
      <c r="S36" s="4">
        <f t="shared" si="17"/>
        <v>4.9328124000000031</v>
      </c>
      <c r="T36" s="4">
        <f t="shared" si="17"/>
        <v>3.5015834299999966</v>
      </c>
      <c r="U36" s="4">
        <f t="shared" si="17"/>
        <v>2.1286496999999969</v>
      </c>
      <c r="V36" s="4">
        <f t="shared" si="17"/>
        <v>0.71416071000000159</v>
      </c>
      <c r="W36" s="4">
        <f t="shared" si="17"/>
        <v>-0.67388323000000128</v>
      </c>
      <c r="X36" s="4">
        <f t="shared" ref="X36:X54" si="18">($Y$14*(1+(($Y$17)*$A36))-X$6)</f>
        <v>-11.941507540000003</v>
      </c>
    </row>
    <row r="37" spans="1:26" ht="15" thickBot="1" x14ac:dyDescent="0.4">
      <c r="A37">
        <v>1</v>
      </c>
      <c r="B37" t="s">
        <v>60</v>
      </c>
      <c r="G37" s="4">
        <f t="shared" ref="G37:W37" si="19">($Z$41*(1+(($Y$44)*$A37))-G$33)</f>
        <v>19.138334919999998</v>
      </c>
      <c r="H37" s="4">
        <f t="shared" si="19"/>
        <v>18.925419249999997</v>
      </c>
      <c r="I37" s="4">
        <f t="shared" si="19"/>
        <v>19.004174999999996</v>
      </c>
      <c r="J37" s="4">
        <f t="shared" si="19"/>
        <v>16.928950100000002</v>
      </c>
      <c r="K37" s="4">
        <f t="shared" si="19"/>
        <v>14.491996919999998</v>
      </c>
      <c r="L37" s="4">
        <f t="shared" si="19"/>
        <v>14.130511409999997</v>
      </c>
      <c r="M37" s="4">
        <f t="shared" si="19"/>
        <v>13.369279859999999</v>
      </c>
      <c r="N37" s="4">
        <f t="shared" si="19"/>
        <v>12.098977179999999</v>
      </c>
      <c r="O37" s="4">
        <f t="shared" si="19"/>
        <v>10.961822419999997</v>
      </c>
      <c r="P37" s="4">
        <f t="shared" si="19"/>
        <v>9.4259231200000002</v>
      </c>
      <c r="Q37" s="4">
        <f t="shared" si="19"/>
        <v>7.9041406699999968</v>
      </c>
      <c r="R37" s="4">
        <f t="shared" si="19"/>
        <v>6.4183695400000005</v>
      </c>
      <c r="S37" s="4">
        <f t="shared" si="19"/>
        <v>4.9328124000000031</v>
      </c>
      <c r="T37" s="4">
        <f t="shared" si="19"/>
        <v>3.5015834299999966</v>
      </c>
      <c r="U37" s="4">
        <f t="shared" si="19"/>
        <v>2.1286496999999969</v>
      </c>
      <c r="V37" s="4">
        <f t="shared" si="19"/>
        <v>0.71416071000000159</v>
      </c>
      <c r="W37" s="4">
        <f t="shared" si="19"/>
        <v>-0.67388323000000128</v>
      </c>
      <c r="X37" s="4">
        <f t="shared" si="18"/>
        <v>-11.941507540000003</v>
      </c>
    </row>
    <row r="38" spans="1:26" x14ac:dyDescent="0.35">
      <c r="A38">
        <v>2</v>
      </c>
      <c r="B38" t="s">
        <v>61</v>
      </c>
      <c r="H38" s="4">
        <f t="shared" ref="H38:W38" si="20">($Y$41*(1+(($Y$44)*$A38))-H$33)</f>
        <v>18.925419249999997</v>
      </c>
      <c r="I38" s="4">
        <f t="shared" si="20"/>
        <v>19.004174999999996</v>
      </c>
      <c r="J38" s="4">
        <f t="shared" si="20"/>
        <v>16.928950100000002</v>
      </c>
      <c r="K38" s="4">
        <f t="shared" si="20"/>
        <v>14.491996919999998</v>
      </c>
      <c r="L38" s="4">
        <f t="shared" si="20"/>
        <v>14.130511409999997</v>
      </c>
      <c r="M38" s="4">
        <f t="shared" si="20"/>
        <v>13.369279859999999</v>
      </c>
      <c r="N38" s="4">
        <f t="shared" si="20"/>
        <v>12.098977179999999</v>
      </c>
      <c r="O38" s="4">
        <f t="shared" si="20"/>
        <v>10.961822419999997</v>
      </c>
      <c r="P38" s="4">
        <f t="shared" si="20"/>
        <v>9.4259231200000002</v>
      </c>
      <c r="Q38" s="4">
        <f t="shared" si="20"/>
        <v>7.9041406699999968</v>
      </c>
      <c r="R38" s="4">
        <f t="shared" si="20"/>
        <v>6.4183695400000005</v>
      </c>
      <c r="S38" s="4">
        <f t="shared" si="20"/>
        <v>4.9328124000000031</v>
      </c>
      <c r="T38" s="4">
        <f t="shared" si="20"/>
        <v>3.5015834299999966</v>
      </c>
      <c r="U38" s="4">
        <f t="shared" si="20"/>
        <v>2.1286496999999969</v>
      </c>
      <c r="V38" s="4">
        <f t="shared" si="20"/>
        <v>0.71416071000000159</v>
      </c>
      <c r="W38" s="4">
        <f t="shared" si="20"/>
        <v>-0.67388323000000128</v>
      </c>
      <c r="X38" s="4">
        <f t="shared" si="18"/>
        <v>-11.941507540000003</v>
      </c>
      <c r="Y38" s="5" t="s">
        <v>62</v>
      </c>
    </row>
    <row r="39" spans="1:26" x14ac:dyDescent="0.35">
      <c r="A39">
        <v>3</v>
      </c>
      <c r="B39" t="s">
        <v>63</v>
      </c>
      <c r="I39" s="4">
        <f t="shared" ref="I39:W39" si="21">($Y$41*(1+(($Y$44)*$A39))-I$33)</f>
        <v>19.004174999999996</v>
      </c>
      <c r="J39" s="4">
        <f t="shared" si="21"/>
        <v>16.928950100000002</v>
      </c>
      <c r="K39" s="4">
        <f t="shared" si="21"/>
        <v>14.491996919999998</v>
      </c>
      <c r="L39" s="4">
        <f t="shared" si="21"/>
        <v>14.130511409999997</v>
      </c>
      <c r="M39" s="4">
        <f t="shared" si="21"/>
        <v>13.369279859999999</v>
      </c>
      <c r="N39" s="4">
        <f t="shared" si="21"/>
        <v>12.098977179999999</v>
      </c>
      <c r="O39" s="4">
        <f t="shared" si="21"/>
        <v>10.961822419999997</v>
      </c>
      <c r="P39" s="4">
        <f t="shared" si="21"/>
        <v>9.4259231200000002</v>
      </c>
      <c r="Q39" s="4">
        <f t="shared" si="21"/>
        <v>7.9041406699999968</v>
      </c>
      <c r="R39" s="4">
        <f t="shared" si="21"/>
        <v>6.4183695400000005</v>
      </c>
      <c r="S39" s="4">
        <f t="shared" si="21"/>
        <v>4.9328124000000031</v>
      </c>
      <c r="T39" s="4">
        <f t="shared" si="21"/>
        <v>3.5015834299999966</v>
      </c>
      <c r="U39" s="4">
        <f t="shared" si="21"/>
        <v>2.1286496999999969</v>
      </c>
      <c r="V39" s="4">
        <f t="shared" si="21"/>
        <v>0.71416071000000159</v>
      </c>
      <c r="W39" s="4">
        <f t="shared" si="21"/>
        <v>-0.67388323000000128</v>
      </c>
      <c r="X39" s="4">
        <f t="shared" si="18"/>
        <v>-11.941507540000003</v>
      </c>
      <c r="Y39" s="6"/>
    </row>
    <row r="40" spans="1:26" x14ac:dyDescent="0.35">
      <c r="A40">
        <v>4</v>
      </c>
      <c r="B40" t="s">
        <v>64</v>
      </c>
      <c r="J40" s="4">
        <f t="shared" ref="J40:W40" si="22">($Y$41*(1+(($Y$44)*$A40))-J$33)</f>
        <v>16.928950100000002</v>
      </c>
      <c r="K40" s="4">
        <f t="shared" si="22"/>
        <v>14.491996919999998</v>
      </c>
      <c r="L40" s="4">
        <f t="shared" si="22"/>
        <v>14.130511409999997</v>
      </c>
      <c r="M40" s="4">
        <f t="shared" si="22"/>
        <v>13.369279859999999</v>
      </c>
      <c r="N40" s="4">
        <f t="shared" si="22"/>
        <v>12.098977179999999</v>
      </c>
      <c r="O40" s="4">
        <f t="shared" si="22"/>
        <v>10.961822419999997</v>
      </c>
      <c r="P40" s="4">
        <f t="shared" si="22"/>
        <v>9.4259231200000002</v>
      </c>
      <c r="Q40" s="4">
        <f t="shared" si="22"/>
        <v>7.9041406699999968</v>
      </c>
      <c r="R40" s="4">
        <f t="shared" si="22"/>
        <v>6.4183695400000005</v>
      </c>
      <c r="S40" s="4">
        <f t="shared" si="22"/>
        <v>4.9328124000000031</v>
      </c>
      <c r="T40" s="4">
        <f t="shared" si="22"/>
        <v>3.5015834299999966</v>
      </c>
      <c r="U40" s="4">
        <f t="shared" si="22"/>
        <v>2.1286496999999969</v>
      </c>
      <c r="V40" s="4">
        <f t="shared" si="22"/>
        <v>0.71416071000000159</v>
      </c>
      <c r="W40" s="4">
        <f t="shared" si="22"/>
        <v>-0.67388323000000128</v>
      </c>
      <c r="X40" s="4">
        <f t="shared" si="18"/>
        <v>-11.941507540000003</v>
      </c>
      <c r="Y40" s="6" t="s">
        <v>65</v>
      </c>
      <c r="Z40" s="6" t="s">
        <v>66</v>
      </c>
    </row>
    <row r="41" spans="1:26" x14ac:dyDescent="0.35">
      <c r="A41">
        <v>5</v>
      </c>
      <c r="B41" t="s">
        <v>67</v>
      </c>
      <c r="K41" s="4">
        <f t="shared" ref="K41:W41" si="23">($Y$41*(1+(($Y$44)*$A41))-K$33)</f>
        <v>14.491996919999998</v>
      </c>
      <c r="L41" s="4">
        <f t="shared" si="23"/>
        <v>14.130511409999997</v>
      </c>
      <c r="M41" s="4">
        <f t="shared" si="23"/>
        <v>13.369279859999999</v>
      </c>
      <c r="N41" s="4">
        <f t="shared" si="23"/>
        <v>12.098977179999999</v>
      </c>
      <c r="O41" s="4">
        <f t="shared" si="23"/>
        <v>10.961822419999997</v>
      </c>
      <c r="P41" s="4">
        <f t="shared" si="23"/>
        <v>9.4259231200000002</v>
      </c>
      <c r="Q41" s="4">
        <f t="shared" si="23"/>
        <v>7.9041406699999968</v>
      </c>
      <c r="R41" s="4">
        <f t="shared" si="23"/>
        <v>6.4183695400000005</v>
      </c>
      <c r="S41" s="4">
        <f t="shared" si="23"/>
        <v>4.9328124000000031</v>
      </c>
      <c r="T41" s="4">
        <f t="shared" si="23"/>
        <v>3.5015834299999966</v>
      </c>
      <c r="U41" s="4">
        <f t="shared" si="23"/>
        <v>2.1286496999999969</v>
      </c>
      <c r="V41" s="4">
        <f t="shared" si="23"/>
        <v>0.71416071000000159</v>
      </c>
      <c r="W41" s="4">
        <f t="shared" si="23"/>
        <v>-0.67388323000000128</v>
      </c>
      <c r="X41" s="4">
        <f t="shared" si="18"/>
        <v>-11.941507540000003</v>
      </c>
      <c r="Y41" s="7">
        <v>62.125</v>
      </c>
      <c r="Z41" s="7">
        <v>62.125</v>
      </c>
    </row>
    <row r="42" spans="1:26" x14ac:dyDescent="0.35">
      <c r="A42">
        <v>6</v>
      </c>
      <c r="B42" t="s">
        <v>68</v>
      </c>
      <c r="L42" s="4">
        <f t="shared" ref="L42:W42" si="24">($Y$41*(1+(($Y$44)*$A42))-L$33)</f>
        <v>14.130511409999997</v>
      </c>
      <c r="M42" s="4">
        <f t="shared" si="24"/>
        <v>13.369279859999999</v>
      </c>
      <c r="N42" s="4">
        <f t="shared" si="24"/>
        <v>12.098977179999999</v>
      </c>
      <c r="O42" s="4">
        <f t="shared" si="24"/>
        <v>10.961822419999997</v>
      </c>
      <c r="P42" s="4">
        <f t="shared" si="24"/>
        <v>9.4259231200000002</v>
      </c>
      <c r="Q42" s="4">
        <f t="shared" si="24"/>
        <v>7.9041406699999968</v>
      </c>
      <c r="R42" s="4">
        <f t="shared" si="24"/>
        <v>6.4183695400000005</v>
      </c>
      <c r="S42" s="4">
        <f t="shared" si="24"/>
        <v>4.9328124000000031</v>
      </c>
      <c r="T42" s="4">
        <f t="shared" si="24"/>
        <v>3.5015834299999966</v>
      </c>
      <c r="U42" s="4">
        <f t="shared" si="24"/>
        <v>2.1286496999999969</v>
      </c>
      <c r="V42" s="4">
        <f t="shared" si="24"/>
        <v>0.71416071000000159</v>
      </c>
      <c r="W42" s="4">
        <f t="shared" si="24"/>
        <v>-0.67388323000000128</v>
      </c>
      <c r="X42" s="4">
        <f t="shared" si="18"/>
        <v>-11.941507540000003</v>
      </c>
      <c r="Y42" s="6"/>
    </row>
    <row r="43" spans="1:26" x14ac:dyDescent="0.35">
      <c r="A43">
        <v>7</v>
      </c>
      <c r="B43" t="s">
        <v>69</v>
      </c>
      <c r="M43" s="4">
        <f t="shared" ref="M43:W43" si="25">($Y$41*(1+(($Y$44)*$A43))-M$33)</f>
        <v>13.369279859999999</v>
      </c>
      <c r="N43" s="4">
        <f t="shared" si="25"/>
        <v>12.098977179999999</v>
      </c>
      <c r="O43" s="4">
        <f t="shared" si="25"/>
        <v>10.961822419999997</v>
      </c>
      <c r="P43" s="4">
        <f t="shared" si="25"/>
        <v>9.4259231200000002</v>
      </c>
      <c r="Q43" s="4">
        <f t="shared" si="25"/>
        <v>7.9041406699999968</v>
      </c>
      <c r="R43" s="4">
        <f t="shared" si="25"/>
        <v>6.4183695400000005</v>
      </c>
      <c r="S43" s="4">
        <f t="shared" si="25"/>
        <v>4.9328124000000031</v>
      </c>
      <c r="T43" s="4">
        <f t="shared" si="25"/>
        <v>3.5015834299999966</v>
      </c>
      <c r="U43" s="4">
        <f t="shared" si="25"/>
        <v>2.1286496999999969</v>
      </c>
      <c r="V43" s="4">
        <f t="shared" si="25"/>
        <v>0.71416071000000159</v>
      </c>
      <c r="W43" s="4">
        <f t="shared" si="25"/>
        <v>-0.67388323000000128</v>
      </c>
      <c r="X43" s="4">
        <f t="shared" si="18"/>
        <v>-11.941507540000003</v>
      </c>
      <c r="Y43" s="6" t="s">
        <v>70</v>
      </c>
    </row>
    <row r="44" spans="1:26" ht="15" thickBot="1" x14ac:dyDescent="0.4">
      <c r="A44">
        <v>8</v>
      </c>
      <c r="B44" t="s">
        <v>71</v>
      </c>
      <c r="M44" s="4"/>
      <c r="N44" s="4">
        <f t="shared" ref="N44:W44" si="26">($Y$41*(1+(($Y$44)*$A44))-N$33)</f>
        <v>12.098977179999999</v>
      </c>
      <c r="O44" s="4">
        <f t="shared" si="26"/>
        <v>10.961822419999997</v>
      </c>
      <c r="P44" s="4">
        <f t="shared" si="26"/>
        <v>9.4259231200000002</v>
      </c>
      <c r="Q44" s="4">
        <f t="shared" si="26"/>
        <v>7.9041406699999968</v>
      </c>
      <c r="R44" s="4">
        <f t="shared" si="26"/>
        <v>6.4183695400000005</v>
      </c>
      <c r="S44" s="4">
        <f t="shared" si="26"/>
        <v>4.9328124000000031</v>
      </c>
      <c r="T44" s="4">
        <f t="shared" si="26"/>
        <v>3.5015834299999966</v>
      </c>
      <c r="U44" s="4">
        <f t="shared" si="26"/>
        <v>2.1286496999999969</v>
      </c>
      <c r="V44" s="4">
        <f t="shared" si="26"/>
        <v>0.71416071000000159</v>
      </c>
      <c r="W44" s="4">
        <f t="shared" si="26"/>
        <v>-0.67388323000000128</v>
      </c>
      <c r="X44" s="4">
        <f t="shared" si="18"/>
        <v>-11.941507540000003</v>
      </c>
      <c r="Y44" s="8">
        <v>0</v>
      </c>
    </row>
    <row r="45" spans="1:26" x14ac:dyDescent="0.35">
      <c r="A45">
        <v>9</v>
      </c>
      <c r="B45" t="s">
        <v>72</v>
      </c>
      <c r="O45" s="4">
        <f t="shared" ref="O45:W45" si="27">($Y$41*(1+(($Y$44)*$A45))-O$33)</f>
        <v>10.961822419999997</v>
      </c>
      <c r="P45" s="4">
        <f t="shared" si="27"/>
        <v>9.4259231200000002</v>
      </c>
      <c r="Q45" s="4">
        <f t="shared" si="27"/>
        <v>7.9041406699999968</v>
      </c>
      <c r="R45" s="4">
        <f t="shared" si="27"/>
        <v>6.4183695400000005</v>
      </c>
      <c r="S45" s="4">
        <f t="shared" si="27"/>
        <v>4.9328124000000031</v>
      </c>
      <c r="T45" s="4">
        <f t="shared" si="27"/>
        <v>3.5015834299999966</v>
      </c>
      <c r="U45" s="4">
        <f t="shared" si="27"/>
        <v>2.1286496999999969</v>
      </c>
      <c r="V45" s="4">
        <f t="shared" si="27"/>
        <v>0.71416071000000159</v>
      </c>
      <c r="W45" s="4">
        <f t="shared" si="27"/>
        <v>-0.67388323000000128</v>
      </c>
      <c r="X45" s="4">
        <f t="shared" si="18"/>
        <v>-11.941507540000003</v>
      </c>
    </row>
    <row r="46" spans="1:26" x14ac:dyDescent="0.35">
      <c r="A46">
        <v>10</v>
      </c>
      <c r="B46" t="s">
        <v>73</v>
      </c>
      <c r="P46" s="4">
        <f t="shared" ref="P46:W46" si="28">($Y$41*(1+(($Y$44)*$A46))-P$33)</f>
        <v>9.4259231200000002</v>
      </c>
      <c r="Q46" s="4">
        <f t="shared" si="28"/>
        <v>7.9041406699999968</v>
      </c>
      <c r="R46" s="4">
        <f t="shared" si="28"/>
        <v>6.4183695400000005</v>
      </c>
      <c r="S46" s="4">
        <f t="shared" si="28"/>
        <v>4.9328124000000031</v>
      </c>
      <c r="T46" s="4">
        <f t="shared" si="28"/>
        <v>3.5015834299999966</v>
      </c>
      <c r="U46" s="4">
        <f t="shared" si="28"/>
        <v>2.1286496999999969</v>
      </c>
      <c r="V46" s="4">
        <f t="shared" si="28"/>
        <v>0.71416071000000159</v>
      </c>
      <c r="W46" s="4">
        <f t="shared" si="28"/>
        <v>-0.67388323000000128</v>
      </c>
      <c r="X46" s="4">
        <f t="shared" si="18"/>
        <v>-11.941507540000003</v>
      </c>
    </row>
    <row r="47" spans="1:26" x14ac:dyDescent="0.35">
      <c r="A47">
        <v>11</v>
      </c>
      <c r="B47" t="s">
        <v>74</v>
      </c>
      <c r="Q47" s="4">
        <f t="shared" ref="Q47:W47" si="29">($Y$41*(1+(($Y$44)*$A47))-Q$33)</f>
        <v>7.9041406699999968</v>
      </c>
      <c r="R47" s="4">
        <f t="shared" si="29"/>
        <v>6.4183695400000005</v>
      </c>
      <c r="S47" s="4">
        <f t="shared" si="29"/>
        <v>4.9328124000000031</v>
      </c>
      <c r="T47" s="4">
        <f t="shared" si="29"/>
        <v>3.5015834299999966</v>
      </c>
      <c r="U47" s="4">
        <f t="shared" si="29"/>
        <v>2.1286496999999969</v>
      </c>
      <c r="V47" s="4">
        <f t="shared" si="29"/>
        <v>0.71416071000000159</v>
      </c>
      <c r="W47" s="4">
        <f t="shared" si="29"/>
        <v>-0.67388323000000128</v>
      </c>
      <c r="X47" s="4">
        <f t="shared" si="18"/>
        <v>-11.941507540000003</v>
      </c>
    </row>
    <row r="48" spans="1:26" x14ac:dyDescent="0.35">
      <c r="A48">
        <v>12</v>
      </c>
      <c r="B48" t="s">
        <v>75</v>
      </c>
      <c r="R48" s="4">
        <f t="shared" ref="R48:W48" si="30">($Y$41*(1+(($Y$44)*$A48))-R$33)</f>
        <v>6.4183695400000005</v>
      </c>
      <c r="S48" s="4">
        <f t="shared" si="30"/>
        <v>4.9328124000000031</v>
      </c>
      <c r="T48" s="4">
        <f t="shared" si="30"/>
        <v>3.5015834299999966</v>
      </c>
      <c r="U48" s="4">
        <f t="shared" si="30"/>
        <v>2.1286496999999969</v>
      </c>
      <c r="V48" s="4">
        <f t="shared" si="30"/>
        <v>0.71416071000000159</v>
      </c>
      <c r="W48" s="4">
        <f t="shared" si="30"/>
        <v>-0.67388323000000128</v>
      </c>
      <c r="X48" s="4">
        <f t="shared" si="18"/>
        <v>-11.941507540000003</v>
      </c>
    </row>
    <row r="49" spans="1:24" x14ac:dyDescent="0.35">
      <c r="A49">
        <v>13</v>
      </c>
      <c r="B49" t="s">
        <v>76</v>
      </c>
      <c r="S49" s="4">
        <f>($Y$41*(1+(($Y$44)*$A49))-S$33)</f>
        <v>4.9328124000000031</v>
      </c>
      <c r="T49" s="4">
        <f>($Y$41*(1+(($Y$44)*$A49))-T$33)</f>
        <v>3.5015834299999966</v>
      </c>
      <c r="U49" s="4">
        <f>($Y$41*(1+(($Y$44)*$A49))-U$33)</f>
        <v>2.1286496999999969</v>
      </c>
      <c r="V49" s="4">
        <f>($Y$41*(1+(($Y$44)*$A49))-V$33)</f>
        <v>0.71416071000000159</v>
      </c>
      <c r="W49" s="4">
        <f>($Y$41*(1+(($Y$44)*$A49))-W$33)</f>
        <v>-0.67388323000000128</v>
      </c>
      <c r="X49" s="4">
        <f t="shared" si="18"/>
        <v>-11.941507540000003</v>
      </c>
    </row>
    <row r="50" spans="1:24" x14ac:dyDescent="0.35">
      <c r="A50">
        <v>14</v>
      </c>
      <c r="B50" t="s">
        <v>77</v>
      </c>
      <c r="T50" s="4">
        <f>($Y$41*(1+(($Y$44)*$A50))-T$33)</f>
        <v>3.5015834299999966</v>
      </c>
      <c r="U50" s="4">
        <f>($Y$41*(1+(($Y$44)*$A50))-U$33)</f>
        <v>2.1286496999999969</v>
      </c>
      <c r="V50" s="4">
        <f>($Y$41*(1+(($Y$44)*$A50))-V$33)</f>
        <v>0.71416071000000159</v>
      </c>
      <c r="W50" s="4">
        <f>($Y$41*(1+(($Y$44)*$A50))-W$33)</f>
        <v>-0.67388323000000128</v>
      </c>
      <c r="X50" s="4">
        <f t="shared" si="18"/>
        <v>-11.941507540000003</v>
      </c>
    </row>
    <row r="51" spans="1:24" x14ac:dyDescent="0.35">
      <c r="A51">
        <v>15</v>
      </c>
      <c r="B51" t="s">
        <v>78</v>
      </c>
      <c r="U51" s="4">
        <f>($Y$41*(1+(($Y$44)*$A51))-U$33)</f>
        <v>2.1286496999999969</v>
      </c>
      <c r="V51" s="4">
        <f>($Y$41*(1+(($Y$44)*$A51))-V$33)</f>
        <v>0.71416071000000159</v>
      </c>
      <c r="W51" s="4">
        <f>($Y$41*(1+(($Y$44)*$A51))-W$33)</f>
        <v>-0.67388323000000128</v>
      </c>
      <c r="X51" s="4">
        <f t="shared" si="18"/>
        <v>-11.941507540000003</v>
      </c>
    </row>
    <row r="52" spans="1:24" x14ac:dyDescent="0.35">
      <c r="A52">
        <v>16</v>
      </c>
      <c r="B52" t="s">
        <v>79</v>
      </c>
      <c r="V52" s="4">
        <f>($Y$41*(1+(($Y$44)*$A52))-V$33)</f>
        <v>0.71416071000000159</v>
      </c>
      <c r="W52" s="4">
        <f>($Y$41*(1+(($Y$44)*$A52))-W$33)</f>
        <v>-0.67388323000000128</v>
      </c>
      <c r="X52" s="4">
        <f t="shared" si="18"/>
        <v>-11.941507540000003</v>
      </c>
    </row>
    <row r="53" spans="1:24" x14ac:dyDescent="0.35">
      <c r="A53">
        <v>17</v>
      </c>
      <c r="B53" t="s">
        <v>80</v>
      </c>
      <c r="W53" s="4">
        <f>($Y$41*(1+(($Y$44)*$A53))-W$33)</f>
        <v>-0.67388323000000128</v>
      </c>
      <c r="X53" s="4">
        <f t="shared" si="18"/>
        <v>-11.941507540000003</v>
      </c>
    </row>
    <row r="54" spans="1:24" x14ac:dyDescent="0.35">
      <c r="A54">
        <v>18</v>
      </c>
      <c r="B54" t="s">
        <v>81</v>
      </c>
      <c r="X54" s="4">
        <f t="shared" si="18"/>
        <v>-11.941507540000003</v>
      </c>
    </row>
    <row r="57" spans="1:24" x14ac:dyDescent="0.35">
      <c r="B57" s="1" t="s">
        <v>83</v>
      </c>
    </row>
    <row r="58" spans="1:24" x14ac:dyDescent="0.35">
      <c r="C58" t="s">
        <v>1</v>
      </c>
    </row>
    <row r="59" spans="1:24" ht="18.5" x14ac:dyDescent="0.35">
      <c r="C59" s="2">
        <v>2022</v>
      </c>
      <c r="D59" s="2">
        <v>2023</v>
      </c>
      <c r="E59" s="2">
        <v>2024</v>
      </c>
      <c r="F59" s="2">
        <v>2025</v>
      </c>
      <c r="G59" s="2">
        <v>2026</v>
      </c>
      <c r="H59" s="2">
        <v>2027</v>
      </c>
      <c r="I59" s="2">
        <v>2028</v>
      </c>
      <c r="J59" s="2">
        <v>2029</v>
      </c>
      <c r="K59" s="2">
        <v>2030</v>
      </c>
      <c r="L59" s="2">
        <v>2031</v>
      </c>
      <c r="M59" s="2">
        <v>2032</v>
      </c>
      <c r="N59" s="2">
        <v>2033</v>
      </c>
      <c r="O59" s="2">
        <v>2034</v>
      </c>
      <c r="P59" s="2">
        <v>2035</v>
      </c>
      <c r="Q59" s="2">
        <v>2036</v>
      </c>
      <c r="R59" s="2">
        <v>2037</v>
      </c>
      <c r="S59" s="2">
        <v>2038</v>
      </c>
      <c r="T59" s="2">
        <v>2039</v>
      </c>
      <c r="U59" s="2">
        <v>2040</v>
      </c>
      <c r="V59" s="2">
        <v>2041</v>
      </c>
      <c r="W59" s="2">
        <v>2042</v>
      </c>
      <c r="X59" s="169">
        <v>2043</v>
      </c>
    </row>
    <row r="60" spans="1:24" x14ac:dyDescent="0.35">
      <c r="B60" t="s">
        <v>58</v>
      </c>
      <c r="C60" s="3"/>
      <c r="D60" s="3">
        <f>D1*(1+D2)</f>
        <v>32.954017059999998</v>
      </c>
      <c r="E60" s="3">
        <f>E1*(1+E2)</f>
        <v>40.562906249999997</v>
      </c>
      <c r="F60" s="3">
        <f>F1*(1+F2)</f>
        <v>42.697086310000003</v>
      </c>
      <c r="G60" s="3">
        <f t="shared" ref="G60:X60" si="31">G1*(1+G2)</f>
        <v>42.986665080000002</v>
      </c>
      <c r="H60" s="3">
        <f t="shared" si="31"/>
        <v>43.199580750000003</v>
      </c>
      <c r="I60" s="3">
        <f t="shared" si="31"/>
        <v>43.120825000000004</v>
      </c>
      <c r="J60" s="3">
        <f t="shared" si="31"/>
        <v>45.196049899999998</v>
      </c>
      <c r="K60" s="3">
        <f t="shared" si="31"/>
        <v>47.633003080000002</v>
      </c>
      <c r="L60" s="3">
        <f t="shared" si="31"/>
        <v>47.994488590000003</v>
      </c>
      <c r="M60" s="3">
        <f t="shared" si="31"/>
        <v>48.755720140000001</v>
      </c>
      <c r="N60" s="3">
        <f t="shared" si="31"/>
        <v>50.026022820000001</v>
      </c>
      <c r="O60" s="3">
        <f t="shared" si="31"/>
        <v>51.163177580000003</v>
      </c>
      <c r="P60" s="3">
        <f t="shared" si="31"/>
        <v>52.69907688</v>
      </c>
      <c r="Q60" s="3">
        <f t="shared" si="31"/>
        <v>54.220859330000003</v>
      </c>
      <c r="R60" s="3">
        <f t="shared" si="31"/>
        <v>55.70663046</v>
      </c>
      <c r="S60" s="3">
        <f t="shared" si="31"/>
        <v>57.192187599999997</v>
      </c>
      <c r="T60" s="3">
        <f t="shared" si="31"/>
        <v>58.623416570000003</v>
      </c>
      <c r="U60" s="3">
        <f t="shared" si="31"/>
        <v>59.996350300000003</v>
      </c>
      <c r="V60" s="3">
        <f t="shared" si="31"/>
        <v>61.410839289999998</v>
      </c>
      <c r="W60" s="3">
        <f t="shared" si="31"/>
        <v>62.798883230000001</v>
      </c>
      <c r="X60" s="3">
        <f t="shared" si="31"/>
        <v>64.236507540000005</v>
      </c>
    </row>
    <row r="63" spans="1:24" x14ac:dyDescent="0.35">
      <c r="B63" t="s">
        <v>59</v>
      </c>
      <c r="F63" s="4">
        <f t="shared" ref="F63:W63" si="32">$Y$68-F60</f>
        <v>49.897913689999996</v>
      </c>
      <c r="G63" s="4">
        <f t="shared" si="32"/>
        <v>49.608334919999997</v>
      </c>
      <c r="H63" s="4">
        <f t="shared" si="32"/>
        <v>49.395419249999996</v>
      </c>
      <c r="I63" s="4">
        <f t="shared" si="32"/>
        <v>49.474174999999995</v>
      </c>
      <c r="J63" s="4">
        <f t="shared" si="32"/>
        <v>47.3989501</v>
      </c>
      <c r="K63" s="4">
        <f t="shared" si="32"/>
        <v>44.961996919999997</v>
      </c>
      <c r="L63" s="4">
        <f t="shared" si="32"/>
        <v>44.600511409999996</v>
      </c>
      <c r="M63" s="4">
        <f t="shared" si="32"/>
        <v>43.839279859999998</v>
      </c>
      <c r="N63" s="4">
        <f t="shared" si="32"/>
        <v>42.568977179999997</v>
      </c>
      <c r="O63" s="4">
        <f t="shared" si="32"/>
        <v>41.431822419999996</v>
      </c>
      <c r="P63" s="4">
        <f t="shared" si="32"/>
        <v>39.895923119999999</v>
      </c>
      <c r="Q63" s="4">
        <f t="shared" si="32"/>
        <v>38.374140669999996</v>
      </c>
      <c r="R63" s="4">
        <f t="shared" si="32"/>
        <v>36.888369539999999</v>
      </c>
      <c r="S63" s="4">
        <f t="shared" si="32"/>
        <v>35.402812400000002</v>
      </c>
      <c r="T63" s="4">
        <f t="shared" si="32"/>
        <v>33.971583429999995</v>
      </c>
      <c r="U63" s="4">
        <f t="shared" si="32"/>
        <v>32.598649699999996</v>
      </c>
      <c r="V63" s="4">
        <f t="shared" si="32"/>
        <v>31.18416071</v>
      </c>
      <c r="W63" s="4">
        <f t="shared" si="32"/>
        <v>29.796116769999998</v>
      </c>
      <c r="X63" s="4">
        <f t="shared" ref="X63:X81" si="33">($Y$14*(1+(($Y$17)*$A63))-X$6)</f>
        <v>-11.941507540000003</v>
      </c>
    </row>
    <row r="64" spans="1:24" ht="15" thickBot="1" x14ac:dyDescent="0.4">
      <c r="A64">
        <v>1</v>
      </c>
      <c r="B64" t="s">
        <v>60</v>
      </c>
      <c r="G64" s="4">
        <f t="shared" ref="G64:W64" si="34">($Z$68*(1+(($Y$44)*$A64))-G$60)</f>
        <v>49.608334919999997</v>
      </c>
      <c r="H64" s="4">
        <f t="shared" si="34"/>
        <v>49.395419249999996</v>
      </c>
      <c r="I64" s="4">
        <f t="shared" si="34"/>
        <v>49.474174999999995</v>
      </c>
      <c r="J64" s="4">
        <f t="shared" si="34"/>
        <v>47.3989501</v>
      </c>
      <c r="K64" s="4">
        <f t="shared" si="34"/>
        <v>44.961996919999997</v>
      </c>
      <c r="L64" s="4">
        <f t="shared" si="34"/>
        <v>44.600511409999996</v>
      </c>
      <c r="M64" s="4">
        <f t="shared" si="34"/>
        <v>43.839279859999998</v>
      </c>
      <c r="N64" s="4">
        <f t="shared" si="34"/>
        <v>42.568977179999997</v>
      </c>
      <c r="O64" s="4">
        <f t="shared" si="34"/>
        <v>41.431822419999996</v>
      </c>
      <c r="P64" s="4">
        <f t="shared" si="34"/>
        <v>39.895923119999999</v>
      </c>
      <c r="Q64" s="4">
        <f t="shared" si="34"/>
        <v>38.374140669999996</v>
      </c>
      <c r="R64" s="4">
        <f t="shared" si="34"/>
        <v>36.888369539999999</v>
      </c>
      <c r="S64" s="4">
        <f t="shared" si="34"/>
        <v>35.402812400000002</v>
      </c>
      <c r="T64" s="4">
        <f t="shared" si="34"/>
        <v>33.971583429999995</v>
      </c>
      <c r="U64" s="4">
        <f t="shared" si="34"/>
        <v>32.598649699999996</v>
      </c>
      <c r="V64" s="4">
        <f t="shared" si="34"/>
        <v>31.18416071</v>
      </c>
      <c r="W64" s="4">
        <f t="shared" si="34"/>
        <v>29.796116769999998</v>
      </c>
      <c r="X64" s="4">
        <f t="shared" si="33"/>
        <v>-11.941507540000003</v>
      </c>
    </row>
    <row r="65" spans="1:26" x14ac:dyDescent="0.35">
      <c r="A65">
        <v>2</v>
      </c>
      <c r="B65" t="s">
        <v>61</v>
      </c>
      <c r="H65" s="4">
        <f t="shared" ref="H65:W65" si="35">($Y$68*(1+(($Y$44)*$A65))-H$60)</f>
        <v>49.395419249999996</v>
      </c>
      <c r="I65" s="4">
        <f t="shared" si="35"/>
        <v>49.474174999999995</v>
      </c>
      <c r="J65" s="4">
        <f t="shared" si="35"/>
        <v>47.3989501</v>
      </c>
      <c r="K65" s="4">
        <f t="shared" si="35"/>
        <v>44.961996919999997</v>
      </c>
      <c r="L65" s="4">
        <f t="shared" si="35"/>
        <v>44.600511409999996</v>
      </c>
      <c r="M65" s="4">
        <f t="shared" si="35"/>
        <v>43.839279859999998</v>
      </c>
      <c r="N65" s="4">
        <f t="shared" si="35"/>
        <v>42.568977179999997</v>
      </c>
      <c r="O65" s="4">
        <f t="shared" si="35"/>
        <v>41.431822419999996</v>
      </c>
      <c r="P65" s="4">
        <f t="shared" si="35"/>
        <v>39.895923119999999</v>
      </c>
      <c r="Q65" s="4">
        <f t="shared" si="35"/>
        <v>38.374140669999996</v>
      </c>
      <c r="R65" s="4">
        <f t="shared" si="35"/>
        <v>36.888369539999999</v>
      </c>
      <c r="S65" s="4">
        <f t="shared" si="35"/>
        <v>35.402812400000002</v>
      </c>
      <c r="T65" s="4">
        <f t="shared" si="35"/>
        <v>33.971583429999995</v>
      </c>
      <c r="U65" s="4">
        <f t="shared" si="35"/>
        <v>32.598649699999996</v>
      </c>
      <c r="V65" s="4">
        <f t="shared" si="35"/>
        <v>31.18416071</v>
      </c>
      <c r="W65" s="4">
        <f t="shared" si="35"/>
        <v>29.796116769999998</v>
      </c>
      <c r="X65" s="4">
        <f t="shared" si="33"/>
        <v>-11.941507540000003</v>
      </c>
      <c r="Y65" s="5" t="s">
        <v>62</v>
      </c>
    </row>
    <row r="66" spans="1:26" x14ac:dyDescent="0.35">
      <c r="A66">
        <v>3</v>
      </c>
      <c r="B66" t="s">
        <v>63</v>
      </c>
      <c r="I66" s="4">
        <f t="shared" ref="I66:W66" si="36">($Y$68*(1+(($Y$44)*$A66))-I$60)</f>
        <v>49.474174999999995</v>
      </c>
      <c r="J66" s="4">
        <f t="shared" si="36"/>
        <v>47.3989501</v>
      </c>
      <c r="K66" s="4">
        <f t="shared" si="36"/>
        <v>44.961996919999997</v>
      </c>
      <c r="L66" s="4">
        <f t="shared" si="36"/>
        <v>44.600511409999996</v>
      </c>
      <c r="M66" s="4">
        <f t="shared" si="36"/>
        <v>43.839279859999998</v>
      </c>
      <c r="N66" s="4">
        <f t="shared" si="36"/>
        <v>42.568977179999997</v>
      </c>
      <c r="O66" s="4">
        <f t="shared" si="36"/>
        <v>41.431822419999996</v>
      </c>
      <c r="P66" s="4">
        <f t="shared" si="36"/>
        <v>39.895923119999999</v>
      </c>
      <c r="Q66" s="4">
        <f t="shared" si="36"/>
        <v>38.374140669999996</v>
      </c>
      <c r="R66" s="4">
        <f t="shared" si="36"/>
        <v>36.888369539999999</v>
      </c>
      <c r="S66" s="4">
        <f t="shared" si="36"/>
        <v>35.402812400000002</v>
      </c>
      <c r="T66" s="4">
        <f t="shared" si="36"/>
        <v>33.971583429999995</v>
      </c>
      <c r="U66" s="4">
        <f t="shared" si="36"/>
        <v>32.598649699999996</v>
      </c>
      <c r="V66" s="4">
        <f t="shared" si="36"/>
        <v>31.18416071</v>
      </c>
      <c r="W66" s="4">
        <f t="shared" si="36"/>
        <v>29.796116769999998</v>
      </c>
      <c r="X66" s="4">
        <f t="shared" si="33"/>
        <v>-11.941507540000003</v>
      </c>
      <c r="Y66" s="6"/>
    </row>
    <row r="67" spans="1:26" x14ac:dyDescent="0.35">
      <c r="A67">
        <v>4</v>
      </c>
      <c r="B67" t="s">
        <v>64</v>
      </c>
      <c r="J67" s="4">
        <f t="shared" ref="J67:W67" si="37">($Y$68*(1+(($Y$44)*$A67))-J$60)</f>
        <v>47.3989501</v>
      </c>
      <c r="K67" s="4">
        <f t="shared" si="37"/>
        <v>44.961996919999997</v>
      </c>
      <c r="L67" s="4">
        <f t="shared" si="37"/>
        <v>44.600511409999996</v>
      </c>
      <c r="M67" s="4">
        <f t="shared" si="37"/>
        <v>43.839279859999998</v>
      </c>
      <c r="N67" s="4">
        <f t="shared" si="37"/>
        <v>42.568977179999997</v>
      </c>
      <c r="O67" s="4">
        <f t="shared" si="37"/>
        <v>41.431822419999996</v>
      </c>
      <c r="P67" s="4">
        <f t="shared" si="37"/>
        <v>39.895923119999999</v>
      </c>
      <c r="Q67" s="4">
        <f t="shared" si="37"/>
        <v>38.374140669999996</v>
      </c>
      <c r="R67" s="4">
        <f t="shared" si="37"/>
        <v>36.888369539999999</v>
      </c>
      <c r="S67" s="4">
        <f t="shared" si="37"/>
        <v>35.402812400000002</v>
      </c>
      <c r="T67" s="4">
        <f t="shared" si="37"/>
        <v>33.971583429999995</v>
      </c>
      <c r="U67" s="4">
        <f t="shared" si="37"/>
        <v>32.598649699999996</v>
      </c>
      <c r="V67" s="4">
        <f t="shared" si="37"/>
        <v>31.18416071</v>
      </c>
      <c r="W67" s="4">
        <f t="shared" si="37"/>
        <v>29.796116769999998</v>
      </c>
      <c r="X67" s="4">
        <f t="shared" si="33"/>
        <v>-11.941507540000003</v>
      </c>
      <c r="Y67" s="6" t="s">
        <v>65</v>
      </c>
      <c r="Z67" s="6" t="s">
        <v>66</v>
      </c>
    </row>
    <row r="68" spans="1:26" x14ac:dyDescent="0.35">
      <c r="A68">
        <v>5</v>
      </c>
      <c r="B68" t="s">
        <v>67</v>
      </c>
      <c r="K68" s="4">
        <f t="shared" ref="K68:W68" si="38">($Y$68*(1+(($Y$44)*$A68))-K$60)</f>
        <v>44.961996919999997</v>
      </c>
      <c r="L68" s="4">
        <f t="shared" si="38"/>
        <v>44.600511409999996</v>
      </c>
      <c r="M68" s="4">
        <f t="shared" si="38"/>
        <v>43.839279859999998</v>
      </c>
      <c r="N68" s="4">
        <f t="shared" si="38"/>
        <v>42.568977179999997</v>
      </c>
      <c r="O68" s="4">
        <f t="shared" si="38"/>
        <v>41.431822419999996</v>
      </c>
      <c r="P68" s="4">
        <f t="shared" si="38"/>
        <v>39.895923119999999</v>
      </c>
      <c r="Q68" s="4">
        <f t="shared" si="38"/>
        <v>38.374140669999996</v>
      </c>
      <c r="R68" s="4">
        <f t="shared" si="38"/>
        <v>36.888369539999999</v>
      </c>
      <c r="S68" s="4">
        <f t="shared" si="38"/>
        <v>35.402812400000002</v>
      </c>
      <c r="T68" s="4">
        <f t="shared" si="38"/>
        <v>33.971583429999995</v>
      </c>
      <c r="U68" s="4">
        <f t="shared" si="38"/>
        <v>32.598649699999996</v>
      </c>
      <c r="V68" s="4">
        <f t="shared" si="38"/>
        <v>31.18416071</v>
      </c>
      <c r="W68" s="4">
        <f t="shared" si="38"/>
        <v>29.796116769999998</v>
      </c>
      <c r="X68" s="4">
        <f t="shared" si="33"/>
        <v>-11.941507540000003</v>
      </c>
      <c r="Y68" s="7">
        <v>92.594999999999999</v>
      </c>
      <c r="Z68" s="7">
        <v>92.594999999999999</v>
      </c>
    </row>
    <row r="69" spans="1:26" x14ac:dyDescent="0.35">
      <c r="A69">
        <v>6</v>
      </c>
      <c r="B69" t="s">
        <v>68</v>
      </c>
      <c r="L69" s="4">
        <f t="shared" ref="L69:W69" si="39">($Y$68*(1+(($Y$44)*$A69))-L$60)</f>
        <v>44.600511409999996</v>
      </c>
      <c r="M69" s="4">
        <f t="shared" si="39"/>
        <v>43.839279859999998</v>
      </c>
      <c r="N69" s="4">
        <f t="shared" si="39"/>
        <v>42.568977179999997</v>
      </c>
      <c r="O69" s="4">
        <f t="shared" si="39"/>
        <v>41.431822419999996</v>
      </c>
      <c r="P69" s="4">
        <f t="shared" si="39"/>
        <v>39.895923119999999</v>
      </c>
      <c r="Q69" s="4">
        <f t="shared" si="39"/>
        <v>38.374140669999996</v>
      </c>
      <c r="R69" s="4">
        <f t="shared" si="39"/>
        <v>36.888369539999999</v>
      </c>
      <c r="S69" s="4">
        <f t="shared" si="39"/>
        <v>35.402812400000002</v>
      </c>
      <c r="T69" s="4">
        <f t="shared" si="39"/>
        <v>33.971583429999995</v>
      </c>
      <c r="U69" s="4">
        <f t="shared" si="39"/>
        <v>32.598649699999996</v>
      </c>
      <c r="V69" s="4">
        <f t="shared" si="39"/>
        <v>31.18416071</v>
      </c>
      <c r="W69" s="4">
        <f t="shared" si="39"/>
        <v>29.796116769999998</v>
      </c>
      <c r="X69" s="4">
        <f t="shared" si="33"/>
        <v>-11.941507540000003</v>
      </c>
      <c r="Y69" s="6"/>
    </row>
    <row r="70" spans="1:26" x14ac:dyDescent="0.35">
      <c r="A70">
        <v>7</v>
      </c>
      <c r="B70" t="s">
        <v>69</v>
      </c>
      <c r="M70" s="4">
        <f t="shared" ref="M70:W70" si="40">($Y$68*(1+(($Y$44)*$A70))-M$60)</f>
        <v>43.839279859999998</v>
      </c>
      <c r="N70" s="4">
        <f t="shared" si="40"/>
        <v>42.568977179999997</v>
      </c>
      <c r="O70" s="4">
        <f t="shared" si="40"/>
        <v>41.431822419999996</v>
      </c>
      <c r="P70" s="4">
        <f t="shared" si="40"/>
        <v>39.895923119999999</v>
      </c>
      <c r="Q70" s="4">
        <f t="shared" si="40"/>
        <v>38.374140669999996</v>
      </c>
      <c r="R70" s="4">
        <f t="shared" si="40"/>
        <v>36.888369539999999</v>
      </c>
      <c r="S70" s="4">
        <f t="shared" si="40"/>
        <v>35.402812400000002</v>
      </c>
      <c r="T70" s="4">
        <f t="shared" si="40"/>
        <v>33.971583429999995</v>
      </c>
      <c r="U70" s="4">
        <f t="shared" si="40"/>
        <v>32.598649699999996</v>
      </c>
      <c r="V70" s="4">
        <f t="shared" si="40"/>
        <v>31.18416071</v>
      </c>
      <c r="W70" s="4">
        <f t="shared" si="40"/>
        <v>29.796116769999998</v>
      </c>
      <c r="X70" s="4">
        <f t="shared" si="33"/>
        <v>-11.941507540000003</v>
      </c>
      <c r="Y70" s="6" t="s">
        <v>70</v>
      </c>
    </row>
    <row r="71" spans="1:26" ht="15" thickBot="1" x14ac:dyDescent="0.4">
      <c r="A71">
        <v>8</v>
      </c>
      <c r="B71" t="s">
        <v>71</v>
      </c>
      <c r="M71" s="4"/>
      <c r="N71" s="4">
        <f t="shared" ref="N71:W71" si="41">($Y$68*(1+(($Y$44)*$A71))-N$60)</f>
        <v>42.568977179999997</v>
      </c>
      <c r="O71" s="4">
        <f t="shared" si="41"/>
        <v>41.431822419999996</v>
      </c>
      <c r="P71" s="4">
        <f t="shared" si="41"/>
        <v>39.895923119999999</v>
      </c>
      <c r="Q71" s="4">
        <f t="shared" si="41"/>
        <v>38.374140669999996</v>
      </c>
      <c r="R71" s="4">
        <f t="shared" si="41"/>
        <v>36.888369539999999</v>
      </c>
      <c r="S71" s="4">
        <f t="shared" si="41"/>
        <v>35.402812400000002</v>
      </c>
      <c r="T71" s="4">
        <f t="shared" si="41"/>
        <v>33.971583429999995</v>
      </c>
      <c r="U71" s="4">
        <f t="shared" si="41"/>
        <v>32.598649699999996</v>
      </c>
      <c r="V71" s="4">
        <f t="shared" si="41"/>
        <v>31.18416071</v>
      </c>
      <c r="W71" s="4">
        <f t="shared" si="41"/>
        <v>29.796116769999998</v>
      </c>
      <c r="X71" s="4">
        <f t="shared" si="33"/>
        <v>-11.941507540000003</v>
      </c>
      <c r="Y71" s="8">
        <v>0</v>
      </c>
    </row>
    <row r="72" spans="1:26" x14ac:dyDescent="0.35">
      <c r="A72">
        <v>9</v>
      </c>
      <c r="B72" t="s">
        <v>72</v>
      </c>
      <c r="O72" s="4">
        <f t="shared" ref="O72:W72" si="42">($Y$68*(1+(($Y$71)*$A72))-O$60)</f>
        <v>41.431822419999996</v>
      </c>
      <c r="P72" s="4">
        <f t="shared" si="42"/>
        <v>39.895923119999999</v>
      </c>
      <c r="Q72" s="4">
        <f t="shared" si="42"/>
        <v>38.374140669999996</v>
      </c>
      <c r="R72" s="4">
        <f t="shared" si="42"/>
        <v>36.888369539999999</v>
      </c>
      <c r="S72" s="4">
        <f t="shared" si="42"/>
        <v>35.402812400000002</v>
      </c>
      <c r="T72" s="4">
        <f t="shared" si="42"/>
        <v>33.971583429999995</v>
      </c>
      <c r="U72" s="4">
        <f t="shared" si="42"/>
        <v>32.598649699999996</v>
      </c>
      <c r="V72" s="4">
        <f t="shared" si="42"/>
        <v>31.18416071</v>
      </c>
      <c r="W72" s="4">
        <f t="shared" si="42"/>
        <v>29.796116769999998</v>
      </c>
      <c r="X72" s="4">
        <f t="shared" si="33"/>
        <v>-11.941507540000003</v>
      </c>
    </row>
    <row r="73" spans="1:26" x14ac:dyDescent="0.35">
      <c r="A73">
        <v>10</v>
      </c>
      <c r="B73" t="s">
        <v>73</v>
      </c>
      <c r="P73" s="4">
        <f t="shared" ref="P73:W73" si="43">($Y$68*(1+(($Y$71)*$A73))-P$60)</f>
        <v>39.895923119999999</v>
      </c>
      <c r="Q73" s="4">
        <f t="shared" si="43"/>
        <v>38.374140669999996</v>
      </c>
      <c r="R73" s="4">
        <f t="shared" si="43"/>
        <v>36.888369539999999</v>
      </c>
      <c r="S73" s="4">
        <f t="shared" si="43"/>
        <v>35.402812400000002</v>
      </c>
      <c r="T73" s="4">
        <f t="shared" si="43"/>
        <v>33.971583429999995</v>
      </c>
      <c r="U73" s="4">
        <f t="shared" si="43"/>
        <v>32.598649699999996</v>
      </c>
      <c r="V73" s="4">
        <f t="shared" si="43"/>
        <v>31.18416071</v>
      </c>
      <c r="W73" s="4">
        <f t="shared" si="43"/>
        <v>29.796116769999998</v>
      </c>
      <c r="X73" s="4">
        <f t="shared" si="33"/>
        <v>-11.941507540000003</v>
      </c>
    </row>
    <row r="74" spans="1:26" x14ac:dyDescent="0.35">
      <c r="A74">
        <v>11</v>
      </c>
      <c r="B74" t="s">
        <v>74</v>
      </c>
      <c r="Q74" s="4">
        <f t="shared" ref="Q74:W74" si="44">($Y$68*(1+(($Y$71)*$A74))-Q$60)</f>
        <v>38.374140669999996</v>
      </c>
      <c r="R74" s="4">
        <f t="shared" si="44"/>
        <v>36.888369539999999</v>
      </c>
      <c r="S74" s="4">
        <f t="shared" si="44"/>
        <v>35.402812400000002</v>
      </c>
      <c r="T74" s="4">
        <f t="shared" si="44"/>
        <v>33.971583429999995</v>
      </c>
      <c r="U74" s="4">
        <f t="shared" si="44"/>
        <v>32.598649699999996</v>
      </c>
      <c r="V74" s="4">
        <f t="shared" si="44"/>
        <v>31.18416071</v>
      </c>
      <c r="W74" s="4">
        <f t="shared" si="44"/>
        <v>29.796116769999998</v>
      </c>
      <c r="X74" s="4">
        <f t="shared" si="33"/>
        <v>-11.941507540000003</v>
      </c>
    </row>
    <row r="75" spans="1:26" x14ac:dyDescent="0.35">
      <c r="A75">
        <v>12</v>
      </c>
      <c r="B75" t="s">
        <v>75</v>
      </c>
      <c r="R75" s="4">
        <f t="shared" ref="R75:W75" si="45">($Y$68*(1+(($Y$71)*$A75))-R$60)</f>
        <v>36.888369539999999</v>
      </c>
      <c r="S75" s="4">
        <f t="shared" si="45"/>
        <v>35.402812400000002</v>
      </c>
      <c r="T75" s="4">
        <f t="shared" si="45"/>
        <v>33.971583429999995</v>
      </c>
      <c r="U75" s="4">
        <f t="shared" si="45"/>
        <v>32.598649699999996</v>
      </c>
      <c r="V75" s="4">
        <f t="shared" si="45"/>
        <v>31.18416071</v>
      </c>
      <c r="W75" s="4">
        <f t="shared" si="45"/>
        <v>29.796116769999998</v>
      </c>
      <c r="X75" s="4">
        <f t="shared" si="33"/>
        <v>-11.941507540000003</v>
      </c>
    </row>
    <row r="76" spans="1:26" x14ac:dyDescent="0.35">
      <c r="A76">
        <v>13</v>
      </c>
      <c r="B76" t="s">
        <v>76</v>
      </c>
      <c r="S76" s="4">
        <f>($Y$68*(1+(($Y$71)*$A76))-S$60)</f>
        <v>35.402812400000002</v>
      </c>
      <c r="T76" s="4">
        <f>($Y$68*(1+(($Y$71)*$A76))-T$60)</f>
        <v>33.971583429999995</v>
      </c>
      <c r="U76" s="4">
        <f>($Y$68*(1+(($Y$71)*$A76))-U$60)</f>
        <v>32.598649699999996</v>
      </c>
      <c r="V76" s="4">
        <f>($Y$68*(1+(($Y$71)*$A76))-V$60)</f>
        <v>31.18416071</v>
      </c>
      <c r="W76" s="4">
        <f>($Y$68*(1+(($Y$71)*$A76))-W$60)</f>
        <v>29.796116769999998</v>
      </c>
      <c r="X76" s="4">
        <f t="shared" si="33"/>
        <v>-11.941507540000003</v>
      </c>
    </row>
    <row r="77" spans="1:26" x14ac:dyDescent="0.35">
      <c r="A77">
        <v>14</v>
      </c>
      <c r="B77" t="s">
        <v>77</v>
      </c>
      <c r="T77" s="4">
        <f>($Y$68*(1+(($Y$71)*$A77))-T$60)</f>
        <v>33.971583429999995</v>
      </c>
      <c r="U77" s="4">
        <f>($Y$68*(1+(($Y$71)*$A77))-U$60)</f>
        <v>32.598649699999996</v>
      </c>
      <c r="V77" s="4">
        <f>($Y$68*(1+(($Y$71)*$A77))-V$60)</f>
        <v>31.18416071</v>
      </c>
      <c r="W77" s="4">
        <f>($Y$68*(1+(($Y$71)*$A77))-W$60)</f>
        <v>29.796116769999998</v>
      </c>
      <c r="X77" s="4">
        <f t="shared" si="33"/>
        <v>-11.941507540000003</v>
      </c>
    </row>
    <row r="78" spans="1:26" x14ac:dyDescent="0.35">
      <c r="A78">
        <v>15</v>
      </c>
      <c r="B78" t="s">
        <v>78</v>
      </c>
      <c r="U78" s="4">
        <f>($Y$68*(1+(($Y$71)*$A78))-U$60)</f>
        <v>32.598649699999996</v>
      </c>
      <c r="V78" s="4">
        <f>($Y$68*(1+(($Y$71)*$A78))-V$60)</f>
        <v>31.18416071</v>
      </c>
      <c r="W78" s="4">
        <f>($Y$68*(1+(($Y$71)*$A78))-W$60)</f>
        <v>29.796116769999998</v>
      </c>
      <c r="X78" s="4">
        <f t="shared" si="33"/>
        <v>-11.941507540000003</v>
      </c>
    </row>
    <row r="79" spans="1:26" x14ac:dyDescent="0.35">
      <c r="A79">
        <v>16</v>
      </c>
      <c r="B79" t="s">
        <v>79</v>
      </c>
      <c r="V79" s="4">
        <f>($Y$68*(1+(($Y$71)*$A79))-V$60)</f>
        <v>31.18416071</v>
      </c>
      <c r="W79" s="4">
        <f>($Y$68*(1+(($Y$71)*$A79))-W$60)</f>
        <v>29.796116769999998</v>
      </c>
      <c r="X79" s="4">
        <f t="shared" si="33"/>
        <v>-11.941507540000003</v>
      </c>
    </row>
    <row r="80" spans="1:26" x14ac:dyDescent="0.35">
      <c r="A80">
        <v>17</v>
      </c>
      <c r="B80" t="s">
        <v>80</v>
      </c>
      <c r="W80" s="4">
        <f>($Y$68*(1+(($Y$71)*$A80))-W$60)</f>
        <v>29.796116769999998</v>
      </c>
      <c r="X80" s="4">
        <f t="shared" si="33"/>
        <v>-11.941507540000003</v>
      </c>
    </row>
    <row r="81" spans="1:24" x14ac:dyDescent="0.35">
      <c r="A81">
        <v>18</v>
      </c>
      <c r="B81" t="s">
        <v>81</v>
      </c>
      <c r="X81" s="4">
        <f t="shared" si="33"/>
        <v>-11.941507540000003</v>
      </c>
    </row>
    <row r="91" spans="1:24" x14ac:dyDescent="0.35">
      <c r="B91" s="302" t="s">
        <v>84</v>
      </c>
      <c r="C91" s="302"/>
    </row>
    <row r="92" spans="1:24" x14ac:dyDescent="0.35">
      <c r="B92" s="303">
        <v>0.995</v>
      </c>
      <c r="C92" s="304"/>
    </row>
  </sheetData>
  <mergeCells count="2">
    <mergeCell ref="B91:C91"/>
    <mergeCell ref="B92:C92"/>
  </mergeCells>
  <phoneticPr fontId="13" type="noConversion"/>
  <pageMargins left="0.7" right="0.7" top="0.75" bottom="0.75" header="0.3" footer="0.3"/>
  <pageSetup scale="33" fitToHeight="3" orientation="portrait" r:id="rId1"/>
  <customProperties>
    <customPr name="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2460B-03FE-42E1-8034-08503B91F54D}">
  <sheetPr>
    <tabColor theme="5" tint="0.59999389629810485"/>
    <pageSetUpPr fitToPage="1"/>
  </sheetPr>
  <dimension ref="A1:AV99"/>
  <sheetViews>
    <sheetView zoomScaleNormal="100" workbookViewId="0">
      <selection activeCell="L3" sqref="L3"/>
    </sheetView>
  </sheetViews>
  <sheetFormatPr defaultRowHeight="14.5" x14ac:dyDescent="0.35"/>
  <cols>
    <col min="1" max="1" width="31.54296875" style="1" customWidth="1"/>
    <col min="2" max="2" width="7.54296875" bestFit="1" customWidth="1"/>
    <col min="3" max="4" width="7.54296875" customWidth="1"/>
    <col min="5" max="5" width="14.453125" customWidth="1"/>
    <col min="6" max="7" width="11.54296875" bestFit="1" customWidth="1"/>
    <col min="8" max="9" width="12.54296875" bestFit="1" customWidth="1"/>
    <col min="10" max="10" width="13.453125" bestFit="1" customWidth="1"/>
    <col min="11" max="15" width="12.54296875" bestFit="1" customWidth="1"/>
    <col min="16" max="16" width="14.453125" bestFit="1" customWidth="1"/>
    <col min="17" max="22" width="12.54296875" bestFit="1" customWidth="1"/>
    <col min="23" max="23" width="14.453125" bestFit="1" customWidth="1"/>
    <col min="24" max="24" width="12.54296875" bestFit="1" customWidth="1"/>
    <col min="25" max="26" width="12.54296875" customWidth="1"/>
  </cols>
  <sheetData>
    <row r="1" spans="1:26" ht="15.5" x14ac:dyDescent="0.35">
      <c r="A1" s="177" t="s">
        <v>85</v>
      </c>
      <c r="B1" s="177" t="s">
        <v>86</v>
      </c>
      <c r="C1" s="220">
        <v>2020</v>
      </c>
      <c r="D1" s="220">
        <v>2021</v>
      </c>
      <c r="E1" s="220">
        <v>2022</v>
      </c>
      <c r="F1" s="220">
        <f t="shared" ref="F1:Y1" si="0">E1+1</f>
        <v>2023</v>
      </c>
      <c r="G1" s="220">
        <f t="shared" si="0"/>
        <v>2024</v>
      </c>
      <c r="H1" s="220">
        <f t="shared" si="0"/>
        <v>2025</v>
      </c>
      <c r="I1" s="220">
        <f t="shared" si="0"/>
        <v>2026</v>
      </c>
      <c r="J1" s="220">
        <f t="shared" si="0"/>
        <v>2027</v>
      </c>
      <c r="K1" s="220">
        <f t="shared" si="0"/>
        <v>2028</v>
      </c>
      <c r="L1" s="220">
        <f t="shared" si="0"/>
        <v>2029</v>
      </c>
      <c r="M1" s="220">
        <f t="shared" si="0"/>
        <v>2030</v>
      </c>
      <c r="N1" s="220">
        <f t="shared" si="0"/>
        <v>2031</v>
      </c>
      <c r="O1" s="220">
        <f t="shared" si="0"/>
        <v>2032</v>
      </c>
      <c r="P1" s="220">
        <f t="shared" si="0"/>
        <v>2033</v>
      </c>
      <c r="Q1" s="220">
        <f t="shared" si="0"/>
        <v>2034</v>
      </c>
      <c r="R1" s="220">
        <f t="shared" si="0"/>
        <v>2035</v>
      </c>
      <c r="S1" s="220">
        <f t="shared" si="0"/>
        <v>2036</v>
      </c>
      <c r="T1" s="220">
        <f t="shared" si="0"/>
        <v>2037</v>
      </c>
      <c r="U1" s="220">
        <f t="shared" si="0"/>
        <v>2038</v>
      </c>
      <c r="V1" s="220">
        <f t="shared" si="0"/>
        <v>2039</v>
      </c>
      <c r="W1" s="220">
        <f t="shared" si="0"/>
        <v>2040</v>
      </c>
      <c r="X1" s="220">
        <f t="shared" si="0"/>
        <v>2041</v>
      </c>
      <c r="Y1" s="220">
        <f t="shared" si="0"/>
        <v>2042</v>
      </c>
      <c r="Z1" s="220">
        <f t="shared" ref="Z1" si="1">Y1+1</f>
        <v>2043</v>
      </c>
    </row>
    <row r="2" spans="1:26" ht="15.5" x14ac:dyDescent="0.35">
      <c r="A2" s="177" t="s">
        <v>87</v>
      </c>
      <c r="B2" s="11">
        <v>2022</v>
      </c>
      <c r="C2" s="10"/>
      <c r="D2" s="10"/>
      <c r="E2" s="13"/>
      <c r="F2" s="13"/>
      <c r="G2" s="13"/>
      <c r="H2" s="248">
        <v>460000</v>
      </c>
      <c r="I2" s="248">
        <v>460000</v>
      </c>
      <c r="J2" s="248">
        <v>460000</v>
      </c>
      <c r="K2" s="248">
        <v>460000</v>
      </c>
      <c r="L2" s="248">
        <v>460000</v>
      </c>
      <c r="M2" s="248">
        <v>460000</v>
      </c>
      <c r="N2" s="248">
        <v>460000</v>
      </c>
      <c r="O2" s="248">
        <v>460000</v>
      </c>
      <c r="P2" s="248">
        <v>460000</v>
      </c>
      <c r="Q2" s="248">
        <v>460000</v>
      </c>
      <c r="R2" s="248">
        <v>460000</v>
      </c>
      <c r="S2" s="248">
        <v>460000</v>
      </c>
      <c r="T2" s="248">
        <v>460000</v>
      </c>
      <c r="U2" s="248">
        <v>460000</v>
      </c>
      <c r="V2" s="248">
        <v>460000</v>
      </c>
      <c r="W2" s="248">
        <v>460000</v>
      </c>
      <c r="X2" s="248">
        <v>460000</v>
      </c>
      <c r="Y2" s="248">
        <v>460000</v>
      </c>
      <c r="Z2" s="248">
        <v>460000</v>
      </c>
    </row>
    <row r="3" spans="1:26" ht="15.5" x14ac:dyDescent="0.35">
      <c r="A3" s="177" t="s">
        <v>87</v>
      </c>
      <c r="B3" s="11">
        <f>B2+1</f>
        <v>2023</v>
      </c>
      <c r="C3" s="11"/>
      <c r="D3" s="11"/>
      <c r="E3" s="13"/>
      <c r="F3" s="13"/>
      <c r="G3" s="13"/>
      <c r="H3" s="248"/>
      <c r="I3" s="248"/>
      <c r="J3" s="248">
        <v>5000000</v>
      </c>
      <c r="K3" s="248">
        <v>5000000</v>
      </c>
      <c r="L3" s="248">
        <v>5000000</v>
      </c>
      <c r="M3" s="248">
        <v>5000000</v>
      </c>
      <c r="N3" s="248">
        <v>5000000</v>
      </c>
      <c r="O3" s="248">
        <v>5000000</v>
      </c>
      <c r="P3" s="248">
        <v>5000000</v>
      </c>
      <c r="Q3" s="248">
        <v>5000000</v>
      </c>
      <c r="R3" s="248">
        <v>5000000</v>
      </c>
      <c r="S3" s="248">
        <v>5000000</v>
      </c>
      <c r="T3" s="248">
        <v>5000000</v>
      </c>
      <c r="U3" s="248">
        <v>5000000</v>
      </c>
      <c r="V3" s="248">
        <v>5000000</v>
      </c>
      <c r="W3" s="248">
        <v>5000000</v>
      </c>
      <c r="X3" s="248">
        <v>5000000</v>
      </c>
      <c r="Y3" s="248">
        <v>5000000</v>
      </c>
      <c r="Z3" s="248">
        <v>5000000</v>
      </c>
    </row>
    <row r="4" spans="1:26" ht="15.5" x14ac:dyDescent="0.35">
      <c r="A4" s="177" t="s">
        <v>87</v>
      </c>
      <c r="B4" s="11">
        <f t="shared" ref="B4:B22" si="2">B3+1</f>
        <v>2024</v>
      </c>
      <c r="C4" s="11"/>
      <c r="D4" s="11"/>
      <c r="E4" s="13"/>
      <c r="F4" s="13"/>
      <c r="G4" s="13"/>
      <c r="H4" s="248"/>
      <c r="I4" s="248"/>
      <c r="J4" s="248">
        <v>2500000</v>
      </c>
      <c r="K4" s="248">
        <v>2500000</v>
      </c>
      <c r="L4" s="248">
        <v>2500000</v>
      </c>
      <c r="M4" s="248">
        <v>2500000</v>
      </c>
      <c r="N4" s="248">
        <v>2500000</v>
      </c>
      <c r="O4" s="248">
        <v>2500000</v>
      </c>
      <c r="P4" s="248">
        <v>2500000</v>
      </c>
      <c r="Q4" s="248">
        <v>2500000</v>
      </c>
      <c r="R4" s="248">
        <v>2500000</v>
      </c>
      <c r="S4" s="248">
        <v>2500000</v>
      </c>
      <c r="T4" s="248">
        <v>2500000</v>
      </c>
      <c r="U4" s="248">
        <v>2500000</v>
      </c>
      <c r="V4" s="248">
        <v>2500000</v>
      </c>
      <c r="W4" s="248">
        <v>2500000</v>
      </c>
      <c r="X4" s="248">
        <v>2500000</v>
      </c>
      <c r="Y4" s="248">
        <v>2500000</v>
      </c>
      <c r="Z4" s="248">
        <v>2500000</v>
      </c>
    </row>
    <row r="5" spans="1:26" ht="15.5" x14ac:dyDescent="0.35">
      <c r="A5" s="177" t="s">
        <v>87</v>
      </c>
      <c r="B5" s="11">
        <f t="shared" si="2"/>
        <v>2025</v>
      </c>
      <c r="C5" s="11"/>
      <c r="D5" s="11"/>
      <c r="E5" s="13"/>
      <c r="F5" s="13"/>
      <c r="G5" s="13"/>
      <c r="H5" s="248"/>
      <c r="I5" s="248"/>
      <c r="J5" s="248">
        <v>0</v>
      </c>
      <c r="K5" s="248">
        <v>2500000</v>
      </c>
      <c r="L5" s="248">
        <v>2500000</v>
      </c>
      <c r="M5" s="248">
        <v>2500000</v>
      </c>
      <c r="N5" s="248">
        <v>2500000</v>
      </c>
      <c r="O5" s="248">
        <v>2500000</v>
      </c>
      <c r="P5" s="248">
        <v>2500000</v>
      </c>
      <c r="Q5" s="248">
        <v>2500000</v>
      </c>
      <c r="R5" s="248">
        <v>2500000</v>
      </c>
      <c r="S5" s="248">
        <v>2500000</v>
      </c>
      <c r="T5" s="248">
        <v>2500000</v>
      </c>
      <c r="U5" s="248">
        <v>2500000</v>
      </c>
      <c r="V5" s="248">
        <v>2500000</v>
      </c>
      <c r="W5" s="248">
        <v>2500000</v>
      </c>
      <c r="X5" s="248">
        <v>2500000</v>
      </c>
      <c r="Y5" s="248">
        <v>2500000</v>
      </c>
      <c r="Z5" s="248">
        <v>2500000</v>
      </c>
    </row>
    <row r="6" spans="1:26" ht="15.5" x14ac:dyDescent="0.35">
      <c r="A6" s="177" t="s">
        <v>87</v>
      </c>
      <c r="B6" s="11">
        <f t="shared" si="2"/>
        <v>2026</v>
      </c>
      <c r="C6" s="11"/>
      <c r="D6" s="11"/>
      <c r="E6" s="13"/>
      <c r="F6" s="13"/>
      <c r="G6" s="13"/>
      <c r="H6" s="248"/>
      <c r="I6" s="248">
        <v>0</v>
      </c>
      <c r="J6" s="248">
        <v>0</v>
      </c>
      <c r="K6" s="248">
        <v>0</v>
      </c>
      <c r="L6" s="248">
        <v>2500000</v>
      </c>
      <c r="M6" s="248">
        <v>2500000</v>
      </c>
      <c r="N6" s="248">
        <v>2500000</v>
      </c>
      <c r="O6" s="248">
        <v>2500000</v>
      </c>
      <c r="P6" s="248">
        <v>2500000</v>
      </c>
      <c r="Q6" s="248">
        <v>2500000</v>
      </c>
      <c r="R6" s="248">
        <v>2500000</v>
      </c>
      <c r="S6" s="248">
        <v>2500000</v>
      </c>
      <c r="T6" s="248">
        <v>2500000</v>
      </c>
      <c r="U6" s="248">
        <v>2500000</v>
      </c>
      <c r="V6" s="248">
        <v>2500000</v>
      </c>
      <c r="W6" s="248">
        <v>2500000</v>
      </c>
      <c r="X6" s="248">
        <v>2500000</v>
      </c>
      <c r="Y6" s="248">
        <v>2500000</v>
      </c>
      <c r="Z6" s="248">
        <v>2500000</v>
      </c>
    </row>
    <row r="7" spans="1:26" ht="15.5" x14ac:dyDescent="0.35">
      <c r="A7" s="177" t="s">
        <v>87</v>
      </c>
      <c r="B7" s="11">
        <f t="shared" si="2"/>
        <v>2027</v>
      </c>
      <c r="C7" s="11"/>
      <c r="D7" s="11"/>
      <c r="E7" s="13"/>
      <c r="F7" s="13"/>
      <c r="G7" s="13"/>
      <c r="H7" s="248"/>
      <c r="I7" s="248"/>
      <c r="J7" s="248">
        <v>0</v>
      </c>
      <c r="K7" s="248">
        <v>0</v>
      </c>
      <c r="L7" s="248">
        <v>0</v>
      </c>
      <c r="M7" s="248">
        <v>2500000</v>
      </c>
      <c r="N7" s="248">
        <v>2500000</v>
      </c>
      <c r="O7" s="248">
        <v>2500000</v>
      </c>
      <c r="P7" s="248">
        <v>2500000</v>
      </c>
      <c r="Q7" s="248">
        <v>2500000</v>
      </c>
      <c r="R7" s="248">
        <v>2500000</v>
      </c>
      <c r="S7" s="248">
        <v>2500000</v>
      </c>
      <c r="T7" s="248">
        <v>2500000</v>
      </c>
      <c r="U7" s="248">
        <v>2500000</v>
      </c>
      <c r="V7" s="248">
        <v>2500000</v>
      </c>
      <c r="W7" s="248">
        <v>2500000</v>
      </c>
      <c r="X7" s="248">
        <v>2500000</v>
      </c>
      <c r="Y7" s="248">
        <v>2500000</v>
      </c>
      <c r="Z7" s="248">
        <v>2500000</v>
      </c>
    </row>
    <row r="8" spans="1:26" ht="15.5" x14ac:dyDescent="0.35">
      <c r="A8" s="177" t="s">
        <v>87</v>
      </c>
      <c r="B8" s="11">
        <f t="shared" si="2"/>
        <v>2028</v>
      </c>
      <c r="C8" s="11"/>
      <c r="D8" s="11"/>
      <c r="E8" s="13"/>
      <c r="F8" s="13"/>
      <c r="G8" s="13"/>
      <c r="H8" s="248"/>
      <c r="I8" s="248"/>
      <c r="J8" s="248"/>
      <c r="K8" s="248">
        <v>0</v>
      </c>
      <c r="L8" s="248">
        <v>0</v>
      </c>
      <c r="M8" s="248">
        <v>0</v>
      </c>
      <c r="N8" s="248">
        <v>2500000</v>
      </c>
      <c r="O8" s="248">
        <v>2500000</v>
      </c>
      <c r="P8" s="248">
        <v>2500000</v>
      </c>
      <c r="Q8" s="248">
        <v>2500000</v>
      </c>
      <c r="R8" s="248">
        <v>2500000</v>
      </c>
      <c r="S8" s="248">
        <v>2500000</v>
      </c>
      <c r="T8" s="248">
        <v>2500000</v>
      </c>
      <c r="U8" s="248">
        <v>2500000</v>
      </c>
      <c r="V8" s="248">
        <v>2500000</v>
      </c>
      <c r="W8" s="248">
        <v>2500000</v>
      </c>
      <c r="X8" s="248">
        <v>2500000</v>
      </c>
      <c r="Y8" s="248">
        <v>2500000</v>
      </c>
      <c r="Z8" s="248">
        <v>2500000</v>
      </c>
    </row>
    <row r="9" spans="1:26" ht="15.5" x14ac:dyDescent="0.35">
      <c r="A9" s="177" t="s">
        <v>87</v>
      </c>
      <c r="B9" s="11">
        <f t="shared" si="2"/>
        <v>2029</v>
      </c>
      <c r="C9" s="11"/>
      <c r="D9" s="11"/>
      <c r="E9" s="13"/>
      <c r="F9" s="13"/>
      <c r="G9" s="13"/>
      <c r="H9" s="248"/>
      <c r="I9" s="248"/>
      <c r="J9" s="248"/>
      <c r="K9" s="248"/>
      <c r="L9" s="248">
        <v>0</v>
      </c>
      <c r="M9" s="248">
        <v>0</v>
      </c>
      <c r="N9" s="248">
        <v>0</v>
      </c>
      <c r="O9" s="248">
        <v>2500000</v>
      </c>
      <c r="P9" s="248">
        <v>1000000</v>
      </c>
      <c r="Q9" s="248">
        <v>1000000</v>
      </c>
      <c r="R9" s="248">
        <v>1000000</v>
      </c>
      <c r="S9" s="248">
        <v>1000000</v>
      </c>
      <c r="T9" s="248">
        <v>1000000</v>
      </c>
      <c r="U9" s="248">
        <v>1000000</v>
      </c>
      <c r="V9" s="248">
        <v>1000000</v>
      </c>
      <c r="W9" s="248">
        <v>1000000</v>
      </c>
      <c r="X9" s="248">
        <v>1000000</v>
      </c>
      <c r="Y9" s="248">
        <v>1000000</v>
      </c>
      <c r="Z9" s="248">
        <v>1000000</v>
      </c>
    </row>
    <row r="10" spans="1:26" ht="15.5" x14ac:dyDescent="0.35">
      <c r="A10" s="177" t="s">
        <v>87</v>
      </c>
      <c r="B10" s="11">
        <f t="shared" si="2"/>
        <v>2030</v>
      </c>
      <c r="C10" s="11"/>
      <c r="D10" s="11"/>
      <c r="E10" s="13"/>
      <c r="F10" s="13"/>
      <c r="G10" s="13"/>
      <c r="H10" s="248"/>
      <c r="I10" s="248"/>
      <c r="J10" s="248"/>
      <c r="K10" s="248"/>
      <c r="L10" s="248"/>
      <c r="M10" s="248">
        <v>0</v>
      </c>
      <c r="N10" s="248">
        <v>0</v>
      </c>
      <c r="O10" s="248">
        <v>0</v>
      </c>
      <c r="P10" s="248">
        <v>1000000</v>
      </c>
      <c r="Q10" s="248">
        <v>1000000</v>
      </c>
      <c r="R10" s="248">
        <v>1000000</v>
      </c>
      <c r="S10" s="248">
        <v>1000000</v>
      </c>
      <c r="T10" s="248">
        <v>1000000</v>
      </c>
      <c r="U10" s="248">
        <v>1000000</v>
      </c>
      <c r="V10" s="248">
        <v>1000000</v>
      </c>
      <c r="W10" s="248">
        <v>1000000</v>
      </c>
      <c r="X10" s="248">
        <v>1000000</v>
      </c>
      <c r="Y10" s="248">
        <v>1000000</v>
      </c>
      <c r="Z10" s="248">
        <v>1000000</v>
      </c>
    </row>
    <row r="11" spans="1:26" ht="15.5" x14ac:dyDescent="0.35">
      <c r="A11" s="177" t="s">
        <v>87</v>
      </c>
      <c r="B11" s="11">
        <f t="shared" si="2"/>
        <v>2031</v>
      </c>
      <c r="C11" s="11"/>
      <c r="D11" s="11"/>
      <c r="E11" s="13"/>
      <c r="F11" s="13"/>
      <c r="G11" s="13"/>
      <c r="H11" s="248"/>
      <c r="I11" s="248"/>
      <c r="J11" s="248"/>
      <c r="K11" s="248"/>
      <c r="L11" s="248"/>
      <c r="M11" s="248"/>
      <c r="N11" s="248">
        <v>0</v>
      </c>
      <c r="O11" s="248">
        <v>0</v>
      </c>
      <c r="P11" s="248">
        <v>0</v>
      </c>
      <c r="Q11" s="248">
        <v>1000000</v>
      </c>
      <c r="R11" s="248">
        <v>2500000</v>
      </c>
      <c r="S11" s="248">
        <v>1000000</v>
      </c>
      <c r="T11" s="248">
        <v>1000000</v>
      </c>
      <c r="U11" s="248">
        <v>1000000</v>
      </c>
      <c r="V11" s="248">
        <v>1000000</v>
      </c>
      <c r="W11" s="248">
        <v>1000000</v>
      </c>
      <c r="X11" s="248">
        <v>1000000</v>
      </c>
      <c r="Y11" s="248">
        <v>1000000</v>
      </c>
      <c r="Z11" s="248">
        <v>1000000</v>
      </c>
    </row>
    <row r="12" spans="1:26" ht="15.5" x14ac:dyDescent="0.35">
      <c r="A12" s="177" t="s">
        <v>87</v>
      </c>
      <c r="B12" s="11">
        <f t="shared" si="2"/>
        <v>2032</v>
      </c>
      <c r="C12" s="11"/>
      <c r="D12" s="11"/>
      <c r="E12" s="13"/>
      <c r="F12" s="13"/>
      <c r="G12" s="13"/>
      <c r="H12" s="248"/>
      <c r="I12" s="248"/>
      <c r="J12" s="248"/>
      <c r="K12" s="248"/>
      <c r="L12" s="248"/>
      <c r="M12" s="248"/>
      <c r="N12" s="248"/>
      <c r="O12" s="248">
        <v>0</v>
      </c>
      <c r="P12" s="248">
        <v>0</v>
      </c>
      <c r="Q12" s="248">
        <v>0</v>
      </c>
      <c r="R12" s="248">
        <v>1000000</v>
      </c>
      <c r="S12" s="248">
        <v>1000000</v>
      </c>
      <c r="T12" s="248">
        <v>1000000</v>
      </c>
      <c r="U12" s="248">
        <v>1000000</v>
      </c>
      <c r="V12" s="248">
        <v>1000000</v>
      </c>
      <c r="W12" s="248">
        <v>1000000</v>
      </c>
      <c r="X12" s="248">
        <v>2500000</v>
      </c>
      <c r="Y12" s="248">
        <v>1000000</v>
      </c>
      <c r="Z12" s="248">
        <v>1000000</v>
      </c>
    </row>
    <row r="13" spans="1:26" ht="15.5" x14ac:dyDescent="0.35">
      <c r="A13" s="177" t="s">
        <v>87</v>
      </c>
      <c r="B13" s="11">
        <f t="shared" si="2"/>
        <v>2033</v>
      </c>
      <c r="C13" s="11"/>
      <c r="D13" s="11"/>
      <c r="E13" s="13"/>
      <c r="F13" s="13"/>
      <c r="G13" s="13"/>
      <c r="H13" s="248"/>
      <c r="I13" s="248"/>
      <c r="J13" s="248"/>
      <c r="K13" s="248"/>
      <c r="L13" s="248"/>
      <c r="M13" s="248"/>
      <c r="N13" s="248"/>
      <c r="O13" s="248"/>
      <c r="P13" s="248">
        <v>0</v>
      </c>
      <c r="Q13" s="248">
        <v>0</v>
      </c>
      <c r="R13" s="248">
        <v>0</v>
      </c>
      <c r="S13" s="248">
        <v>1000000</v>
      </c>
      <c r="T13" s="248">
        <v>1000000</v>
      </c>
      <c r="U13" s="248">
        <v>1000000</v>
      </c>
      <c r="V13" s="248">
        <v>1000000</v>
      </c>
      <c r="W13" s="248">
        <v>1000000</v>
      </c>
      <c r="X13" s="248">
        <v>1000000</v>
      </c>
      <c r="Y13" s="248">
        <v>1000000</v>
      </c>
      <c r="Z13" s="248">
        <v>1000000</v>
      </c>
    </row>
    <row r="14" spans="1:26" ht="15.5" x14ac:dyDescent="0.35">
      <c r="A14" s="177" t="s">
        <v>87</v>
      </c>
      <c r="B14" s="11">
        <f t="shared" si="2"/>
        <v>2034</v>
      </c>
      <c r="C14" s="11"/>
      <c r="D14" s="11"/>
      <c r="E14" s="13"/>
      <c r="F14" s="13"/>
      <c r="G14" s="13"/>
      <c r="H14" s="248"/>
      <c r="I14" s="248"/>
      <c r="J14" s="248"/>
      <c r="K14" s="248"/>
      <c r="L14" s="248"/>
      <c r="M14" s="248"/>
      <c r="N14" s="248"/>
      <c r="O14" s="248"/>
      <c r="P14" s="248"/>
      <c r="Q14" s="248">
        <v>0</v>
      </c>
      <c r="R14" s="248">
        <v>0</v>
      </c>
      <c r="S14" s="248">
        <v>0</v>
      </c>
      <c r="T14" s="248">
        <v>1000000</v>
      </c>
      <c r="U14" s="248">
        <v>1000000</v>
      </c>
      <c r="V14" s="248">
        <v>1000000</v>
      </c>
      <c r="W14" s="248">
        <v>1000000</v>
      </c>
      <c r="X14" s="248">
        <v>1000000</v>
      </c>
      <c r="Y14" s="248">
        <v>1000000</v>
      </c>
      <c r="Z14" s="248">
        <v>1000000</v>
      </c>
    </row>
    <row r="15" spans="1:26" ht="15.5" x14ac:dyDescent="0.35">
      <c r="A15" s="177" t="s">
        <v>87</v>
      </c>
      <c r="B15" s="11">
        <f t="shared" si="2"/>
        <v>2035</v>
      </c>
      <c r="C15" s="11"/>
      <c r="D15" s="11"/>
      <c r="E15" s="13"/>
      <c r="F15" s="13"/>
      <c r="G15" s="13"/>
      <c r="H15" s="248"/>
      <c r="I15" s="248"/>
      <c r="J15" s="248"/>
      <c r="K15" s="248"/>
      <c r="L15" s="248"/>
      <c r="M15" s="248"/>
      <c r="N15" s="248"/>
      <c r="O15" s="248"/>
      <c r="P15" s="248"/>
      <c r="Q15" s="248"/>
      <c r="R15" s="248">
        <v>0</v>
      </c>
      <c r="S15" s="248">
        <v>0</v>
      </c>
      <c r="T15" s="248">
        <v>0</v>
      </c>
      <c r="U15" s="248">
        <v>1000000</v>
      </c>
      <c r="V15" s="248">
        <v>1000000</v>
      </c>
      <c r="W15" s="248">
        <v>1000000</v>
      </c>
      <c r="X15" s="248">
        <v>1000000</v>
      </c>
      <c r="Y15" s="248">
        <v>1000000</v>
      </c>
      <c r="Z15" s="248">
        <v>1000000</v>
      </c>
    </row>
    <row r="16" spans="1:26" ht="15.5" x14ac:dyDescent="0.35">
      <c r="A16" s="177" t="s">
        <v>87</v>
      </c>
      <c r="B16" s="11">
        <f t="shared" si="2"/>
        <v>2036</v>
      </c>
      <c r="C16" s="11"/>
      <c r="D16" s="11"/>
      <c r="E16" s="13"/>
      <c r="F16" s="13"/>
      <c r="G16" s="13"/>
      <c r="H16" s="248"/>
      <c r="I16" s="248"/>
      <c r="J16" s="248"/>
      <c r="K16" s="248"/>
      <c r="L16" s="248"/>
      <c r="M16" s="248"/>
      <c r="N16" s="248"/>
      <c r="O16" s="248"/>
      <c r="P16" s="248"/>
      <c r="Q16" s="248"/>
      <c r="R16" s="248"/>
      <c r="S16" s="248">
        <v>0</v>
      </c>
      <c r="T16" s="248">
        <v>0</v>
      </c>
      <c r="U16" s="248">
        <v>0</v>
      </c>
      <c r="V16" s="248">
        <v>1000000</v>
      </c>
      <c r="W16" s="248">
        <v>1000000</v>
      </c>
      <c r="X16" s="248">
        <v>1000000</v>
      </c>
      <c r="Y16" s="248">
        <v>1000000</v>
      </c>
      <c r="Z16" s="248">
        <v>1000000</v>
      </c>
    </row>
    <row r="17" spans="1:26" ht="15.5" x14ac:dyDescent="0.35">
      <c r="A17" s="177" t="s">
        <v>87</v>
      </c>
      <c r="B17" s="11">
        <f t="shared" si="2"/>
        <v>2037</v>
      </c>
      <c r="C17" s="11"/>
      <c r="D17" s="11"/>
      <c r="E17" s="13"/>
      <c r="F17" s="13"/>
      <c r="G17" s="13"/>
      <c r="H17" s="248"/>
      <c r="I17" s="248"/>
      <c r="J17" s="248"/>
      <c r="K17" s="248"/>
      <c r="L17" s="248"/>
      <c r="M17" s="248"/>
      <c r="N17" s="248"/>
      <c r="O17" s="248"/>
      <c r="P17" s="248"/>
      <c r="Q17" s="248"/>
      <c r="R17" s="248"/>
      <c r="S17" s="248"/>
      <c r="T17" s="248">
        <v>0</v>
      </c>
      <c r="U17" s="248">
        <v>0</v>
      </c>
      <c r="V17" s="248">
        <v>0</v>
      </c>
      <c r="W17" s="248">
        <v>1000000</v>
      </c>
      <c r="X17" s="248">
        <v>1000000</v>
      </c>
      <c r="Y17" s="248">
        <v>1000000</v>
      </c>
      <c r="Z17" s="248">
        <v>1000000</v>
      </c>
    </row>
    <row r="18" spans="1:26" ht="15.5" x14ac:dyDescent="0.35">
      <c r="A18" s="177" t="s">
        <v>87</v>
      </c>
      <c r="B18" s="11">
        <f t="shared" si="2"/>
        <v>2038</v>
      </c>
      <c r="C18" s="11"/>
      <c r="D18" s="11"/>
      <c r="E18" s="13"/>
      <c r="F18" s="13"/>
      <c r="G18" s="13"/>
      <c r="H18" s="248"/>
      <c r="I18" s="248"/>
      <c r="J18" s="248"/>
      <c r="K18" s="248"/>
      <c r="L18" s="248"/>
      <c r="M18" s="248"/>
      <c r="N18" s="248"/>
      <c r="O18" s="248"/>
      <c r="P18" s="248"/>
      <c r="Q18" s="248"/>
      <c r="R18" s="248"/>
      <c r="S18" s="248"/>
      <c r="T18" s="248"/>
      <c r="U18" s="248">
        <v>0</v>
      </c>
      <c r="V18" s="248">
        <v>0</v>
      </c>
      <c r="W18" s="248">
        <v>0</v>
      </c>
      <c r="X18" s="248">
        <v>1000000</v>
      </c>
      <c r="Y18" s="248">
        <v>1000000</v>
      </c>
      <c r="Z18" s="248">
        <v>1000000</v>
      </c>
    </row>
    <row r="19" spans="1:26" ht="15.5" x14ac:dyDescent="0.35">
      <c r="A19" s="177" t="s">
        <v>87</v>
      </c>
      <c r="B19" s="11">
        <f t="shared" si="2"/>
        <v>2039</v>
      </c>
      <c r="C19" s="11"/>
      <c r="D19" s="11"/>
      <c r="E19" s="13"/>
      <c r="F19" s="13"/>
      <c r="G19" s="13"/>
      <c r="H19" s="248"/>
      <c r="I19" s="248"/>
      <c r="J19" s="248"/>
      <c r="K19" s="248"/>
      <c r="L19" s="248"/>
      <c r="M19" s="248"/>
      <c r="N19" s="248"/>
      <c r="O19" s="248"/>
      <c r="P19" s="248"/>
      <c r="Q19" s="248"/>
      <c r="R19" s="248"/>
      <c r="S19" s="248"/>
      <c r="T19" s="248"/>
      <c r="U19" s="248"/>
      <c r="V19" s="248">
        <v>0</v>
      </c>
      <c r="W19" s="248">
        <v>0</v>
      </c>
      <c r="X19" s="248">
        <v>0</v>
      </c>
      <c r="Y19" s="248">
        <v>1000000</v>
      </c>
      <c r="Z19" s="248">
        <v>1000000</v>
      </c>
    </row>
    <row r="20" spans="1:26" ht="15.5" x14ac:dyDescent="0.35">
      <c r="A20" s="177" t="s">
        <v>87</v>
      </c>
      <c r="B20" s="11">
        <f t="shared" si="2"/>
        <v>2040</v>
      </c>
      <c r="C20" s="11"/>
      <c r="D20" s="11"/>
      <c r="E20" s="13"/>
      <c r="F20" s="13"/>
      <c r="G20" s="13"/>
      <c r="H20" s="248"/>
      <c r="I20" s="248"/>
      <c r="J20" s="248"/>
      <c r="K20" s="248"/>
      <c r="L20" s="248"/>
      <c r="M20" s="248"/>
      <c r="N20" s="248"/>
      <c r="O20" s="248"/>
      <c r="P20" s="248"/>
      <c r="Q20" s="248"/>
      <c r="R20" s="248"/>
      <c r="S20" s="248"/>
      <c r="T20" s="248"/>
      <c r="U20" s="248"/>
      <c r="V20" s="248"/>
      <c r="W20" s="248">
        <v>0</v>
      </c>
      <c r="X20" s="248">
        <v>0</v>
      </c>
      <c r="Y20" s="248">
        <v>0</v>
      </c>
      <c r="Z20" s="248">
        <v>1000000</v>
      </c>
    </row>
    <row r="21" spans="1:26" ht="15.5" x14ac:dyDescent="0.35">
      <c r="A21" s="177" t="s">
        <v>87</v>
      </c>
      <c r="B21" s="11">
        <f t="shared" si="2"/>
        <v>2041</v>
      </c>
      <c r="C21" s="11"/>
      <c r="D21" s="11"/>
      <c r="E21" s="13"/>
      <c r="F21" s="13"/>
      <c r="G21" s="13"/>
      <c r="H21" s="248"/>
      <c r="I21" s="248"/>
      <c r="J21" s="248"/>
      <c r="K21" s="248"/>
      <c r="L21" s="248"/>
      <c r="M21" s="248"/>
      <c r="N21" s="248"/>
      <c r="O21" s="248"/>
      <c r="P21" s="248"/>
      <c r="Q21" s="248"/>
      <c r="R21" s="248"/>
      <c r="S21" s="248"/>
      <c r="T21" s="248"/>
      <c r="U21" s="248"/>
      <c r="V21" s="248"/>
      <c r="W21" s="248"/>
      <c r="X21" s="248"/>
      <c r="Y21" s="248"/>
      <c r="Z21" s="248"/>
    </row>
    <row r="22" spans="1:26" ht="15.5" x14ac:dyDescent="0.35">
      <c r="A22" s="177" t="s">
        <v>87</v>
      </c>
      <c r="B22" s="11">
        <f t="shared" si="2"/>
        <v>2042</v>
      </c>
      <c r="C22" s="11"/>
      <c r="D22" s="11"/>
      <c r="E22" s="13"/>
      <c r="F22" s="13"/>
      <c r="G22" s="13"/>
      <c r="H22" s="248"/>
      <c r="I22" s="248"/>
      <c r="J22" s="248"/>
      <c r="K22" s="248"/>
      <c r="L22" s="248"/>
      <c r="M22" s="248"/>
      <c r="N22" s="248"/>
      <c r="O22" s="248"/>
      <c r="P22" s="248"/>
      <c r="Q22" s="248"/>
      <c r="R22" s="248"/>
      <c r="S22" s="248"/>
      <c r="T22" s="248"/>
      <c r="U22" s="248"/>
      <c r="V22" s="248"/>
      <c r="W22" s="248"/>
      <c r="X22" s="248"/>
      <c r="Y22" s="248"/>
      <c r="Z22" s="248"/>
    </row>
    <row r="23" spans="1:26" ht="15.5" x14ac:dyDescent="0.35">
      <c r="A23" s="12" t="s">
        <v>88</v>
      </c>
      <c r="B23" s="11">
        <v>2022</v>
      </c>
      <c r="C23" s="11"/>
      <c r="D23" s="11"/>
      <c r="E23" s="9"/>
      <c r="F23" s="9"/>
      <c r="G23" s="9"/>
      <c r="H23" s="249">
        <v>1891521</v>
      </c>
      <c r="I23" s="249">
        <v>1882063.395</v>
      </c>
      <c r="J23" s="249">
        <v>1872653.0780249999</v>
      </c>
      <c r="K23" s="249">
        <v>1863289.8126348751</v>
      </c>
      <c r="L23" s="249">
        <v>1853973.3635717006</v>
      </c>
      <c r="M23" s="249">
        <v>1844703.4967538421</v>
      </c>
      <c r="N23" s="249">
        <v>1835479.9792700727</v>
      </c>
      <c r="O23" s="249">
        <v>1826302.5793737224</v>
      </c>
      <c r="P23" s="249">
        <v>1817171.0664768536</v>
      </c>
      <c r="Q23" s="249">
        <v>1808085.2111444692</v>
      </c>
      <c r="R23" s="249">
        <v>1799044.7850887468</v>
      </c>
      <c r="S23" s="249">
        <v>1790049.5611633032</v>
      </c>
      <c r="T23" s="249">
        <v>1781099.3133574869</v>
      </c>
      <c r="U23" s="249">
        <v>1772193.8167906995</v>
      </c>
      <c r="V23" s="249">
        <v>1763332.8477067458</v>
      </c>
      <c r="W23" s="249">
        <v>1754516.1834682119</v>
      </c>
      <c r="X23" s="249">
        <v>1745743.602550871</v>
      </c>
      <c r="Y23" s="249">
        <v>1737014.8845381164</v>
      </c>
      <c r="Z23" s="249">
        <v>1737015.8845381199</v>
      </c>
    </row>
    <row r="24" spans="1:26" ht="15.5" x14ac:dyDescent="0.35">
      <c r="A24" s="12" t="s">
        <v>88</v>
      </c>
      <c r="B24" s="11">
        <f>B23+1</f>
        <v>2023</v>
      </c>
      <c r="C24" s="11"/>
      <c r="D24" s="11"/>
      <c r="E24" s="9"/>
      <c r="F24" s="9">
        <v>0</v>
      </c>
      <c r="G24" s="9">
        <v>0</v>
      </c>
      <c r="H24" s="249">
        <v>0</v>
      </c>
      <c r="I24" s="249">
        <v>1056570</v>
      </c>
      <c r="J24" s="249">
        <f>I24*'Indexed REC Calculator'!$B$92</f>
        <v>1051287.1499999999</v>
      </c>
      <c r="K24" s="249">
        <f>J24*'Indexed REC Calculator'!$B$92</f>
        <v>1046030.71425</v>
      </c>
      <c r="L24" s="249">
        <f>K24*'Indexed REC Calculator'!$B$92</f>
        <v>1040800.5606787499</v>
      </c>
      <c r="M24" s="249">
        <f>L24*'Indexed REC Calculator'!$B$92</f>
        <v>1035596.5578753562</v>
      </c>
      <c r="N24" s="249">
        <f>M24*'Indexed REC Calculator'!$B$92</f>
        <v>1030418.5750859794</v>
      </c>
      <c r="O24" s="249">
        <f>N24*'Indexed REC Calculator'!$B$92</f>
        <v>1025266.4822105495</v>
      </c>
      <c r="P24" s="249">
        <f>O24*'Indexed REC Calculator'!$B$92</f>
        <v>1020140.1497994968</v>
      </c>
      <c r="Q24" s="249">
        <f>P24*'Indexed REC Calculator'!$B$92</f>
        <v>1015039.4490504992</v>
      </c>
      <c r="R24" s="249">
        <f>Q24*'Indexed REC Calculator'!$B$92</f>
        <v>1009964.2518052467</v>
      </c>
      <c r="S24" s="249">
        <f>R24*'Indexed REC Calculator'!$B$92</f>
        <v>1004914.4305462205</v>
      </c>
      <c r="T24" s="249">
        <f>S24*'Indexed REC Calculator'!$B$92</f>
        <v>999889.85839348938</v>
      </c>
      <c r="U24" s="249">
        <f>T24*'Indexed REC Calculator'!$B$92</f>
        <v>994890.40910152195</v>
      </c>
      <c r="V24" s="249">
        <f>U24*'Indexed REC Calculator'!$B$92</f>
        <v>989915.95705601433</v>
      </c>
      <c r="W24" s="249">
        <f>V24*'Indexed REC Calculator'!$B$92</f>
        <v>984966.37727073429</v>
      </c>
      <c r="X24" s="249">
        <f>W24*'Indexed REC Calculator'!$B$92</f>
        <v>980041.54538438062</v>
      </c>
      <c r="Y24" s="249">
        <f>X24*'Indexed REC Calculator'!$B$92</f>
        <v>975141.33765745873</v>
      </c>
      <c r="Z24" s="249">
        <f>Y24*'Indexed REC Calculator'!$B$92</f>
        <v>970265.63096917141</v>
      </c>
    </row>
    <row r="25" spans="1:26" ht="15.5" x14ac:dyDescent="0.35">
      <c r="A25" s="12" t="s">
        <v>88</v>
      </c>
      <c r="B25" s="11">
        <f t="shared" ref="B25:B43" si="3">B24+1</f>
        <v>2024</v>
      </c>
      <c r="C25" s="11"/>
      <c r="D25" s="11"/>
      <c r="E25" s="9"/>
      <c r="F25" s="9"/>
      <c r="G25" s="9">
        <v>0</v>
      </c>
      <c r="H25" s="249">
        <v>0</v>
      </c>
      <c r="I25" s="249">
        <v>0</v>
      </c>
      <c r="J25" s="249">
        <v>1500000</v>
      </c>
      <c r="K25" s="249">
        <f>J25*'Indexed REC Calculator'!$B$92</f>
        <v>1492500</v>
      </c>
      <c r="L25" s="249">
        <f>K25*'Indexed REC Calculator'!$B$92</f>
        <v>1485037.5</v>
      </c>
      <c r="M25" s="249">
        <f>L25*'Indexed REC Calculator'!$B$92</f>
        <v>1477612.3125</v>
      </c>
      <c r="N25" s="249">
        <f>M25*'Indexed REC Calculator'!$B$92</f>
        <v>1470224.2509375</v>
      </c>
      <c r="O25" s="249">
        <f>N25*'Indexed REC Calculator'!$B$92</f>
        <v>1462873.1296828126</v>
      </c>
      <c r="P25" s="249">
        <f>O25*'Indexed REC Calculator'!$B$92</f>
        <v>1455558.7640343986</v>
      </c>
      <c r="Q25" s="249">
        <f>P25*'Indexed REC Calculator'!$B$92</f>
        <v>1448280.9702142265</v>
      </c>
      <c r="R25" s="249">
        <f>Q25*'Indexed REC Calculator'!$B$92</f>
        <v>1441039.5653631554</v>
      </c>
      <c r="S25" s="249">
        <f>R25*'Indexed REC Calculator'!$B$92</f>
        <v>1433834.3675363397</v>
      </c>
      <c r="T25" s="249">
        <f>S25*'Indexed REC Calculator'!$B$92</f>
        <v>1426665.195698658</v>
      </c>
      <c r="U25" s="249">
        <f>T25*'Indexed REC Calculator'!$B$92</f>
        <v>1419531.8697201647</v>
      </c>
      <c r="V25" s="249">
        <f>U25*'Indexed REC Calculator'!$B$92</f>
        <v>1412434.2103715639</v>
      </c>
      <c r="W25" s="249">
        <f>V25*'Indexed REC Calculator'!$B$92</f>
        <v>1405372.0393197061</v>
      </c>
      <c r="X25" s="249">
        <f>W25*'Indexed REC Calculator'!$B$92</f>
        <v>1398345.1791231076</v>
      </c>
      <c r="Y25" s="249">
        <f>X25*'Indexed REC Calculator'!$B$92</f>
        <v>1391353.453227492</v>
      </c>
      <c r="Z25" s="249">
        <f>Y25*'Indexed REC Calculator'!$B$92</f>
        <v>1384396.6859613545</v>
      </c>
    </row>
    <row r="26" spans="1:26" ht="15.5" x14ac:dyDescent="0.35">
      <c r="A26" s="12" t="s">
        <v>88</v>
      </c>
      <c r="B26" s="11">
        <f t="shared" si="3"/>
        <v>2025</v>
      </c>
      <c r="C26" s="11"/>
      <c r="D26" s="11"/>
      <c r="E26" s="9"/>
      <c r="F26" s="9"/>
      <c r="G26" s="9"/>
      <c r="H26" s="249">
        <v>0</v>
      </c>
      <c r="I26" s="249">
        <v>0</v>
      </c>
      <c r="J26" s="249">
        <v>0</v>
      </c>
      <c r="K26" s="249">
        <v>1500000</v>
      </c>
      <c r="L26" s="249">
        <f>K26*'Indexed REC Calculator'!$B$92</f>
        <v>1492500</v>
      </c>
      <c r="M26" s="249">
        <f>L26*'Indexed REC Calculator'!$B$92</f>
        <v>1485037.5</v>
      </c>
      <c r="N26" s="249">
        <f>M26*'Indexed REC Calculator'!$B$92</f>
        <v>1477612.3125</v>
      </c>
      <c r="O26" s="249">
        <f>N26*'Indexed REC Calculator'!$B$92</f>
        <v>1470224.2509375</v>
      </c>
      <c r="P26" s="249">
        <f>O26*'Indexed REC Calculator'!$B$92</f>
        <v>1462873.1296828126</v>
      </c>
      <c r="Q26" s="249">
        <f>P26*'Indexed REC Calculator'!$B$92</f>
        <v>1455558.7640343986</v>
      </c>
      <c r="R26" s="249">
        <f>Q26*'Indexed REC Calculator'!$B$92</f>
        <v>1448280.9702142265</v>
      </c>
      <c r="S26" s="249">
        <f>R26*'Indexed REC Calculator'!$B$92</f>
        <v>1441039.5653631554</v>
      </c>
      <c r="T26" s="249">
        <f>S26*'Indexed REC Calculator'!$B$92</f>
        <v>1433834.3675363397</v>
      </c>
      <c r="U26" s="249">
        <f>T26*'Indexed REC Calculator'!$B$92</f>
        <v>1426665.195698658</v>
      </c>
      <c r="V26" s="249">
        <f>U26*'Indexed REC Calculator'!$B$92</f>
        <v>1419531.8697201647</v>
      </c>
      <c r="W26" s="249">
        <f>V26*'Indexed REC Calculator'!$B$92</f>
        <v>1412434.2103715639</v>
      </c>
      <c r="X26" s="249">
        <f>W26*'Indexed REC Calculator'!$B$92</f>
        <v>1405372.0393197061</v>
      </c>
      <c r="Y26" s="249">
        <f>X26*'Indexed REC Calculator'!$B$92</f>
        <v>1398345.1791231076</v>
      </c>
      <c r="Z26" s="249">
        <f>Y26*'Indexed REC Calculator'!$B$92</f>
        <v>1391353.453227492</v>
      </c>
    </row>
    <row r="27" spans="1:26" ht="15.5" x14ac:dyDescent="0.35">
      <c r="A27" s="12" t="s">
        <v>88</v>
      </c>
      <c r="B27" s="11">
        <f t="shared" si="3"/>
        <v>2026</v>
      </c>
      <c r="C27" s="11"/>
      <c r="D27" s="11"/>
      <c r="E27" s="9"/>
      <c r="F27" s="9"/>
      <c r="G27" s="9"/>
      <c r="H27" s="249"/>
      <c r="I27" s="249">
        <v>0</v>
      </c>
      <c r="J27" s="249">
        <v>0</v>
      </c>
      <c r="K27" s="249">
        <v>0</v>
      </c>
      <c r="L27" s="249">
        <v>1500000</v>
      </c>
      <c r="M27" s="249">
        <f>L27*'Indexed REC Calculator'!$B$92</f>
        <v>1492500</v>
      </c>
      <c r="N27" s="249">
        <f>M27*'Indexed REC Calculator'!$B$92</f>
        <v>1485037.5</v>
      </c>
      <c r="O27" s="249">
        <f>N27*'Indexed REC Calculator'!$B$92</f>
        <v>1477612.3125</v>
      </c>
      <c r="P27" s="249">
        <f>O27*'Indexed REC Calculator'!$B$92</f>
        <v>1470224.2509375</v>
      </c>
      <c r="Q27" s="249">
        <f>P27*'Indexed REC Calculator'!$B$92</f>
        <v>1462873.1296828126</v>
      </c>
      <c r="R27" s="249">
        <f>Q27*'Indexed REC Calculator'!$B$92</f>
        <v>1455558.7640343986</v>
      </c>
      <c r="S27" s="249">
        <f>R27*'Indexed REC Calculator'!$B$92</f>
        <v>1448280.9702142265</v>
      </c>
      <c r="T27" s="249">
        <f>S27*'Indexed REC Calculator'!$B$92</f>
        <v>1441039.5653631554</v>
      </c>
      <c r="U27" s="249">
        <f>T27*'Indexed REC Calculator'!$B$92</f>
        <v>1433834.3675363397</v>
      </c>
      <c r="V27" s="249">
        <f>U27*'Indexed REC Calculator'!$B$92</f>
        <v>1426665.195698658</v>
      </c>
      <c r="W27" s="249">
        <f>V27*'Indexed REC Calculator'!$B$92</f>
        <v>1419531.8697201647</v>
      </c>
      <c r="X27" s="249">
        <f>W27*'Indexed REC Calculator'!$B$92</f>
        <v>1412434.2103715639</v>
      </c>
      <c r="Y27" s="249">
        <f>X27*'Indexed REC Calculator'!$B$92</f>
        <v>1405372.0393197061</v>
      </c>
      <c r="Z27" s="249">
        <f>Y27*'Indexed REC Calculator'!$B$92</f>
        <v>1398345.1791231076</v>
      </c>
    </row>
    <row r="28" spans="1:26" ht="15.5" x14ac:dyDescent="0.35">
      <c r="A28" s="12" t="s">
        <v>88</v>
      </c>
      <c r="B28" s="11">
        <f t="shared" si="3"/>
        <v>2027</v>
      </c>
      <c r="C28" s="11"/>
      <c r="D28" s="11"/>
      <c r="E28" s="9"/>
      <c r="F28" s="9"/>
      <c r="G28" s="9"/>
      <c r="H28" s="249"/>
      <c r="I28" s="249"/>
      <c r="J28" s="249">
        <v>0</v>
      </c>
      <c r="K28" s="249">
        <v>0</v>
      </c>
      <c r="L28" s="249">
        <v>0</v>
      </c>
      <c r="M28" s="249">
        <v>1500000</v>
      </c>
      <c r="N28" s="249">
        <f>M28*'Indexed REC Calculator'!$B$92</f>
        <v>1492500</v>
      </c>
      <c r="O28" s="249">
        <f>N28*'Indexed REC Calculator'!$B$92</f>
        <v>1485037.5</v>
      </c>
      <c r="P28" s="249">
        <f>O28*'Indexed REC Calculator'!$B$92</f>
        <v>1477612.3125</v>
      </c>
      <c r="Q28" s="249">
        <f>P28*'Indexed REC Calculator'!$B$92</f>
        <v>1470224.2509375</v>
      </c>
      <c r="R28" s="249">
        <f>Q28*'Indexed REC Calculator'!$B$92</f>
        <v>1462873.1296828126</v>
      </c>
      <c r="S28" s="249">
        <f>R28*'Indexed REC Calculator'!$B$92</f>
        <v>1455558.7640343986</v>
      </c>
      <c r="T28" s="249">
        <f>S28*'Indexed REC Calculator'!$B$92</f>
        <v>1448280.9702142265</v>
      </c>
      <c r="U28" s="249">
        <f>T28*'Indexed REC Calculator'!$B$92</f>
        <v>1441039.5653631554</v>
      </c>
      <c r="V28" s="249">
        <f>U28*'Indexed REC Calculator'!$B$92</f>
        <v>1433834.3675363397</v>
      </c>
      <c r="W28" s="249">
        <f>V28*'Indexed REC Calculator'!$B$92</f>
        <v>1426665.195698658</v>
      </c>
      <c r="X28" s="249">
        <f>W28*'Indexed REC Calculator'!$B$92</f>
        <v>1419531.8697201647</v>
      </c>
      <c r="Y28" s="249">
        <f>X28*'Indexed REC Calculator'!$B$92</f>
        <v>1412434.2103715639</v>
      </c>
      <c r="Z28" s="249">
        <f>Y28*'Indexed REC Calculator'!$B$92</f>
        <v>1405372.0393197061</v>
      </c>
    </row>
    <row r="29" spans="1:26" ht="15.5" x14ac:dyDescent="0.35">
      <c r="A29" s="12" t="s">
        <v>88</v>
      </c>
      <c r="B29" s="11">
        <f t="shared" si="3"/>
        <v>2028</v>
      </c>
      <c r="C29" s="11"/>
      <c r="D29" s="11"/>
      <c r="E29" s="9"/>
      <c r="F29" s="9"/>
      <c r="G29" s="9"/>
      <c r="H29" s="249"/>
      <c r="I29" s="249"/>
      <c r="J29" s="249"/>
      <c r="K29" s="249">
        <v>0</v>
      </c>
      <c r="L29" s="249">
        <v>0</v>
      </c>
      <c r="M29" s="249">
        <v>0</v>
      </c>
      <c r="N29" s="249">
        <v>1000000</v>
      </c>
      <c r="O29" s="249">
        <f>N29*'Indexed REC Calculator'!$B$92</f>
        <v>995000</v>
      </c>
      <c r="P29" s="249">
        <f>O29*'Indexed REC Calculator'!$B$92</f>
        <v>990025</v>
      </c>
      <c r="Q29" s="249">
        <f>P29*'Indexed REC Calculator'!$B$92</f>
        <v>985074.875</v>
      </c>
      <c r="R29" s="249">
        <f>Q29*'Indexed REC Calculator'!$B$92</f>
        <v>980149.50062499999</v>
      </c>
      <c r="S29" s="249">
        <f>R29*'Indexed REC Calculator'!$B$92</f>
        <v>975248.75312187499</v>
      </c>
      <c r="T29" s="249">
        <f>S29*'Indexed REC Calculator'!$B$92</f>
        <v>970372.50935626565</v>
      </c>
      <c r="U29" s="249">
        <f>T29*'Indexed REC Calculator'!$B$92</f>
        <v>965520.64680948434</v>
      </c>
      <c r="V29" s="249">
        <f>U29*'Indexed REC Calculator'!$B$92</f>
        <v>960693.04357543692</v>
      </c>
      <c r="W29" s="249">
        <f>V29*'Indexed REC Calculator'!$B$92</f>
        <v>955889.57835755975</v>
      </c>
      <c r="X29" s="249">
        <f>W29*'Indexed REC Calculator'!$B$92</f>
        <v>951110.13046577189</v>
      </c>
      <c r="Y29" s="249">
        <f>X29*'Indexed REC Calculator'!$B$92</f>
        <v>946354.57981344301</v>
      </c>
      <c r="Z29" s="249">
        <f>Y29*'Indexed REC Calculator'!$B$92</f>
        <v>941622.80691437575</v>
      </c>
    </row>
    <row r="30" spans="1:26" ht="15.5" x14ac:dyDescent="0.35">
      <c r="A30" s="12" t="s">
        <v>88</v>
      </c>
      <c r="B30" s="11">
        <f t="shared" si="3"/>
        <v>2029</v>
      </c>
      <c r="C30" s="11"/>
      <c r="D30" s="11"/>
      <c r="E30" s="9"/>
      <c r="F30" s="9"/>
      <c r="G30" s="9"/>
      <c r="H30" s="249"/>
      <c r="I30" s="249"/>
      <c r="J30" s="249"/>
      <c r="K30" s="249"/>
      <c r="L30" s="249">
        <v>0</v>
      </c>
      <c r="M30" s="249">
        <v>0</v>
      </c>
      <c r="N30" s="249">
        <v>0</v>
      </c>
      <c r="O30" s="249">
        <v>1000000</v>
      </c>
      <c r="P30" s="249">
        <f>O30*'Indexed REC Calculator'!$B$92</f>
        <v>995000</v>
      </c>
      <c r="Q30" s="249">
        <f>P30*'Indexed REC Calculator'!$B$92</f>
        <v>990025</v>
      </c>
      <c r="R30" s="249">
        <f>Q30*'Indexed REC Calculator'!$B$92</f>
        <v>985074.875</v>
      </c>
      <c r="S30" s="249">
        <f>R30*'Indexed REC Calculator'!$B$92</f>
        <v>980149.50062499999</v>
      </c>
      <c r="T30" s="249">
        <f>S30*'Indexed REC Calculator'!$B$92</f>
        <v>975248.75312187499</v>
      </c>
      <c r="U30" s="249">
        <f>T30*'Indexed REC Calculator'!$B$92</f>
        <v>970372.50935626565</v>
      </c>
      <c r="V30" s="249">
        <f>U30*'Indexed REC Calculator'!$B$92</f>
        <v>965520.64680948434</v>
      </c>
      <c r="W30" s="249">
        <f>V30*'Indexed REC Calculator'!$B$92</f>
        <v>960693.04357543692</v>
      </c>
      <c r="X30" s="249">
        <f>W30*'Indexed REC Calculator'!$B$92</f>
        <v>955889.57835755975</v>
      </c>
      <c r="Y30" s="249">
        <f>X30*'Indexed REC Calculator'!$B$92</f>
        <v>951110.13046577189</v>
      </c>
      <c r="Z30" s="249">
        <f>Y30*'Indexed REC Calculator'!$B$92</f>
        <v>946354.57981344301</v>
      </c>
    </row>
    <row r="31" spans="1:26" ht="15.5" x14ac:dyDescent="0.35">
      <c r="A31" s="12" t="s">
        <v>88</v>
      </c>
      <c r="B31" s="11">
        <f t="shared" si="3"/>
        <v>2030</v>
      </c>
      <c r="C31" s="11"/>
      <c r="D31" s="11"/>
      <c r="E31" s="9"/>
      <c r="F31" s="9"/>
      <c r="G31" s="9"/>
      <c r="H31" s="249"/>
      <c r="I31" s="249"/>
      <c r="J31" s="249"/>
      <c r="K31" s="249"/>
      <c r="L31" s="249"/>
      <c r="M31" s="249">
        <v>0</v>
      </c>
      <c r="N31" s="249">
        <v>0</v>
      </c>
      <c r="O31" s="249">
        <v>0</v>
      </c>
      <c r="P31" s="249">
        <v>750000</v>
      </c>
      <c r="Q31" s="249">
        <f>P31*'Indexed REC Calculator'!$B$92</f>
        <v>746250</v>
      </c>
      <c r="R31" s="249">
        <f>Q31*'Indexed REC Calculator'!$B$92</f>
        <v>742518.75</v>
      </c>
      <c r="S31" s="249">
        <f>R31*'Indexed REC Calculator'!$B$92</f>
        <v>738806.15625</v>
      </c>
      <c r="T31" s="249">
        <f>S31*'Indexed REC Calculator'!$B$92</f>
        <v>735112.12546875002</v>
      </c>
      <c r="U31" s="249">
        <f>T31*'Indexed REC Calculator'!$B$92</f>
        <v>731436.5648414063</v>
      </c>
      <c r="V31" s="249">
        <f>U31*'Indexed REC Calculator'!$B$92</f>
        <v>727779.3820171993</v>
      </c>
      <c r="W31" s="249">
        <f>V31*'Indexed REC Calculator'!$B$92</f>
        <v>724140.48510711326</v>
      </c>
      <c r="X31" s="249">
        <f>W31*'Indexed REC Calculator'!$B$92</f>
        <v>720519.78268157772</v>
      </c>
      <c r="Y31" s="249">
        <f>X31*'Indexed REC Calculator'!$B$92</f>
        <v>716917.18376816984</v>
      </c>
      <c r="Z31" s="249">
        <f>Y31*'Indexed REC Calculator'!$B$92</f>
        <v>713332.597849329</v>
      </c>
    </row>
    <row r="32" spans="1:26" ht="15.5" x14ac:dyDescent="0.35">
      <c r="A32" s="12" t="s">
        <v>88</v>
      </c>
      <c r="B32" s="11">
        <f t="shared" si="3"/>
        <v>2031</v>
      </c>
      <c r="C32" s="11"/>
      <c r="D32" s="11"/>
      <c r="E32" s="9"/>
      <c r="F32" s="9"/>
      <c r="G32" s="9"/>
      <c r="H32" s="249"/>
      <c r="I32" s="249"/>
      <c r="J32" s="249"/>
      <c r="K32" s="249"/>
      <c r="L32" s="249"/>
      <c r="M32" s="249"/>
      <c r="N32" s="249">
        <v>0</v>
      </c>
      <c r="O32" s="249">
        <v>0</v>
      </c>
      <c r="P32" s="249">
        <v>0</v>
      </c>
      <c r="Q32" s="249">
        <v>750000</v>
      </c>
      <c r="R32" s="249">
        <f>Q32*'Indexed REC Calculator'!$B$92</f>
        <v>746250</v>
      </c>
      <c r="S32" s="249">
        <f>R32*'Indexed REC Calculator'!$B$92</f>
        <v>742518.75</v>
      </c>
      <c r="T32" s="249">
        <f>S32*'Indexed REC Calculator'!$B$92</f>
        <v>738806.15625</v>
      </c>
      <c r="U32" s="249">
        <f>T32*'Indexed REC Calculator'!$B$92</f>
        <v>735112.12546875002</v>
      </c>
      <c r="V32" s="249">
        <f>U32*'Indexed REC Calculator'!$B$92</f>
        <v>731436.5648414063</v>
      </c>
      <c r="W32" s="249">
        <f>V32*'Indexed REC Calculator'!$B$92</f>
        <v>727779.3820171993</v>
      </c>
      <c r="X32" s="249">
        <f>W32*'Indexed REC Calculator'!$B$92</f>
        <v>724140.48510711326</v>
      </c>
      <c r="Y32" s="249">
        <f>X32*'Indexed REC Calculator'!$B$92</f>
        <v>720519.78268157772</v>
      </c>
      <c r="Z32" s="249">
        <f>Y32*'Indexed REC Calculator'!$B$92</f>
        <v>716917.18376816984</v>
      </c>
    </row>
    <row r="33" spans="1:48" ht="15.5" x14ac:dyDescent="0.35">
      <c r="A33" s="12" t="s">
        <v>88</v>
      </c>
      <c r="B33" s="11">
        <f t="shared" si="3"/>
        <v>2032</v>
      </c>
      <c r="C33" s="11"/>
      <c r="D33" s="11"/>
      <c r="E33" s="9"/>
      <c r="F33" s="9"/>
      <c r="G33" s="9"/>
      <c r="H33" s="249"/>
      <c r="I33" s="249"/>
      <c r="J33" s="249"/>
      <c r="K33" s="249"/>
      <c r="L33" s="249"/>
      <c r="M33" s="249"/>
      <c r="N33" s="249"/>
      <c r="O33" s="249">
        <v>0</v>
      </c>
      <c r="P33" s="249">
        <v>0</v>
      </c>
      <c r="Q33" s="249">
        <v>0</v>
      </c>
      <c r="R33" s="249">
        <v>750000</v>
      </c>
      <c r="S33" s="249">
        <f>R33*'Indexed REC Calculator'!$B$92</f>
        <v>746250</v>
      </c>
      <c r="T33" s="249">
        <f>S33*'Indexed REC Calculator'!$B$92</f>
        <v>742518.75</v>
      </c>
      <c r="U33" s="249">
        <f>T33*'Indexed REC Calculator'!$B$92</f>
        <v>738806.15625</v>
      </c>
      <c r="V33" s="249">
        <f>U33*'Indexed REC Calculator'!$B$92</f>
        <v>735112.12546875002</v>
      </c>
      <c r="W33" s="249">
        <f>V33*'Indexed REC Calculator'!$B$92</f>
        <v>731436.5648414063</v>
      </c>
      <c r="X33" s="249">
        <f>W33*'Indexed REC Calculator'!$B$92</f>
        <v>727779.3820171993</v>
      </c>
      <c r="Y33" s="249">
        <f>X33*'Indexed REC Calculator'!$B$92</f>
        <v>724140.48510711326</v>
      </c>
      <c r="Z33" s="249">
        <f>Y33*'Indexed REC Calculator'!$B$92</f>
        <v>720519.78268157772</v>
      </c>
    </row>
    <row r="34" spans="1:48" ht="15.5" x14ac:dyDescent="0.35">
      <c r="A34" s="12" t="s">
        <v>88</v>
      </c>
      <c r="B34" s="11">
        <f t="shared" si="3"/>
        <v>2033</v>
      </c>
      <c r="C34" s="11"/>
      <c r="D34" s="11"/>
      <c r="E34" s="9"/>
      <c r="F34" s="9"/>
      <c r="G34" s="9"/>
      <c r="H34" s="249"/>
      <c r="I34" s="249"/>
      <c r="J34" s="249"/>
      <c r="K34" s="249"/>
      <c r="L34" s="249"/>
      <c r="M34" s="249"/>
      <c r="N34" s="249"/>
      <c r="O34" s="249"/>
      <c r="P34" s="249">
        <v>0</v>
      </c>
      <c r="Q34" s="249">
        <v>0</v>
      </c>
      <c r="R34" s="249">
        <v>0</v>
      </c>
      <c r="S34" s="249">
        <v>750000</v>
      </c>
      <c r="T34" s="249">
        <f>S34*'Indexed REC Calculator'!$B$92</f>
        <v>746250</v>
      </c>
      <c r="U34" s="249">
        <f>T34*'Indexed REC Calculator'!$B$92</f>
        <v>742518.75</v>
      </c>
      <c r="V34" s="249">
        <f>U34*'Indexed REC Calculator'!$B$92</f>
        <v>738806.15625</v>
      </c>
      <c r="W34" s="249">
        <f>V34*'Indexed REC Calculator'!$B$92</f>
        <v>735112.12546875002</v>
      </c>
      <c r="X34" s="249">
        <f>W34*'Indexed REC Calculator'!$B$92</f>
        <v>731436.5648414063</v>
      </c>
      <c r="Y34" s="249">
        <f>X34*'Indexed REC Calculator'!$B$92</f>
        <v>727779.3820171993</v>
      </c>
      <c r="Z34" s="249">
        <f>Y34*'Indexed REC Calculator'!$B$92</f>
        <v>724140.48510711326</v>
      </c>
    </row>
    <row r="35" spans="1:48" ht="15.5" x14ac:dyDescent="0.35">
      <c r="A35" s="12" t="s">
        <v>88</v>
      </c>
      <c r="B35" s="11">
        <f t="shared" si="3"/>
        <v>2034</v>
      </c>
      <c r="C35" s="11"/>
      <c r="D35" s="11"/>
      <c r="E35" s="9"/>
      <c r="F35" s="9"/>
      <c r="G35" s="9"/>
      <c r="H35" s="249"/>
      <c r="I35" s="249"/>
      <c r="J35" s="249"/>
      <c r="K35" s="249"/>
      <c r="L35" s="249"/>
      <c r="M35" s="249"/>
      <c r="N35" s="249"/>
      <c r="O35" s="249"/>
      <c r="P35" s="249"/>
      <c r="Q35" s="249">
        <v>0</v>
      </c>
      <c r="R35" s="249">
        <v>0</v>
      </c>
      <c r="S35" s="249">
        <v>0</v>
      </c>
      <c r="T35" s="249">
        <v>750000</v>
      </c>
      <c r="U35" s="249">
        <f>T35*'Indexed REC Calculator'!$B$92</f>
        <v>746250</v>
      </c>
      <c r="V35" s="249">
        <f>U35*'Indexed REC Calculator'!$B$92</f>
        <v>742518.75</v>
      </c>
      <c r="W35" s="249">
        <f>V35*'Indexed REC Calculator'!$B$92</f>
        <v>738806.15625</v>
      </c>
      <c r="X35" s="249">
        <f>W35*'Indexed REC Calculator'!$B$92</f>
        <v>735112.12546875002</v>
      </c>
      <c r="Y35" s="249">
        <f>X35*'Indexed REC Calculator'!$B$92</f>
        <v>731436.5648414063</v>
      </c>
      <c r="Z35" s="249">
        <f>Y35*'Indexed REC Calculator'!$B$92</f>
        <v>727779.3820171993</v>
      </c>
    </row>
    <row r="36" spans="1:48" ht="15.5" x14ac:dyDescent="0.35">
      <c r="A36" s="12" t="s">
        <v>88</v>
      </c>
      <c r="B36" s="11">
        <f t="shared" si="3"/>
        <v>2035</v>
      </c>
      <c r="C36" s="11"/>
      <c r="D36" s="11"/>
      <c r="E36" s="9"/>
      <c r="F36" s="9"/>
      <c r="G36" s="9"/>
      <c r="H36" s="249"/>
      <c r="I36" s="249"/>
      <c r="J36" s="249"/>
      <c r="K36" s="249"/>
      <c r="L36" s="249"/>
      <c r="M36" s="249"/>
      <c r="N36" s="249"/>
      <c r="O36" s="249"/>
      <c r="P36" s="249"/>
      <c r="Q36" s="249"/>
      <c r="R36" s="249">
        <v>0</v>
      </c>
      <c r="S36" s="249">
        <v>0</v>
      </c>
      <c r="T36" s="249">
        <v>0</v>
      </c>
      <c r="U36" s="249">
        <v>750000</v>
      </c>
      <c r="V36" s="249">
        <f>U36*'Indexed REC Calculator'!$B$92</f>
        <v>746250</v>
      </c>
      <c r="W36" s="249">
        <f>V36*'Indexed REC Calculator'!$B$92</f>
        <v>742518.75</v>
      </c>
      <c r="X36" s="249">
        <f>W36*'Indexed REC Calculator'!$B$92</f>
        <v>738806.15625</v>
      </c>
      <c r="Y36" s="249">
        <f>X36*'Indexed REC Calculator'!$B$92</f>
        <v>735112.12546875002</v>
      </c>
      <c r="Z36" s="249">
        <f>Y36*'Indexed REC Calculator'!$B$92</f>
        <v>731436.5648414063</v>
      </c>
    </row>
    <row r="37" spans="1:48" ht="15.5" x14ac:dyDescent="0.35">
      <c r="A37" s="12" t="s">
        <v>88</v>
      </c>
      <c r="B37" s="11">
        <f t="shared" si="3"/>
        <v>2036</v>
      </c>
      <c r="C37" s="11"/>
      <c r="D37" s="11"/>
      <c r="E37" s="9"/>
      <c r="F37" s="9"/>
      <c r="G37" s="9"/>
      <c r="H37" s="249"/>
      <c r="I37" s="249"/>
      <c r="J37" s="249"/>
      <c r="K37" s="249"/>
      <c r="L37" s="249"/>
      <c r="M37" s="249"/>
      <c r="N37" s="249"/>
      <c r="O37" s="249"/>
      <c r="P37" s="249"/>
      <c r="Q37" s="249"/>
      <c r="R37" s="249"/>
      <c r="S37" s="249">
        <v>0</v>
      </c>
      <c r="T37" s="249">
        <v>0</v>
      </c>
      <c r="U37" s="249">
        <v>0</v>
      </c>
      <c r="V37" s="249">
        <v>750000</v>
      </c>
      <c r="W37" s="249">
        <f>V37*'Indexed REC Calculator'!$B$92</f>
        <v>746250</v>
      </c>
      <c r="X37" s="249">
        <f>W37*'Indexed REC Calculator'!$B$92</f>
        <v>742518.75</v>
      </c>
      <c r="Y37" s="249">
        <f>X37*'Indexed REC Calculator'!$B$92</f>
        <v>738806.15625</v>
      </c>
      <c r="Z37" s="249">
        <f>Y37*'Indexed REC Calculator'!$B$92</f>
        <v>735112.12546875002</v>
      </c>
    </row>
    <row r="38" spans="1:48" ht="15.5" x14ac:dyDescent="0.35">
      <c r="A38" s="12" t="s">
        <v>88</v>
      </c>
      <c r="B38" s="11">
        <f t="shared" si="3"/>
        <v>2037</v>
      </c>
      <c r="C38" s="11"/>
      <c r="D38" s="11"/>
      <c r="E38" s="9"/>
      <c r="F38" s="9"/>
      <c r="G38" s="9"/>
      <c r="H38" s="249"/>
      <c r="I38" s="249"/>
      <c r="J38" s="249"/>
      <c r="K38" s="249"/>
      <c r="L38" s="249"/>
      <c r="M38" s="249"/>
      <c r="N38" s="249"/>
      <c r="O38" s="249"/>
      <c r="P38" s="249"/>
      <c r="Q38" s="249"/>
      <c r="R38" s="249"/>
      <c r="S38" s="249"/>
      <c r="T38" s="249">
        <v>0</v>
      </c>
      <c r="U38" s="249">
        <v>0</v>
      </c>
      <c r="V38" s="249">
        <v>0</v>
      </c>
      <c r="W38" s="249">
        <v>750000</v>
      </c>
      <c r="X38" s="249">
        <f>W38*'Indexed REC Calculator'!$B$92</f>
        <v>746250</v>
      </c>
      <c r="Y38" s="249">
        <f>X38*'Indexed REC Calculator'!$B$92</f>
        <v>742518.75</v>
      </c>
      <c r="Z38" s="249">
        <f>Y38*'Indexed REC Calculator'!$B$92</f>
        <v>738806.15625</v>
      </c>
    </row>
    <row r="39" spans="1:48" ht="15.5" x14ac:dyDescent="0.35">
      <c r="A39" s="12" t="s">
        <v>88</v>
      </c>
      <c r="B39" s="11">
        <f t="shared" si="3"/>
        <v>2038</v>
      </c>
      <c r="C39" s="11"/>
      <c r="D39" s="11"/>
      <c r="E39" s="9"/>
      <c r="F39" s="9"/>
      <c r="G39" s="9"/>
      <c r="H39" s="249"/>
      <c r="I39" s="249"/>
      <c r="J39" s="249"/>
      <c r="K39" s="249"/>
      <c r="L39" s="249"/>
      <c r="M39" s="249"/>
      <c r="N39" s="249"/>
      <c r="O39" s="249"/>
      <c r="P39" s="249"/>
      <c r="Q39" s="249"/>
      <c r="R39" s="249"/>
      <c r="S39" s="249"/>
      <c r="T39" s="249"/>
      <c r="U39" s="249">
        <v>0</v>
      </c>
      <c r="V39" s="249">
        <v>0</v>
      </c>
      <c r="W39" s="249">
        <v>0</v>
      </c>
      <c r="X39" s="249">
        <v>750000</v>
      </c>
      <c r="Y39" s="249">
        <f>X39*'Indexed REC Calculator'!$B$92</f>
        <v>746250</v>
      </c>
      <c r="Z39" s="249">
        <f>Y39*'Indexed REC Calculator'!$B$92</f>
        <v>742518.75</v>
      </c>
    </row>
    <row r="40" spans="1:48" ht="15.5" x14ac:dyDescent="0.35">
      <c r="A40" s="12" t="s">
        <v>88</v>
      </c>
      <c r="B40" s="11">
        <f t="shared" si="3"/>
        <v>2039</v>
      </c>
      <c r="C40" s="11"/>
      <c r="D40" s="11"/>
      <c r="E40" s="9"/>
      <c r="F40" s="9"/>
      <c r="G40" s="9"/>
      <c r="H40" s="249"/>
      <c r="I40" s="249"/>
      <c r="J40" s="249"/>
      <c r="K40" s="249"/>
      <c r="L40" s="249"/>
      <c r="M40" s="249"/>
      <c r="N40" s="249"/>
      <c r="O40" s="249"/>
      <c r="P40" s="249"/>
      <c r="Q40" s="249"/>
      <c r="R40" s="249"/>
      <c r="S40" s="249"/>
      <c r="T40" s="249"/>
      <c r="U40" s="249"/>
      <c r="V40" s="249">
        <v>0</v>
      </c>
      <c r="W40" s="249">
        <v>0</v>
      </c>
      <c r="X40" s="249">
        <v>0</v>
      </c>
      <c r="Y40" s="249">
        <v>750000</v>
      </c>
      <c r="Z40" s="249">
        <v>750001</v>
      </c>
    </row>
    <row r="41" spans="1:48" ht="15.5" x14ac:dyDescent="0.35">
      <c r="A41" s="12" t="s">
        <v>88</v>
      </c>
      <c r="B41" s="11">
        <f t="shared" si="3"/>
        <v>2040</v>
      </c>
      <c r="C41" s="11"/>
      <c r="D41" s="11"/>
      <c r="E41" s="9"/>
      <c r="F41" s="9"/>
      <c r="G41" s="9"/>
      <c r="H41" s="249"/>
      <c r="I41" s="249"/>
      <c r="J41" s="249"/>
      <c r="K41" s="249"/>
      <c r="L41" s="249"/>
      <c r="M41" s="249"/>
      <c r="N41" s="249"/>
      <c r="O41" s="249"/>
      <c r="P41" s="249"/>
      <c r="Q41" s="249"/>
      <c r="R41" s="249"/>
      <c r="S41" s="249"/>
      <c r="T41" s="249"/>
      <c r="U41" s="249"/>
      <c r="V41" s="249"/>
      <c r="W41" s="249">
        <v>0</v>
      </c>
      <c r="X41" s="249">
        <v>0</v>
      </c>
      <c r="Y41" s="249">
        <v>0</v>
      </c>
      <c r="Z41" s="249">
        <v>750000</v>
      </c>
    </row>
    <row r="42" spans="1:48" ht="15.5" x14ac:dyDescent="0.35">
      <c r="A42" s="12" t="s">
        <v>88</v>
      </c>
      <c r="B42" s="11">
        <f t="shared" si="3"/>
        <v>2041</v>
      </c>
      <c r="C42" s="11"/>
      <c r="D42" s="11"/>
      <c r="E42" s="13"/>
      <c r="F42" s="13"/>
      <c r="G42" s="13"/>
      <c r="H42" s="248"/>
      <c r="I42" s="248"/>
      <c r="J42" s="248"/>
      <c r="K42" s="248"/>
      <c r="L42" s="248"/>
      <c r="M42" s="248"/>
      <c r="N42" s="248"/>
      <c r="O42" s="248"/>
      <c r="P42" s="248"/>
      <c r="Q42" s="248"/>
      <c r="R42" s="248"/>
      <c r="S42" s="248"/>
      <c r="T42" s="248"/>
      <c r="U42" s="248"/>
      <c r="V42" s="248"/>
      <c r="W42" s="248"/>
      <c r="X42" s="248"/>
      <c r="Y42" s="248"/>
      <c r="Z42" s="248"/>
    </row>
    <row r="43" spans="1:48" ht="15.5" x14ac:dyDescent="0.35">
      <c r="A43" s="12" t="s">
        <v>88</v>
      </c>
      <c r="B43" s="11">
        <f t="shared" si="3"/>
        <v>2042</v>
      </c>
      <c r="C43" s="11"/>
      <c r="D43" s="11"/>
      <c r="E43" s="13"/>
      <c r="F43" s="13"/>
      <c r="G43" s="13"/>
      <c r="H43" s="248"/>
      <c r="I43" s="248"/>
      <c r="J43" s="248"/>
      <c r="K43" s="248"/>
      <c r="L43" s="248"/>
      <c r="M43" s="248"/>
      <c r="N43" s="248"/>
      <c r="O43" s="248"/>
      <c r="P43" s="248"/>
      <c r="Q43" s="248"/>
      <c r="R43" s="248"/>
      <c r="S43" s="248"/>
      <c r="T43" s="248"/>
      <c r="U43" s="248"/>
      <c r="V43" s="248"/>
      <c r="W43" s="248"/>
      <c r="X43" s="248"/>
      <c r="Y43" s="248"/>
      <c r="Z43" s="248"/>
    </row>
    <row r="44" spans="1:48" ht="15.5" x14ac:dyDescent="0.35">
      <c r="A44" s="12" t="s">
        <v>83</v>
      </c>
      <c r="B44" s="11">
        <v>2022</v>
      </c>
      <c r="C44" s="11"/>
      <c r="D44" s="11"/>
      <c r="E44" s="9">
        <v>0</v>
      </c>
      <c r="F44" s="9">
        <v>0</v>
      </c>
      <c r="G44" s="9">
        <v>0</v>
      </c>
      <c r="H44" s="249">
        <v>57870</v>
      </c>
      <c r="I44" s="249">
        <v>57580.649999999994</v>
      </c>
      <c r="J44" s="249">
        <v>57292.746749999998</v>
      </c>
      <c r="K44" s="249">
        <v>57006.283016250003</v>
      </c>
      <c r="L44" s="249">
        <v>56721.251601168748</v>
      </c>
      <c r="M44" s="249">
        <v>56437.645343162905</v>
      </c>
      <c r="N44" s="249">
        <v>56155.457116447091</v>
      </c>
      <c r="O44" s="249">
        <v>55874.679830864858</v>
      </c>
      <c r="P44" s="249">
        <v>55595.306431710531</v>
      </c>
      <c r="Q44" s="249">
        <v>55317.329899551973</v>
      </c>
      <c r="R44" s="249">
        <v>55040.743250054213</v>
      </c>
      <c r="S44" s="249">
        <v>54765.539533803945</v>
      </c>
      <c r="T44" s="249">
        <v>54491.711836134928</v>
      </c>
      <c r="U44" s="249">
        <v>54219.253276954252</v>
      </c>
      <c r="V44" s="249">
        <v>53948.157010569477</v>
      </c>
      <c r="W44" s="249">
        <v>53678.416225516637</v>
      </c>
      <c r="X44" s="249">
        <v>53410.024144389048</v>
      </c>
      <c r="Y44" s="249">
        <v>53142.974023667106</v>
      </c>
      <c r="Z44" s="249">
        <v>53143.974023667099</v>
      </c>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row>
    <row r="45" spans="1:48" ht="15.5" x14ac:dyDescent="0.35">
      <c r="A45" s="12" t="s">
        <v>83</v>
      </c>
      <c r="B45" s="11">
        <f t="shared" ref="B45:B64" si="4">B44+1</f>
        <v>2023</v>
      </c>
      <c r="C45" s="11"/>
      <c r="D45" s="11"/>
      <c r="E45" s="9"/>
      <c r="F45" s="9">
        <v>0</v>
      </c>
      <c r="G45" s="9">
        <v>0</v>
      </c>
      <c r="H45" s="249">
        <v>0</v>
      </c>
      <c r="I45" s="249">
        <v>85000</v>
      </c>
      <c r="J45" s="249">
        <f>I45*'Indexed REC Calculator'!$B$92</f>
        <v>84575</v>
      </c>
      <c r="K45" s="249">
        <f>J45*'Indexed REC Calculator'!$B$92</f>
        <v>84152.125</v>
      </c>
      <c r="L45" s="249">
        <f>K45*'Indexed REC Calculator'!$B$92</f>
        <v>83731.364375000005</v>
      </c>
      <c r="M45" s="249">
        <f>L45*'Indexed REC Calculator'!$B$92</f>
        <v>83312.707553125001</v>
      </c>
      <c r="N45" s="249">
        <f>M45*'Indexed REC Calculator'!$B$92</f>
        <v>82896.144015359372</v>
      </c>
      <c r="O45" s="249">
        <f>N45*'Indexed REC Calculator'!$B$92</f>
        <v>82481.663295282575</v>
      </c>
      <c r="P45" s="249">
        <f>O45*'Indexed REC Calculator'!$B$92</f>
        <v>82069.254978806159</v>
      </c>
      <c r="Q45" s="249">
        <f>P45*'Indexed REC Calculator'!$B$92</f>
        <v>81658.908703912122</v>
      </c>
      <c r="R45" s="249">
        <f>Q45*'Indexed REC Calculator'!$B$92</f>
        <v>81250.614160392564</v>
      </c>
      <c r="S45" s="249">
        <f>R45*'Indexed REC Calculator'!$B$92</f>
        <v>80844.361089590602</v>
      </c>
      <c r="T45" s="249">
        <f>S45*'Indexed REC Calculator'!$B$92</f>
        <v>80440.139284142642</v>
      </c>
      <c r="U45" s="249">
        <f>T45*'Indexed REC Calculator'!$B$92</f>
        <v>80037.938587721932</v>
      </c>
      <c r="V45" s="249">
        <f>U45*'Indexed REC Calculator'!$B$92</f>
        <v>79637.748894783319</v>
      </c>
      <c r="W45" s="249">
        <f>V45*'Indexed REC Calculator'!$B$92</f>
        <v>79239.560150309408</v>
      </c>
      <c r="X45" s="249">
        <f>W45*'Indexed REC Calculator'!$B$92</f>
        <v>78843.362349557865</v>
      </c>
      <c r="Y45" s="249">
        <f>X45*'Indexed REC Calculator'!$B$92</f>
        <v>78449.14553781008</v>
      </c>
      <c r="Z45" s="249">
        <f>Y45*'Indexed REC Calculator'!$B$92</f>
        <v>78056.899810121031</v>
      </c>
    </row>
    <row r="46" spans="1:48" ht="15.5" x14ac:dyDescent="0.35">
      <c r="A46" s="12" t="s">
        <v>83</v>
      </c>
      <c r="B46" s="11">
        <f t="shared" si="4"/>
        <v>2024</v>
      </c>
      <c r="C46" s="11"/>
      <c r="D46" s="11"/>
      <c r="E46" s="9"/>
      <c r="F46" s="9"/>
      <c r="G46" s="9">
        <v>0</v>
      </c>
      <c r="H46" s="249">
        <v>0</v>
      </c>
      <c r="I46" s="249">
        <v>0</v>
      </c>
      <c r="J46" s="249">
        <v>85000</v>
      </c>
      <c r="K46" s="249">
        <f>J46*'Indexed REC Calculator'!$B$92</f>
        <v>84575</v>
      </c>
      <c r="L46" s="249">
        <f>K46*'Indexed REC Calculator'!$B$92</f>
        <v>84152.125</v>
      </c>
      <c r="M46" s="249">
        <f>L46*'Indexed REC Calculator'!$B$92</f>
        <v>83731.364375000005</v>
      </c>
      <c r="N46" s="249">
        <f>M46*'Indexed REC Calculator'!$B$92</f>
        <v>83312.707553125001</v>
      </c>
      <c r="O46" s="249">
        <f>N46*'Indexed REC Calculator'!$B$92</f>
        <v>82896.144015359372</v>
      </c>
      <c r="P46" s="249">
        <f>O46*'Indexed REC Calculator'!$B$92</f>
        <v>82481.663295282575</v>
      </c>
      <c r="Q46" s="249">
        <f>P46*'Indexed REC Calculator'!$B$92</f>
        <v>82069.254978806159</v>
      </c>
      <c r="R46" s="249">
        <f>Q46*'Indexed REC Calculator'!$B$92</f>
        <v>81658.908703912122</v>
      </c>
      <c r="S46" s="249">
        <f>R46*'Indexed REC Calculator'!$B$92</f>
        <v>81250.614160392564</v>
      </c>
      <c r="T46" s="249">
        <f>S46*'Indexed REC Calculator'!$B$92</f>
        <v>80844.361089590602</v>
      </c>
      <c r="U46" s="249">
        <f>T46*'Indexed REC Calculator'!$B$92</f>
        <v>80440.139284142642</v>
      </c>
      <c r="V46" s="249">
        <f>U46*'Indexed REC Calculator'!$B$92</f>
        <v>80037.938587721932</v>
      </c>
      <c r="W46" s="249">
        <f>V46*'Indexed REC Calculator'!$B$92</f>
        <v>79637.748894783319</v>
      </c>
      <c r="X46" s="249">
        <f>W46*'Indexed REC Calculator'!$B$92</f>
        <v>79239.560150309408</v>
      </c>
      <c r="Y46" s="249">
        <f>X46*'Indexed REC Calculator'!$B$92</f>
        <v>78843.362349557865</v>
      </c>
      <c r="Z46" s="249">
        <f>Y46*'Indexed REC Calculator'!$B$92</f>
        <v>78449.14553781008</v>
      </c>
    </row>
    <row r="47" spans="1:48" ht="15.5" x14ac:dyDescent="0.35">
      <c r="A47" s="12" t="s">
        <v>83</v>
      </c>
      <c r="B47" s="11">
        <f t="shared" si="4"/>
        <v>2025</v>
      </c>
      <c r="C47" s="11"/>
      <c r="D47" s="11"/>
      <c r="E47" s="9"/>
      <c r="F47" s="9"/>
      <c r="G47" s="9"/>
      <c r="H47" s="249">
        <v>0</v>
      </c>
      <c r="I47" s="249">
        <v>0</v>
      </c>
      <c r="J47" s="249">
        <v>0</v>
      </c>
      <c r="K47" s="249">
        <v>85000</v>
      </c>
      <c r="L47" s="249">
        <f>K47*'Indexed REC Calculator'!$B$92</f>
        <v>84575</v>
      </c>
      <c r="M47" s="249">
        <f>L47*'Indexed REC Calculator'!$B$92</f>
        <v>84152.125</v>
      </c>
      <c r="N47" s="249">
        <f>M47*'Indexed REC Calculator'!$B$92</f>
        <v>83731.364375000005</v>
      </c>
      <c r="O47" s="249">
        <f>N47*'Indexed REC Calculator'!$B$92</f>
        <v>83312.707553125001</v>
      </c>
      <c r="P47" s="249">
        <f>O47*'Indexed REC Calculator'!$B$92</f>
        <v>82896.144015359372</v>
      </c>
      <c r="Q47" s="249">
        <f>P47*'Indexed REC Calculator'!$B$92</f>
        <v>82481.663295282575</v>
      </c>
      <c r="R47" s="249">
        <f>Q47*'Indexed REC Calculator'!$B$92</f>
        <v>82069.254978806159</v>
      </c>
      <c r="S47" s="249">
        <f>R47*'Indexed REC Calculator'!$B$92</f>
        <v>81658.908703912122</v>
      </c>
      <c r="T47" s="249">
        <f>S47*'Indexed REC Calculator'!$B$92</f>
        <v>81250.614160392564</v>
      </c>
      <c r="U47" s="249">
        <f>T47*'Indexed REC Calculator'!$B$92</f>
        <v>80844.361089590602</v>
      </c>
      <c r="V47" s="249">
        <f>U47*'Indexed REC Calculator'!$B$92</f>
        <v>80440.139284142642</v>
      </c>
      <c r="W47" s="249">
        <f>V47*'Indexed REC Calculator'!$B$92</f>
        <v>80037.938587721932</v>
      </c>
      <c r="X47" s="249">
        <f>W47*'Indexed REC Calculator'!$B$92</f>
        <v>79637.748894783319</v>
      </c>
      <c r="Y47" s="249">
        <f>X47*'Indexed REC Calculator'!$B$92</f>
        <v>79239.560150309408</v>
      </c>
      <c r="Z47" s="249">
        <f>Y47*'Indexed REC Calculator'!$B$92</f>
        <v>78843.362349557865</v>
      </c>
    </row>
    <row r="48" spans="1:48" ht="15.5" x14ac:dyDescent="0.35">
      <c r="A48" s="12" t="s">
        <v>83</v>
      </c>
      <c r="B48" s="11">
        <f t="shared" si="4"/>
        <v>2026</v>
      </c>
      <c r="C48" s="11"/>
      <c r="D48" s="11"/>
      <c r="E48" s="9"/>
      <c r="F48" s="9"/>
      <c r="G48" s="9"/>
      <c r="H48" s="249"/>
      <c r="I48" s="249">
        <v>0</v>
      </c>
      <c r="J48" s="249">
        <v>0</v>
      </c>
      <c r="K48" s="249">
        <v>0</v>
      </c>
      <c r="L48" s="249">
        <v>85000</v>
      </c>
      <c r="M48" s="249">
        <f>L48*'Indexed REC Calculator'!$B$92</f>
        <v>84575</v>
      </c>
      <c r="N48" s="249">
        <f>M48*'Indexed REC Calculator'!$B$92</f>
        <v>84152.125</v>
      </c>
      <c r="O48" s="249">
        <f>N48*'Indexed REC Calculator'!$B$92</f>
        <v>83731.364375000005</v>
      </c>
      <c r="P48" s="249">
        <f>O48*'Indexed REC Calculator'!$B$92</f>
        <v>83312.707553125001</v>
      </c>
      <c r="Q48" s="249">
        <f>P48*'Indexed REC Calculator'!$B$92</f>
        <v>82896.144015359372</v>
      </c>
      <c r="R48" s="249">
        <f>Q48*'Indexed REC Calculator'!$B$92</f>
        <v>82481.663295282575</v>
      </c>
      <c r="S48" s="249">
        <f>R48*'Indexed REC Calculator'!$B$92</f>
        <v>82069.254978806159</v>
      </c>
      <c r="T48" s="249">
        <f>S48*'Indexed REC Calculator'!$B$92</f>
        <v>81658.908703912122</v>
      </c>
      <c r="U48" s="249">
        <f>T48*'Indexed REC Calculator'!$B$92</f>
        <v>81250.614160392564</v>
      </c>
      <c r="V48" s="249">
        <f>U48*'Indexed REC Calculator'!$B$92</f>
        <v>80844.361089590602</v>
      </c>
      <c r="W48" s="249">
        <f>V48*'Indexed REC Calculator'!$B$92</f>
        <v>80440.139284142642</v>
      </c>
      <c r="X48" s="249">
        <f>W48*'Indexed REC Calculator'!$B$92</f>
        <v>80037.938587721932</v>
      </c>
      <c r="Y48" s="249">
        <f>X48*'Indexed REC Calculator'!$B$92</f>
        <v>79637.748894783319</v>
      </c>
      <c r="Z48" s="249">
        <f>Y48*'Indexed REC Calculator'!$B$92</f>
        <v>79239.560150309408</v>
      </c>
    </row>
    <row r="49" spans="1:26" ht="15.5" x14ac:dyDescent="0.35">
      <c r="A49" s="12" t="s">
        <v>83</v>
      </c>
      <c r="B49" s="11">
        <f t="shared" si="4"/>
        <v>2027</v>
      </c>
      <c r="C49" s="11"/>
      <c r="D49" s="11"/>
      <c r="E49" s="9"/>
      <c r="F49" s="9"/>
      <c r="G49" s="9"/>
      <c r="H49" s="249"/>
      <c r="I49" s="249"/>
      <c r="J49" s="249">
        <v>0</v>
      </c>
      <c r="K49" s="249">
        <v>0</v>
      </c>
      <c r="L49" s="249">
        <v>0</v>
      </c>
      <c r="M49" s="249">
        <v>85000</v>
      </c>
      <c r="N49" s="249">
        <f>M49*'Indexed REC Calculator'!$B$92</f>
        <v>84575</v>
      </c>
      <c r="O49" s="249">
        <f>N49*'Indexed REC Calculator'!$B$92</f>
        <v>84152.125</v>
      </c>
      <c r="P49" s="249">
        <f>O49*'Indexed REC Calculator'!$B$92</f>
        <v>83731.364375000005</v>
      </c>
      <c r="Q49" s="249">
        <f>P49*'Indexed REC Calculator'!$B$92</f>
        <v>83312.707553125001</v>
      </c>
      <c r="R49" s="249">
        <f>Q49*'Indexed REC Calculator'!$B$92</f>
        <v>82896.144015359372</v>
      </c>
      <c r="S49" s="249">
        <f>R49*'Indexed REC Calculator'!$B$92</f>
        <v>82481.663295282575</v>
      </c>
      <c r="T49" s="249">
        <f>S49*'Indexed REC Calculator'!$B$92</f>
        <v>82069.254978806159</v>
      </c>
      <c r="U49" s="249">
        <f>T49*'Indexed REC Calculator'!$B$92</f>
        <v>81658.908703912122</v>
      </c>
      <c r="V49" s="249">
        <f>U49*'Indexed REC Calculator'!$B$92</f>
        <v>81250.614160392564</v>
      </c>
      <c r="W49" s="249">
        <f>V49*'Indexed REC Calculator'!$B$92</f>
        <v>80844.361089590602</v>
      </c>
      <c r="X49" s="249">
        <f>W49*'Indexed REC Calculator'!$B$92</f>
        <v>80440.139284142642</v>
      </c>
      <c r="Y49" s="249">
        <f>X49*'Indexed REC Calculator'!$B$92</f>
        <v>80037.938587721932</v>
      </c>
      <c r="Z49" s="249">
        <f>Y49*'Indexed REC Calculator'!$B$92</f>
        <v>79637.748894783319</v>
      </c>
    </row>
    <row r="50" spans="1:26" ht="15.5" x14ac:dyDescent="0.35">
      <c r="A50" s="12" t="s">
        <v>83</v>
      </c>
      <c r="B50" s="11">
        <f t="shared" si="4"/>
        <v>2028</v>
      </c>
      <c r="C50" s="11"/>
      <c r="D50" s="11"/>
      <c r="E50" s="9"/>
      <c r="F50" s="9"/>
      <c r="G50" s="9"/>
      <c r="H50" s="249"/>
      <c r="I50" s="249"/>
      <c r="J50" s="249"/>
      <c r="K50" s="249">
        <v>0</v>
      </c>
      <c r="L50" s="249">
        <v>0</v>
      </c>
      <c r="M50" s="249">
        <v>0</v>
      </c>
      <c r="N50" s="249">
        <v>85000</v>
      </c>
      <c r="O50" s="249">
        <f>N50*'Indexed REC Calculator'!$B$92</f>
        <v>84575</v>
      </c>
      <c r="P50" s="249">
        <f>O50*'Indexed REC Calculator'!$B$92</f>
        <v>84152.125</v>
      </c>
      <c r="Q50" s="249">
        <f>P50*'Indexed REC Calculator'!$B$92</f>
        <v>83731.364375000005</v>
      </c>
      <c r="R50" s="249">
        <f>Q50*'Indexed REC Calculator'!$B$92</f>
        <v>83312.707553125001</v>
      </c>
      <c r="S50" s="249">
        <f>R50*'Indexed REC Calculator'!$B$92</f>
        <v>82896.144015359372</v>
      </c>
      <c r="T50" s="249">
        <f>S50*'Indexed REC Calculator'!$B$92</f>
        <v>82481.663295282575</v>
      </c>
      <c r="U50" s="249">
        <f>T50*'Indexed REC Calculator'!$B$92</f>
        <v>82069.254978806159</v>
      </c>
      <c r="V50" s="249">
        <f>U50*'Indexed REC Calculator'!$B$92</f>
        <v>81658.908703912122</v>
      </c>
      <c r="W50" s="249">
        <f>V50*'Indexed REC Calculator'!$B$92</f>
        <v>81250.614160392564</v>
      </c>
      <c r="X50" s="249">
        <f>W50*'Indexed REC Calculator'!$B$92</f>
        <v>80844.361089590602</v>
      </c>
      <c r="Y50" s="249">
        <f>X50*'Indexed REC Calculator'!$B$92</f>
        <v>80440.139284142642</v>
      </c>
      <c r="Z50" s="249">
        <f>Y50*'Indexed REC Calculator'!$B$92</f>
        <v>80037.938587721932</v>
      </c>
    </row>
    <row r="51" spans="1:26" ht="15.5" x14ac:dyDescent="0.35">
      <c r="A51" s="12" t="s">
        <v>83</v>
      </c>
      <c r="B51" s="11">
        <f t="shared" si="4"/>
        <v>2029</v>
      </c>
      <c r="C51" s="11"/>
      <c r="D51" s="11"/>
      <c r="E51" s="9"/>
      <c r="F51" s="9"/>
      <c r="G51" s="9"/>
      <c r="H51" s="249"/>
      <c r="I51" s="249"/>
      <c r="J51" s="249"/>
      <c r="K51" s="249"/>
      <c r="L51" s="249">
        <v>0</v>
      </c>
      <c r="M51" s="249">
        <v>0</v>
      </c>
      <c r="N51" s="249">
        <v>0</v>
      </c>
      <c r="O51" s="249">
        <v>85000</v>
      </c>
      <c r="P51" s="249">
        <f>O51*'Indexed REC Calculator'!$B$92</f>
        <v>84575</v>
      </c>
      <c r="Q51" s="249">
        <f>P51*'Indexed REC Calculator'!$B$92</f>
        <v>84152.125</v>
      </c>
      <c r="R51" s="249">
        <f>Q51*'Indexed REC Calculator'!$B$92</f>
        <v>83731.364375000005</v>
      </c>
      <c r="S51" s="249">
        <f>R51*'Indexed REC Calculator'!$B$92</f>
        <v>83312.707553125001</v>
      </c>
      <c r="T51" s="249">
        <f>S51*'Indexed REC Calculator'!$B$92</f>
        <v>82896.144015359372</v>
      </c>
      <c r="U51" s="249">
        <f>T51*'Indexed REC Calculator'!$B$92</f>
        <v>82481.663295282575</v>
      </c>
      <c r="V51" s="249">
        <f>U51*'Indexed REC Calculator'!$B$92</f>
        <v>82069.254978806159</v>
      </c>
      <c r="W51" s="249">
        <f>V51*'Indexed REC Calculator'!$B$92</f>
        <v>81658.908703912122</v>
      </c>
      <c r="X51" s="249">
        <f>W51*'Indexed REC Calculator'!$B$92</f>
        <v>81250.614160392564</v>
      </c>
      <c r="Y51" s="249">
        <f>X51*'Indexed REC Calculator'!$B$92</f>
        <v>80844.361089590602</v>
      </c>
      <c r="Z51" s="249">
        <f>Y51*'Indexed REC Calculator'!$B$92</f>
        <v>80440.139284142642</v>
      </c>
    </row>
    <row r="52" spans="1:26" ht="15.5" x14ac:dyDescent="0.35">
      <c r="A52" s="12" t="s">
        <v>83</v>
      </c>
      <c r="B52" s="11">
        <f t="shared" si="4"/>
        <v>2030</v>
      </c>
      <c r="C52" s="11"/>
      <c r="D52" s="11"/>
      <c r="E52" s="9"/>
      <c r="F52" s="9"/>
      <c r="G52" s="9"/>
      <c r="H52" s="249"/>
      <c r="I52" s="249"/>
      <c r="J52" s="249"/>
      <c r="K52" s="249"/>
      <c r="L52" s="249"/>
      <c r="M52" s="249">
        <v>0</v>
      </c>
      <c r="N52" s="249">
        <v>0</v>
      </c>
      <c r="O52" s="249">
        <v>0</v>
      </c>
      <c r="P52" s="249">
        <v>50000</v>
      </c>
      <c r="Q52" s="249">
        <f>P52*'Indexed REC Calculator'!$B$92</f>
        <v>49750</v>
      </c>
      <c r="R52" s="249">
        <f>Q52*'Indexed REC Calculator'!$B$92</f>
        <v>49501.25</v>
      </c>
      <c r="S52" s="249">
        <f>R52*'Indexed REC Calculator'!$B$92</f>
        <v>49253.743750000001</v>
      </c>
      <c r="T52" s="249">
        <f>S52*'Indexed REC Calculator'!$B$92</f>
        <v>49007.475031250004</v>
      </c>
      <c r="U52" s="249">
        <f>T52*'Indexed REC Calculator'!$B$92</f>
        <v>48762.437656093753</v>
      </c>
      <c r="V52" s="249">
        <f>U52*'Indexed REC Calculator'!$B$92</f>
        <v>48518.625467813283</v>
      </c>
      <c r="W52" s="249">
        <f>V52*'Indexed REC Calculator'!$B$92</f>
        <v>48276.032340474216</v>
      </c>
      <c r="X52" s="249">
        <f>W52*'Indexed REC Calculator'!$B$92</f>
        <v>48034.652178771845</v>
      </c>
      <c r="Y52" s="249">
        <f>X52*'Indexed REC Calculator'!$B$92</f>
        <v>47794.478917877983</v>
      </c>
      <c r="Z52" s="249">
        <f>Y52*'Indexed REC Calculator'!$B$92</f>
        <v>47555.50652328859</v>
      </c>
    </row>
    <row r="53" spans="1:26" ht="15.5" x14ac:dyDescent="0.35">
      <c r="A53" s="12" t="s">
        <v>83</v>
      </c>
      <c r="B53" s="11">
        <f t="shared" si="4"/>
        <v>2031</v>
      </c>
      <c r="C53" s="11"/>
      <c r="D53" s="11"/>
      <c r="E53" s="9"/>
      <c r="F53" s="9"/>
      <c r="G53" s="9"/>
      <c r="H53" s="249"/>
      <c r="I53" s="249"/>
      <c r="J53" s="249"/>
      <c r="K53" s="249"/>
      <c r="L53" s="249"/>
      <c r="M53" s="249"/>
      <c r="N53" s="249">
        <v>0</v>
      </c>
      <c r="O53" s="249">
        <v>0</v>
      </c>
      <c r="P53" s="249">
        <v>0</v>
      </c>
      <c r="Q53" s="249">
        <v>50000</v>
      </c>
      <c r="R53" s="249">
        <f>Q53*'Indexed REC Calculator'!$B$92</f>
        <v>49750</v>
      </c>
      <c r="S53" s="249">
        <f>R53*'Indexed REC Calculator'!$B$92</f>
        <v>49501.25</v>
      </c>
      <c r="T53" s="249">
        <f>S53*'Indexed REC Calculator'!$B$92</f>
        <v>49253.743750000001</v>
      </c>
      <c r="U53" s="249">
        <f>T53*'Indexed REC Calculator'!$B$92</f>
        <v>49007.475031250004</v>
      </c>
      <c r="V53" s="249">
        <f>U53*'Indexed REC Calculator'!$B$92</f>
        <v>48762.437656093753</v>
      </c>
      <c r="W53" s="249">
        <f>V53*'Indexed REC Calculator'!$B$92</f>
        <v>48518.625467813283</v>
      </c>
      <c r="X53" s="249">
        <f>W53*'Indexed REC Calculator'!$B$92</f>
        <v>48276.032340474216</v>
      </c>
      <c r="Y53" s="249">
        <f>X53*'Indexed REC Calculator'!$B$92</f>
        <v>48034.652178771845</v>
      </c>
      <c r="Z53" s="249">
        <f>Y53*'Indexed REC Calculator'!$B$92</f>
        <v>47794.478917877983</v>
      </c>
    </row>
    <row r="54" spans="1:26" ht="15.5" x14ac:dyDescent="0.35">
      <c r="A54" s="12" t="s">
        <v>83</v>
      </c>
      <c r="B54" s="11">
        <f t="shared" si="4"/>
        <v>2032</v>
      </c>
      <c r="C54" s="11"/>
      <c r="D54" s="11"/>
      <c r="E54" s="9"/>
      <c r="F54" s="9"/>
      <c r="G54" s="9"/>
      <c r="H54" s="249"/>
      <c r="I54" s="249"/>
      <c r="J54" s="249"/>
      <c r="K54" s="249"/>
      <c r="L54" s="249"/>
      <c r="M54" s="249"/>
      <c r="N54" s="249"/>
      <c r="O54" s="249">
        <v>0</v>
      </c>
      <c r="P54" s="249">
        <v>0</v>
      </c>
      <c r="Q54" s="249">
        <v>0</v>
      </c>
      <c r="R54" s="249">
        <v>50000</v>
      </c>
      <c r="S54" s="249">
        <f>R54*'Indexed REC Calculator'!$B$92</f>
        <v>49750</v>
      </c>
      <c r="T54" s="249">
        <f>S54*'Indexed REC Calculator'!$B$92</f>
        <v>49501.25</v>
      </c>
      <c r="U54" s="249">
        <f>T54*'Indexed REC Calculator'!$B$92</f>
        <v>49253.743750000001</v>
      </c>
      <c r="V54" s="249">
        <f>U54*'Indexed REC Calculator'!$B$92</f>
        <v>49007.475031250004</v>
      </c>
      <c r="W54" s="249">
        <f>V54*'Indexed REC Calculator'!$B$92</f>
        <v>48762.437656093753</v>
      </c>
      <c r="X54" s="249">
        <f>W54*'Indexed REC Calculator'!$B$92</f>
        <v>48518.625467813283</v>
      </c>
      <c r="Y54" s="249">
        <f>X54*'Indexed REC Calculator'!$B$92</f>
        <v>48276.032340474216</v>
      </c>
      <c r="Z54" s="249">
        <f>Y54*'Indexed REC Calculator'!$B$92</f>
        <v>48034.652178771845</v>
      </c>
    </row>
    <row r="55" spans="1:26" ht="15.5" x14ac:dyDescent="0.35">
      <c r="A55" s="12" t="s">
        <v>83</v>
      </c>
      <c r="B55" s="11">
        <f t="shared" si="4"/>
        <v>2033</v>
      </c>
      <c r="C55" s="11"/>
      <c r="D55" s="11"/>
      <c r="E55" s="9"/>
      <c r="F55" s="9"/>
      <c r="G55" s="9"/>
      <c r="H55" s="249"/>
      <c r="I55" s="249"/>
      <c r="J55" s="249"/>
      <c r="K55" s="249"/>
      <c r="L55" s="249"/>
      <c r="M55" s="249"/>
      <c r="N55" s="249"/>
      <c r="O55" s="249"/>
      <c r="P55" s="249">
        <v>0</v>
      </c>
      <c r="Q55" s="249">
        <v>0</v>
      </c>
      <c r="R55" s="249">
        <v>0</v>
      </c>
      <c r="S55" s="249">
        <v>50000</v>
      </c>
      <c r="T55" s="249">
        <f>S55*'Indexed REC Calculator'!$B$92</f>
        <v>49750</v>
      </c>
      <c r="U55" s="249">
        <f>T55*'Indexed REC Calculator'!$B$92</f>
        <v>49501.25</v>
      </c>
      <c r="V55" s="249">
        <f>U55*'Indexed REC Calculator'!$B$92</f>
        <v>49253.743750000001</v>
      </c>
      <c r="W55" s="249">
        <f>V55*'Indexed REC Calculator'!$B$92</f>
        <v>49007.475031250004</v>
      </c>
      <c r="X55" s="249">
        <f>W55*'Indexed REC Calculator'!$B$92</f>
        <v>48762.437656093753</v>
      </c>
      <c r="Y55" s="249">
        <f>X55*'Indexed REC Calculator'!$B$92</f>
        <v>48518.625467813283</v>
      </c>
      <c r="Z55" s="249">
        <f>Y55*'Indexed REC Calculator'!$B$92</f>
        <v>48276.032340474216</v>
      </c>
    </row>
    <row r="56" spans="1:26" ht="15.5" x14ac:dyDescent="0.35">
      <c r="A56" s="12" t="s">
        <v>83</v>
      </c>
      <c r="B56" s="11">
        <f t="shared" si="4"/>
        <v>2034</v>
      </c>
      <c r="C56" s="11"/>
      <c r="D56" s="11"/>
      <c r="E56" s="9"/>
      <c r="F56" s="9"/>
      <c r="G56" s="9"/>
      <c r="H56" s="249"/>
      <c r="I56" s="249"/>
      <c r="J56" s="249"/>
      <c r="K56" s="249"/>
      <c r="L56" s="249"/>
      <c r="M56" s="249"/>
      <c r="N56" s="249"/>
      <c r="O56" s="249"/>
      <c r="P56" s="249"/>
      <c r="Q56" s="249">
        <v>0</v>
      </c>
      <c r="R56" s="249">
        <v>0</v>
      </c>
      <c r="S56" s="249">
        <v>0</v>
      </c>
      <c r="T56" s="249">
        <v>50000</v>
      </c>
      <c r="U56" s="249">
        <f>T56*'Indexed REC Calculator'!$B$92</f>
        <v>49750</v>
      </c>
      <c r="V56" s="249">
        <f>U56*'Indexed REC Calculator'!$B$92</f>
        <v>49501.25</v>
      </c>
      <c r="W56" s="249">
        <f>V56*'Indexed REC Calculator'!$B$92</f>
        <v>49253.743750000001</v>
      </c>
      <c r="X56" s="249">
        <f>W56*'Indexed REC Calculator'!$B$92</f>
        <v>49007.475031250004</v>
      </c>
      <c r="Y56" s="249">
        <f>X56*'Indexed REC Calculator'!$B$92</f>
        <v>48762.437656093753</v>
      </c>
      <c r="Z56" s="249">
        <f>Y56*'Indexed REC Calculator'!$B$92</f>
        <v>48518.625467813283</v>
      </c>
    </row>
    <row r="57" spans="1:26" ht="15.5" x14ac:dyDescent="0.35">
      <c r="A57" s="12" t="s">
        <v>83</v>
      </c>
      <c r="B57" s="11">
        <f t="shared" si="4"/>
        <v>2035</v>
      </c>
      <c r="C57" s="11"/>
      <c r="D57" s="11"/>
      <c r="E57" s="9"/>
      <c r="F57" s="9"/>
      <c r="G57" s="9"/>
      <c r="H57" s="249"/>
      <c r="I57" s="249"/>
      <c r="J57" s="249"/>
      <c r="K57" s="249"/>
      <c r="L57" s="249"/>
      <c r="M57" s="249"/>
      <c r="N57" s="249"/>
      <c r="O57" s="249"/>
      <c r="P57" s="249"/>
      <c r="Q57" s="249"/>
      <c r="R57" s="249">
        <v>0</v>
      </c>
      <c r="S57" s="249">
        <v>0</v>
      </c>
      <c r="T57" s="249">
        <v>0</v>
      </c>
      <c r="U57" s="249">
        <v>50000</v>
      </c>
      <c r="V57" s="249">
        <f>U57*'Indexed REC Calculator'!$B$92</f>
        <v>49750</v>
      </c>
      <c r="W57" s="249">
        <f>V57*'Indexed REC Calculator'!$B$92</f>
        <v>49501.25</v>
      </c>
      <c r="X57" s="249">
        <f>W57*'Indexed REC Calculator'!$B$92</f>
        <v>49253.743750000001</v>
      </c>
      <c r="Y57" s="249">
        <f>X57*'Indexed REC Calculator'!$B$92</f>
        <v>49007.475031250004</v>
      </c>
      <c r="Z57" s="249">
        <f>Y57*'Indexed REC Calculator'!$B$92</f>
        <v>48762.437656093753</v>
      </c>
    </row>
    <row r="58" spans="1:26" ht="15.5" x14ac:dyDescent="0.35">
      <c r="A58" s="12" t="s">
        <v>83</v>
      </c>
      <c r="B58" s="11">
        <f t="shared" si="4"/>
        <v>2036</v>
      </c>
      <c r="C58" s="11"/>
      <c r="D58" s="11"/>
      <c r="E58" s="9"/>
      <c r="F58" s="9"/>
      <c r="G58" s="9"/>
      <c r="H58" s="249"/>
      <c r="I58" s="249"/>
      <c r="J58" s="249"/>
      <c r="K58" s="249"/>
      <c r="L58" s="249"/>
      <c r="M58" s="249"/>
      <c r="N58" s="249"/>
      <c r="O58" s="249"/>
      <c r="P58" s="249"/>
      <c r="Q58" s="249"/>
      <c r="R58" s="249"/>
      <c r="S58" s="249">
        <v>0</v>
      </c>
      <c r="T58" s="249">
        <v>0</v>
      </c>
      <c r="U58" s="249">
        <v>0</v>
      </c>
      <c r="V58" s="249">
        <v>50000</v>
      </c>
      <c r="W58" s="249">
        <f>V58*'Indexed REC Calculator'!$B$92</f>
        <v>49750</v>
      </c>
      <c r="X58" s="249">
        <f>W58*'Indexed REC Calculator'!$B$92</f>
        <v>49501.25</v>
      </c>
      <c r="Y58" s="249">
        <f>X58*'Indexed REC Calculator'!$B$92</f>
        <v>49253.743750000001</v>
      </c>
      <c r="Z58" s="249">
        <f>Y58*'Indexed REC Calculator'!$B$92</f>
        <v>49007.475031250004</v>
      </c>
    </row>
    <row r="59" spans="1:26" ht="15.5" x14ac:dyDescent="0.35">
      <c r="A59" s="12" t="s">
        <v>83</v>
      </c>
      <c r="B59" s="11">
        <f t="shared" si="4"/>
        <v>2037</v>
      </c>
      <c r="C59" s="11"/>
      <c r="D59" s="11"/>
      <c r="E59" s="9"/>
      <c r="F59" s="9"/>
      <c r="G59" s="9"/>
      <c r="H59" s="249"/>
      <c r="I59" s="249"/>
      <c r="J59" s="249"/>
      <c r="K59" s="249"/>
      <c r="L59" s="249"/>
      <c r="M59" s="249"/>
      <c r="N59" s="249"/>
      <c r="O59" s="249"/>
      <c r="P59" s="249"/>
      <c r="Q59" s="249"/>
      <c r="R59" s="249"/>
      <c r="S59" s="249"/>
      <c r="T59" s="249">
        <v>0</v>
      </c>
      <c r="U59" s="249">
        <v>0</v>
      </c>
      <c r="V59" s="249">
        <v>0</v>
      </c>
      <c r="W59" s="249">
        <v>50000</v>
      </c>
      <c r="X59" s="249">
        <f>W59*'Indexed REC Calculator'!$B$92</f>
        <v>49750</v>
      </c>
      <c r="Y59" s="249">
        <f>X59*'Indexed REC Calculator'!$B$92</f>
        <v>49501.25</v>
      </c>
      <c r="Z59" s="249">
        <f>Y59*'Indexed REC Calculator'!$B$92</f>
        <v>49253.743750000001</v>
      </c>
    </row>
    <row r="60" spans="1:26" ht="15.5" x14ac:dyDescent="0.35">
      <c r="A60" s="12" t="s">
        <v>83</v>
      </c>
      <c r="B60" s="11">
        <f t="shared" si="4"/>
        <v>2038</v>
      </c>
      <c r="C60" s="11"/>
      <c r="D60" s="11"/>
      <c r="E60" s="9"/>
      <c r="F60" s="9"/>
      <c r="G60" s="9"/>
      <c r="H60" s="249"/>
      <c r="I60" s="249"/>
      <c r="J60" s="249"/>
      <c r="K60" s="249"/>
      <c r="L60" s="249"/>
      <c r="M60" s="249"/>
      <c r="N60" s="249"/>
      <c r="O60" s="249"/>
      <c r="P60" s="249"/>
      <c r="Q60" s="249"/>
      <c r="R60" s="249"/>
      <c r="S60" s="249"/>
      <c r="T60" s="249"/>
      <c r="U60" s="249">
        <v>0</v>
      </c>
      <c r="V60" s="249">
        <v>0</v>
      </c>
      <c r="W60" s="249">
        <v>0</v>
      </c>
      <c r="X60" s="249">
        <v>50000</v>
      </c>
      <c r="Y60" s="249">
        <f>X60*'Indexed REC Calculator'!$B$92</f>
        <v>49750</v>
      </c>
      <c r="Z60" s="249">
        <f>Y60*'Indexed REC Calculator'!$B$92</f>
        <v>49501.25</v>
      </c>
    </row>
    <row r="61" spans="1:26" ht="15.5" x14ac:dyDescent="0.35">
      <c r="A61" s="12" t="s">
        <v>83</v>
      </c>
      <c r="B61" s="11">
        <f t="shared" si="4"/>
        <v>2039</v>
      </c>
      <c r="C61" s="11"/>
      <c r="D61" s="11"/>
      <c r="E61" s="9"/>
      <c r="F61" s="9"/>
      <c r="G61" s="9"/>
      <c r="H61" s="249"/>
      <c r="I61" s="249"/>
      <c r="J61" s="249"/>
      <c r="K61" s="249"/>
      <c r="L61" s="249"/>
      <c r="M61" s="249"/>
      <c r="N61" s="249"/>
      <c r="O61" s="249"/>
      <c r="P61" s="249"/>
      <c r="Q61" s="249"/>
      <c r="R61" s="249"/>
      <c r="S61" s="249"/>
      <c r="T61" s="249"/>
      <c r="U61" s="249"/>
      <c r="V61" s="249">
        <v>0</v>
      </c>
      <c r="W61" s="249">
        <v>0</v>
      </c>
      <c r="X61" s="249">
        <v>0</v>
      </c>
      <c r="Y61" s="249">
        <v>50000</v>
      </c>
      <c r="Z61" s="249">
        <f>Y61*'Indexed REC Calculator'!$B$92</f>
        <v>49750</v>
      </c>
    </row>
    <row r="62" spans="1:26" ht="15.5" x14ac:dyDescent="0.35">
      <c r="A62" s="12" t="s">
        <v>83</v>
      </c>
      <c r="B62" s="11">
        <f t="shared" si="4"/>
        <v>2040</v>
      </c>
      <c r="C62" s="11"/>
      <c r="D62" s="11"/>
      <c r="E62" s="9"/>
      <c r="F62" s="9"/>
      <c r="G62" s="9"/>
      <c r="H62" s="249"/>
      <c r="I62" s="249"/>
      <c r="J62" s="249"/>
      <c r="K62" s="249"/>
      <c r="L62" s="249"/>
      <c r="M62" s="249"/>
      <c r="N62" s="249"/>
      <c r="O62" s="249"/>
      <c r="P62" s="249"/>
      <c r="Q62" s="249"/>
      <c r="R62" s="249"/>
      <c r="S62" s="249"/>
      <c r="T62" s="249"/>
      <c r="U62" s="249"/>
      <c r="V62" s="249"/>
      <c r="W62" s="249">
        <v>0</v>
      </c>
      <c r="X62" s="249">
        <v>0</v>
      </c>
      <c r="Y62" s="249">
        <v>0</v>
      </c>
      <c r="Z62" s="249">
        <v>50000</v>
      </c>
    </row>
    <row r="63" spans="1:26" ht="15.5" x14ac:dyDescent="0.35">
      <c r="A63" s="12" t="s">
        <v>83</v>
      </c>
      <c r="B63" s="11">
        <f t="shared" si="4"/>
        <v>2041</v>
      </c>
      <c r="C63" s="11"/>
      <c r="D63" s="11"/>
      <c r="E63" s="13"/>
      <c r="F63" s="13"/>
      <c r="G63" s="13"/>
      <c r="H63" s="248"/>
      <c r="I63" s="248"/>
      <c r="J63" s="248"/>
      <c r="K63" s="248"/>
      <c r="L63" s="248"/>
      <c r="M63" s="248"/>
      <c r="N63" s="248"/>
      <c r="O63" s="248"/>
      <c r="P63" s="248"/>
      <c r="Q63" s="248"/>
      <c r="R63" s="248"/>
      <c r="S63" s="248"/>
      <c r="T63" s="248"/>
      <c r="U63" s="248"/>
      <c r="V63" s="248"/>
      <c r="W63" s="248"/>
      <c r="X63" s="248"/>
      <c r="Y63" s="248"/>
      <c r="Z63" s="248"/>
    </row>
    <row r="64" spans="1:26" ht="15.5" x14ac:dyDescent="0.35">
      <c r="A64" s="12" t="s">
        <v>83</v>
      </c>
      <c r="B64" s="11">
        <f t="shared" si="4"/>
        <v>2042</v>
      </c>
      <c r="C64" s="11"/>
      <c r="D64" s="11"/>
      <c r="E64" s="13"/>
      <c r="F64" s="13"/>
      <c r="G64" s="13"/>
      <c r="H64" s="248"/>
      <c r="I64" s="248"/>
      <c r="J64" s="248"/>
      <c r="K64" s="248"/>
      <c r="L64" s="248"/>
      <c r="M64" s="248"/>
      <c r="N64" s="248"/>
      <c r="O64" s="248"/>
      <c r="P64" s="248"/>
      <c r="Q64" s="248"/>
      <c r="R64" s="248"/>
      <c r="S64" s="248"/>
      <c r="T64" s="248"/>
      <c r="U64" s="248"/>
      <c r="V64" s="248"/>
      <c r="W64" s="248"/>
      <c r="X64" s="248"/>
      <c r="Y64" s="248"/>
      <c r="Z64" s="248"/>
    </row>
    <row r="65" spans="1:26" x14ac:dyDescent="0.35">
      <c r="J65" s="172"/>
    </row>
    <row r="67" spans="1:26" ht="15.5" x14ac:dyDescent="0.35">
      <c r="A67" s="177" t="s">
        <v>89</v>
      </c>
      <c r="C67" s="220">
        <v>2020</v>
      </c>
      <c r="D67" s="220">
        <v>2021</v>
      </c>
      <c r="E67" s="220">
        <v>2022</v>
      </c>
      <c r="F67" s="220">
        <f>E67+1</f>
        <v>2023</v>
      </c>
      <c r="G67" s="220">
        <f t="shared" ref="G67:Y67" si="5">F67+1</f>
        <v>2024</v>
      </c>
      <c r="H67" s="220">
        <f t="shared" si="5"/>
        <v>2025</v>
      </c>
      <c r="I67" s="220">
        <f t="shared" si="5"/>
        <v>2026</v>
      </c>
      <c r="J67" s="220">
        <f t="shared" si="5"/>
        <v>2027</v>
      </c>
      <c r="K67" s="220">
        <f t="shared" si="5"/>
        <v>2028</v>
      </c>
      <c r="L67" s="220">
        <f t="shared" si="5"/>
        <v>2029</v>
      </c>
      <c r="M67" s="220">
        <f t="shared" si="5"/>
        <v>2030</v>
      </c>
      <c r="N67" s="220">
        <f t="shared" si="5"/>
        <v>2031</v>
      </c>
      <c r="O67" s="220">
        <f t="shared" si="5"/>
        <v>2032</v>
      </c>
      <c r="P67" s="220">
        <f t="shared" si="5"/>
        <v>2033</v>
      </c>
      <c r="Q67" s="220">
        <f t="shared" si="5"/>
        <v>2034</v>
      </c>
      <c r="R67" s="220">
        <f t="shared" si="5"/>
        <v>2035</v>
      </c>
      <c r="S67" s="220">
        <f t="shared" si="5"/>
        <v>2036</v>
      </c>
      <c r="T67" s="220">
        <f t="shared" si="5"/>
        <v>2037</v>
      </c>
      <c r="U67" s="220">
        <f t="shared" si="5"/>
        <v>2038</v>
      </c>
      <c r="V67" s="220">
        <f t="shared" si="5"/>
        <v>2039</v>
      </c>
      <c r="W67" s="220">
        <f t="shared" si="5"/>
        <v>2040</v>
      </c>
      <c r="X67" s="220">
        <f t="shared" si="5"/>
        <v>2041</v>
      </c>
      <c r="Y67" s="220">
        <f t="shared" si="5"/>
        <v>2042</v>
      </c>
      <c r="Z67" s="220">
        <f t="shared" ref="Z67" si="6">Y67+1</f>
        <v>2043</v>
      </c>
    </row>
    <row r="68" spans="1:26" x14ac:dyDescent="0.35">
      <c r="A68" s="12" t="s">
        <v>87</v>
      </c>
      <c r="C68" s="13">
        <f>IFERROR(SUMIF($A$2:$A$64,$A$68, C2:C64),"error")</f>
        <v>0</v>
      </c>
      <c r="D68" s="13">
        <f t="shared" ref="D68:Z68" si="7">IFERROR(SUMIF($A$2:$A$64,$A$68, D2:D64),"error")</f>
        <v>0</v>
      </c>
      <c r="E68" s="13">
        <f t="shared" si="7"/>
        <v>0</v>
      </c>
      <c r="F68" s="13">
        <f t="shared" si="7"/>
        <v>0</v>
      </c>
      <c r="G68" s="13">
        <f t="shared" si="7"/>
        <v>0</v>
      </c>
      <c r="H68" s="13">
        <f t="shared" si="7"/>
        <v>460000</v>
      </c>
      <c r="I68" s="13">
        <f t="shared" si="7"/>
        <v>460000</v>
      </c>
      <c r="J68" s="13">
        <f>IFERROR(SUMIF($A$2:$A$64,$A$68, J2:J64),"error")</f>
        <v>7960000</v>
      </c>
      <c r="K68" s="13">
        <f t="shared" si="7"/>
        <v>10460000</v>
      </c>
      <c r="L68" s="13">
        <f t="shared" si="7"/>
        <v>12960000</v>
      </c>
      <c r="M68" s="13">
        <f t="shared" si="7"/>
        <v>15460000</v>
      </c>
      <c r="N68" s="13">
        <f t="shared" si="7"/>
        <v>17960000</v>
      </c>
      <c r="O68" s="13">
        <f t="shared" si="7"/>
        <v>20460000</v>
      </c>
      <c r="P68" s="13">
        <f t="shared" si="7"/>
        <v>19960000</v>
      </c>
      <c r="Q68" s="13">
        <f t="shared" si="7"/>
        <v>20960000</v>
      </c>
      <c r="R68" s="13">
        <f t="shared" si="7"/>
        <v>23460000</v>
      </c>
      <c r="S68" s="13">
        <f t="shared" si="7"/>
        <v>22960000</v>
      </c>
      <c r="T68" s="13">
        <f t="shared" si="7"/>
        <v>23960000</v>
      </c>
      <c r="U68" s="13">
        <f t="shared" si="7"/>
        <v>24960000</v>
      </c>
      <c r="V68" s="13">
        <f t="shared" si="7"/>
        <v>25960000</v>
      </c>
      <c r="W68" s="13">
        <f t="shared" si="7"/>
        <v>26960000</v>
      </c>
      <c r="X68" s="13">
        <f t="shared" si="7"/>
        <v>29460000</v>
      </c>
      <c r="Y68" s="13">
        <f t="shared" si="7"/>
        <v>28960000</v>
      </c>
      <c r="Z68" s="13">
        <f t="shared" si="7"/>
        <v>29960000</v>
      </c>
    </row>
    <row r="69" spans="1:26" x14ac:dyDescent="0.35">
      <c r="A69" s="12" t="s">
        <v>88</v>
      </c>
      <c r="C69" s="13">
        <f>IFERROR(SUMIF($A$2:$A$64,$A$69, C2:C64),"error")</f>
        <v>0</v>
      </c>
      <c r="D69" s="13">
        <f t="shared" ref="D69:Z69" si="8">IFERROR(SUMIF($A$2:$A$64,$A$69, D2:D64),"error")</f>
        <v>0</v>
      </c>
      <c r="E69" s="13">
        <f t="shared" si="8"/>
        <v>0</v>
      </c>
      <c r="F69" s="13">
        <f t="shared" si="8"/>
        <v>0</v>
      </c>
      <c r="G69" s="13">
        <f t="shared" si="8"/>
        <v>0</v>
      </c>
      <c r="H69" s="13">
        <f>IFERROR(SUMIF($A$2:$A$64,$A$69, H2:H64),"error")</f>
        <v>1891521</v>
      </c>
      <c r="I69" s="13">
        <f t="shared" si="8"/>
        <v>2938633.395</v>
      </c>
      <c r="J69" s="13">
        <f t="shared" si="8"/>
        <v>4423940.2280249996</v>
      </c>
      <c r="K69" s="13">
        <f t="shared" si="8"/>
        <v>5901820.5268848753</v>
      </c>
      <c r="L69" s="13">
        <f t="shared" si="8"/>
        <v>7372311.42425045</v>
      </c>
      <c r="M69" s="13">
        <f t="shared" si="8"/>
        <v>8835449.8671291992</v>
      </c>
      <c r="N69" s="13">
        <f t="shared" si="8"/>
        <v>9791272.6177935526</v>
      </c>
      <c r="O69" s="13">
        <f t="shared" si="8"/>
        <v>10742316.254704583</v>
      </c>
      <c r="P69" s="13">
        <f t="shared" si="8"/>
        <v>11438604.673431061</v>
      </c>
      <c r="Q69" s="13">
        <f t="shared" si="8"/>
        <v>12131411.650063906</v>
      </c>
      <c r="R69" s="13">
        <f t="shared" si="8"/>
        <v>12820754.591813587</v>
      </c>
      <c r="S69" s="13">
        <f t="shared" si="8"/>
        <v>13506650.818854518</v>
      </c>
      <c r="T69" s="13">
        <f t="shared" si="8"/>
        <v>14189117.564760247</v>
      </c>
      <c r="U69" s="13">
        <f t="shared" si="8"/>
        <v>14868171.976936447</v>
      </c>
      <c r="V69" s="13">
        <f t="shared" si="8"/>
        <v>15543831.117051763</v>
      </c>
      <c r="W69" s="13">
        <f t="shared" si="8"/>
        <v>16216111.961466504</v>
      </c>
      <c r="X69" s="13">
        <f t="shared" si="8"/>
        <v>16885031.401659168</v>
      </c>
      <c r="Y69" s="13">
        <f t="shared" si="8"/>
        <v>17550606.244650874</v>
      </c>
      <c r="Z69" s="13">
        <f t="shared" si="8"/>
        <v>18225290.287850313</v>
      </c>
    </row>
    <row r="70" spans="1:26" x14ac:dyDescent="0.35">
      <c r="A70" s="12" t="s">
        <v>83</v>
      </c>
      <c r="C70" s="13">
        <f>IFERROR(SUMIF($A$2:$A$64,$A$70, C2:C64),"error")</f>
        <v>0</v>
      </c>
      <c r="D70" s="13">
        <f t="shared" ref="D70:Z70" si="9">IFERROR(SUMIF($A$2:$A$64,$A$70, D2:D64),"error")</f>
        <v>0</v>
      </c>
      <c r="E70" s="13">
        <f t="shared" si="9"/>
        <v>0</v>
      </c>
      <c r="F70" s="13">
        <f t="shared" si="9"/>
        <v>0</v>
      </c>
      <c r="G70" s="13">
        <f t="shared" si="9"/>
        <v>0</v>
      </c>
      <c r="H70" s="13">
        <f t="shared" si="9"/>
        <v>57870</v>
      </c>
      <c r="I70" s="13">
        <f t="shared" si="9"/>
        <v>142580.65</v>
      </c>
      <c r="J70" s="13">
        <f t="shared" si="9"/>
        <v>226867.74674999999</v>
      </c>
      <c r="K70" s="13">
        <f t="shared" si="9"/>
        <v>310733.40801625</v>
      </c>
      <c r="L70" s="13">
        <f t="shared" si="9"/>
        <v>394179.74097616877</v>
      </c>
      <c r="M70" s="13">
        <f t="shared" si="9"/>
        <v>477208.84227128793</v>
      </c>
      <c r="N70" s="13">
        <f t="shared" si="9"/>
        <v>559822.79805993149</v>
      </c>
      <c r="O70" s="13">
        <f t="shared" si="9"/>
        <v>642023.68406963185</v>
      </c>
      <c r="P70" s="13">
        <f t="shared" si="9"/>
        <v>688813.56564928358</v>
      </c>
      <c r="Q70" s="13">
        <f t="shared" si="9"/>
        <v>735369.49782103719</v>
      </c>
      <c r="R70" s="13">
        <f t="shared" si="9"/>
        <v>781692.650331932</v>
      </c>
      <c r="S70" s="13">
        <f t="shared" si="9"/>
        <v>827784.18708027236</v>
      </c>
      <c r="T70" s="13">
        <f t="shared" si="9"/>
        <v>873645.2661448709</v>
      </c>
      <c r="U70" s="13">
        <f t="shared" si="9"/>
        <v>919277.03981414658</v>
      </c>
      <c r="V70" s="13">
        <f t="shared" si="9"/>
        <v>964680.65461507591</v>
      </c>
      <c r="W70" s="13">
        <f t="shared" si="9"/>
        <v>1009857.2513420006</v>
      </c>
      <c r="X70" s="13">
        <f t="shared" si="9"/>
        <v>1054807.9650852904</v>
      </c>
      <c r="Y70" s="13">
        <f t="shared" si="9"/>
        <v>1099533.925259864</v>
      </c>
      <c r="Z70" s="13">
        <f t="shared" si="9"/>
        <v>1144302.9705036832</v>
      </c>
    </row>
    <row r="71" spans="1:26" x14ac:dyDescent="0.35">
      <c r="A71" s="14" t="s">
        <v>90</v>
      </c>
      <c r="C71" s="13">
        <f>SUM(C68:C70)</f>
        <v>0</v>
      </c>
      <c r="D71" s="13">
        <f t="shared" ref="D71" si="10">SUM(D68:D70)</f>
        <v>0</v>
      </c>
      <c r="E71" s="13">
        <f t="shared" ref="E71:Y71" si="11">SUM(E68:E70)</f>
        <v>0</v>
      </c>
      <c r="F71" s="13">
        <f t="shared" si="11"/>
        <v>0</v>
      </c>
      <c r="G71" s="13">
        <f t="shared" si="11"/>
        <v>0</v>
      </c>
      <c r="H71" s="13">
        <f t="shared" si="11"/>
        <v>2409391</v>
      </c>
      <c r="I71" s="13">
        <f t="shared" si="11"/>
        <v>3541214.0449999999</v>
      </c>
      <c r="J71" s="13">
        <f t="shared" si="11"/>
        <v>12610807.974775001</v>
      </c>
      <c r="K71" s="13">
        <f t="shared" si="11"/>
        <v>16672553.934901126</v>
      </c>
      <c r="L71" s="13">
        <f t="shared" si="11"/>
        <v>20726491.16522662</v>
      </c>
      <c r="M71" s="13">
        <f t="shared" si="11"/>
        <v>24772658.709400486</v>
      </c>
      <c r="N71" s="13">
        <f t="shared" si="11"/>
        <v>28311095.415853485</v>
      </c>
      <c r="O71" s="13">
        <f t="shared" si="11"/>
        <v>31844339.938774217</v>
      </c>
      <c r="P71" s="13">
        <f t="shared" si="11"/>
        <v>32087418.239080343</v>
      </c>
      <c r="Q71" s="13">
        <f t="shared" si="11"/>
        <v>33826781.147884943</v>
      </c>
      <c r="R71" s="13">
        <f t="shared" si="11"/>
        <v>37062447.242145516</v>
      </c>
      <c r="S71" s="13">
        <f t="shared" si="11"/>
        <v>37294435.00593479</v>
      </c>
      <c r="T71" s="13">
        <f t="shared" si="11"/>
        <v>39022762.830905117</v>
      </c>
      <c r="U71" s="13">
        <f t="shared" si="11"/>
        <v>40747449.016750589</v>
      </c>
      <c r="V71" s="13">
        <f t="shared" si="11"/>
        <v>42468511.77166684</v>
      </c>
      <c r="W71" s="13">
        <f t="shared" si="11"/>
        <v>44185969.212808505</v>
      </c>
      <c r="X71" s="13">
        <f t="shared" si="11"/>
        <v>47399839.366744459</v>
      </c>
      <c r="Y71" s="13">
        <f t="shared" si="11"/>
        <v>47610140.169910736</v>
      </c>
      <c r="Z71" s="13">
        <f t="shared" ref="Z71" si="12">SUM(Z68:Z70)</f>
        <v>49329593.258353993</v>
      </c>
    </row>
    <row r="73" spans="1:26" ht="15.5" x14ac:dyDescent="0.35">
      <c r="A73" s="177" t="s">
        <v>91</v>
      </c>
      <c r="C73" s="220">
        <v>2020</v>
      </c>
      <c r="D73" s="220">
        <v>2021</v>
      </c>
      <c r="E73" s="220">
        <v>2022</v>
      </c>
      <c r="F73" s="220">
        <f>E73+1</f>
        <v>2023</v>
      </c>
      <c r="G73" s="220">
        <f t="shared" ref="G73" si="13">F73+1</f>
        <v>2024</v>
      </c>
      <c r="H73" s="220">
        <f t="shared" ref="H73" si="14">G73+1</f>
        <v>2025</v>
      </c>
      <c r="I73" s="220">
        <f t="shared" ref="I73" si="15">H73+1</f>
        <v>2026</v>
      </c>
      <c r="J73" s="220">
        <f t="shared" ref="J73" si="16">I73+1</f>
        <v>2027</v>
      </c>
      <c r="K73" s="220">
        <f t="shared" ref="K73" si="17">J73+1</f>
        <v>2028</v>
      </c>
      <c r="L73" s="220">
        <f t="shared" ref="L73" si="18">K73+1</f>
        <v>2029</v>
      </c>
      <c r="M73" s="220">
        <f t="shared" ref="M73" si="19">L73+1</f>
        <v>2030</v>
      </c>
      <c r="N73" s="220">
        <f t="shared" ref="N73" si="20">M73+1</f>
        <v>2031</v>
      </c>
      <c r="O73" s="220">
        <f t="shared" ref="O73" si="21">N73+1</f>
        <v>2032</v>
      </c>
      <c r="P73" s="220">
        <f t="shared" ref="P73" si="22">O73+1</f>
        <v>2033</v>
      </c>
      <c r="Q73" s="220">
        <f t="shared" ref="Q73" si="23">P73+1</f>
        <v>2034</v>
      </c>
      <c r="R73" s="220">
        <f t="shared" ref="R73" si="24">Q73+1</f>
        <v>2035</v>
      </c>
      <c r="S73" s="220">
        <f t="shared" ref="S73" si="25">R73+1</f>
        <v>2036</v>
      </c>
      <c r="T73" s="220">
        <f t="shared" ref="T73" si="26">S73+1</f>
        <v>2037</v>
      </c>
      <c r="U73" s="220">
        <f t="shared" ref="U73" si="27">T73+1</f>
        <v>2038</v>
      </c>
      <c r="V73" s="220">
        <f t="shared" ref="V73" si="28">U73+1</f>
        <v>2039</v>
      </c>
      <c r="W73" s="220">
        <f t="shared" ref="W73" si="29">V73+1</f>
        <v>2040</v>
      </c>
      <c r="X73" s="220">
        <f t="shared" ref="X73" si="30">W73+1</f>
        <v>2041</v>
      </c>
      <c r="Y73" s="220">
        <f t="shared" ref="Y73" si="31">X73+1</f>
        <v>2042</v>
      </c>
      <c r="Z73" s="220">
        <f t="shared" ref="Z73" si="32">Y73+1</f>
        <v>2043</v>
      </c>
    </row>
    <row r="74" spans="1:26" x14ac:dyDescent="0.35">
      <c r="A74" s="12" t="s">
        <v>87</v>
      </c>
      <c r="C74">
        <f>SUMIFS(C2:C64,$A$2:$A$64,$A$74,$B$2:$B$64,"&lt;=2023")</f>
        <v>0</v>
      </c>
      <c r="D74">
        <f>SUMIFS(D2:D64,$A$2:$A$64,$A$74,$B$2:$B$64,"&lt;=2023")</f>
        <v>0</v>
      </c>
      <c r="E74" s="13">
        <f>C74</f>
        <v>0</v>
      </c>
      <c r="F74" s="13">
        <f t="shared" ref="F74:G74" si="33">SUM(F2:F3)</f>
        <v>0</v>
      </c>
      <c r="G74" s="13">
        <f t="shared" si="33"/>
        <v>0</v>
      </c>
      <c r="H74" s="13">
        <f>SUM(H2:H3)</f>
        <v>460000</v>
      </c>
      <c r="I74" s="13">
        <f>SUM(I2:I2)</f>
        <v>460000</v>
      </c>
      <c r="J74" s="13">
        <f>SUM(J2:J2)</f>
        <v>460000</v>
      </c>
      <c r="K74" s="13">
        <f t="shared" ref="K74:Y74" si="34">SUM(K2:K2)</f>
        <v>460000</v>
      </c>
      <c r="L74" s="13">
        <f t="shared" si="34"/>
        <v>460000</v>
      </c>
      <c r="M74" s="13">
        <f t="shared" si="34"/>
        <v>460000</v>
      </c>
      <c r="N74" s="13">
        <f t="shared" si="34"/>
        <v>460000</v>
      </c>
      <c r="O74" s="13">
        <f t="shared" si="34"/>
        <v>460000</v>
      </c>
      <c r="P74" s="13">
        <f t="shared" si="34"/>
        <v>460000</v>
      </c>
      <c r="Q74" s="13">
        <f t="shared" si="34"/>
        <v>460000</v>
      </c>
      <c r="R74" s="13">
        <f t="shared" si="34"/>
        <v>460000</v>
      </c>
      <c r="S74" s="13">
        <f t="shared" si="34"/>
        <v>460000</v>
      </c>
      <c r="T74" s="13">
        <f t="shared" si="34"/>
        <v>460000</v>
      </c>
      <c r="U74" s="13">
        <f t="shared" si="34"/>
        <v>460000</v>
      </c>
      <c r="V74" s="13">
        <f t="shared" si="34"/>
        <v>460000</v>
      </c>
      <c r="W74" s="13">
        <f t="shared" si="34"/>
        <v>460000</v>
      </c>
      <c r="X74" s="13">
        <f t="shared" si="34"/>
        <v>460000</v>
      </c>
      <c r="Y74" s="13">
        <f t="shared" si="34"/>
        <v>460000</v>
      </c>
      <c r="Z74" s="13">
        <f t="shared" ref="Z74" si="35">SUM(Z2:Z2)</f>
        <v>460000</v>
      </c>
    </row>
    <row r="75" spans="1:26" x14ac:dyDescent="0.35">
      <c r="A75" s="12" t="s">
        <v>88</v>
      </c>
      <c r="C75">
        <f>SUMIFS(C2:C64,$A$2:$A$64,$A$75,$B$2:$B$64,"&lt;=2023")</f>
        <v>0</v>
      </c>
      <c r="D75">
        <f>SUMIFS(D2:D64,$A$2:$A$64,$A$75,$B$2:$B$64,"&lt;=2023")</f>
        <v>0</v>
      </c>
      <c r="E75" s="13">
        <f t="shared" ref="E75:Y75" si="36">SUM(E23:E24)</f>
        <v>0</v>
      </c>
      <c r="F75" s="13">
        <f t="shared" si="36"/>
        <v>0</v>
      </c>
      <c r="G75" s="13">
        <f t="shared" si="36"/>
        <v>0</v>
      </c>
      <c r="H75" s="13">
        <f>SUM(H23:H24)</f>
        <v>1891521</v>
      </c>
      <c r="I75" s="13">
        <f t="shared" si="36"/>
        <v>2938633.395</v>
      </c>
      <c r="J75" s="13">
        <f t="shared" si="36"/>
        <v>2923940.2280249996</v>
      </c>
      <c r="K75" s="13">
        <f t="shared" si="36"/>
        <v>2909320.5268848753</v>
      </c>
      <c r="L75" s="13">
        <f t="shared" si="36"/>
        <v>2894773.9242504505</v>
      </c>
      <c r="M75" s="13">
        <f t="shared" si="36"/>
        <v>2880300.0546291983</v>
      </c>
      <c r="N75" s="13">
        <f t="shared" si="36"/>
        <v>2865898.5543560521</v>
      </c>
      <c r="O75" s="13">
        <f t="shared" si="36"/>
        <v>2851569.061584272</v>
      </c>
      <c r="P75" s="13">
        <f t="shared" si="36"/>
        <v>2837311.2162763504</v>
      </c>
      <c r="Q75" s="13">
        <f t="shared" si="36"/>
        <v>2823124.6601949683</v>
      </c>
      <c r="R75" s="13">
        <f t="shared" si="36"/>
        <v>2809009.0368939936</v>
      </c>
      <c r="S75" s="13">
        <f t="shared" si="36"/>
        <v>2794963.9917095238</v>
      </c>
      <c r="T75" s="13">
        <f t="shared" si="36"/>
        <v>2780989.1717509762</v>
      </c>
      <c r="U75" s="13">
        <f t="shared" si="36"/>
        <v>2767084.2258922216</v>
      </c>
      <c r="V75" s="13">
        <f t="shared" si="36"/>
        <v>2753248.8047627602</v>
      </c>
      <c r="W75" s="13">
        <f t="shared" si="36"/>
        <v>2739482.5607389463</v>
      </c>
      <c r="X75" s="13">
        <f t="shared" si="36"/>
        <v>2725785.1479352517</v>
      </c>
      <c r="Y75" s="13">
        <f t="shared" si="36"/>
        <v>2712156.222195575</v>
      </c>
      <c r="Z75" s="13">
        <f t="shared" ref="Z75" si="37">SUM(Z23:Z24)</f>
        <v>2707281.5155072911</v>
      </c>
    </row>
    <row r="76" spans="1:26" x14ac:dyDescent="0.35">
      <c r="A76" s="12" t="s">
        <v>83</v>
      </c>
      <c r="C76">
        <f>SUMIFS(C4:C66,$A$2:$A$64,$A$76,$B$2:$B$64,"&lt;=2023")</f>
        <v>0</v>
      </c>
      <c r="D76">
        <f>SUMIFS(D4:D66,$A$2:$A$64,$A$76,$B$2:$B$64,"&lt;=2023")</f>
        <v>0</v>
      </c>
      <c r="E76" s="13">
        <f t="shared" ref="E76:Y76" si="38">SUM(E44:E45)</f>
        <v>0</v>
      </c>
      <c r="F76" s="13">
        <f t="shared" si="38"/>
        <v>0</v>
      </c>
      <c r="G76" s="13">
        <f t="shared" si="38"/>
        <v>0</v>
      </c>
      <c r="H76" s="13">
        <f t="shared" si="38"/>
        <v>57870</v>
      </c>
      <c r="I76" s="13">
        <f t="shared" si="38"/>
        <v>142580.65</v>
      </c>
      <c r="J76" s="13">
        <f t="shared" si="38"/>
        <v>141867.74674999999</v>
      </c>
      <c r="K76" s="13">
        <f t="shared" si="38"/>
        <v>141158.40801625</v>
      </c>
      <c r="L76" s="13">
        <f t="shared" si="38"/>
        <v>140452.61597616874</v>
      </c>
      <c r="M76" s="13">
        <f t="shared" si="38"/>
        <v>139750.35289628792</v>
      </c>
      <c r="N76" s="13">
        <f t="shared" si="38"/>
        <v>139051.60113180647</v>
      </c>
      <c r="O76" s="13">
        <f t="shared" si="38"/>
        <v>138356.34312614743</v>
      </c>
      <c r="P76" s="13">
        <f t="shared" si="38"/>
        <v>137664.56141051668</v>
      </c>
      <c r="Q76" s="13">
        <f t="shared" si="38"/>
        <v>136976.23860346409</v>
      </c>
      <c r="R76" s="13">
        <f t="shared" si="38"/>
        <v>136291.35741044677</v>
      </c>
      <c r="S76" s="13">
        <f t="shared" si="38"/>
        <v>135609.90062339455</v>
      </c>
      <c r="T76" s="13">
        <f t="shared" si="38"/>
        <v>134931.85112027757</v>
      </c>
      <c r="U76" s="13">
        <f t="shared" si="38"/>
        <v>134257.19186467619</v>
      </c>
      <c r="V76" s="13">
        <f t="shared" si="38"/>
        <v>133585.90590535279</v>
      </c>
      <c r="W76" s="13">
        <f t="shared" si="38"/>
        <v>132917.97637582605</v>
      </c>
      <c r="X76" s="13">
        <f t="shared" si="38"/>
        <v>132253.38649394692</v>
      </c>
      <c r="Y76" s="13">
        <f t="shared" si="38"/>
        <v>131592.11956147719</v>
      </c>
      <c r="Z76" s="13">
        <f t="shared" ref="Z76" si="39">SUM(Z44:Z45)</f>
        <v>131200.87383378812</v>
      </c>
    </row>
    <row r="77" spans="1:26" x14ac:dyDescent="0.35">
      <c r="A77" s="14" t="s">
        <v>90</v>
      </c>
      <c r="C77" s="13">
        <f t="shared" ref="C77:Y77" si="40">SUM(C74:C76)</f>
        <v>0</v>
      </c>
      <c r="D77" s="13">
        <f t="shared" si="40"/>
        <v>0</v>
      </c>
      <c r="E77" s="13">
        <f t="shared" si="40"/>
        <v>0</v>
      </c>
      <c r="F77" s="13">
        <f t="shared" si="40"/>
        <v>0</v>
      </c>
      <c r="G77" s="13">
        <f t="shared" si="40"/>
        <v>0</v>
      </c>
      <c r="H77" s="13">
        <f t="shared" si="40"/>
        <v>2409391</v>
      </c>
      <c r="I77" s="13">
        <f t="shared" si="40"/>
        <v>3541214.0449999999</v>
      </c>
      <c r="J77" s="13">
        <f t="shared" si="40"/>
        <v>3525807.9747749995</v>
      </c>
      <c r="K77" s="13">
        <f t="shared" si="40"/>
        <v>3510478.9349011253</v>
      </c>
      <c r="L77" s="13">
        <f t="shared" si="40"/>
        <v>3495226.5402266192</v>
      </c>
      <c r="M77" s="13">
        <f t="shared" si="40"/>
        <v>3480050.4075254863</v>
      </c>
      <c r="N77" s="13">
        <f t="shared" si="40"/>
        <v>3464950.1554878587</v>
      </c>
      <c r="O77" s="13">
        <f t="shared" si="40"/>
        <v>3449925.4047104195</v>
      </c>
      <c r="P77" s="13">
        <f t="shared" si="40"/>
        <v>3434975.7776868669</v>
      </c>
      <c r="Q77" s="13">
        <f t="shared" si="40"/>
        <v>3420100.8987984322</v>
      </c>
      <c r="R77" s="13">
        <f t="shared" si="40"/>
        <v>3405300.3943044404</v>
      </c>
      <c r="S77" s="13">
        <f t="shared" si="40"/>
        <v>3390573.8923329185</v>
      </c>
      <c r="T77" s="13">
        <f t="shared" si="40"/>
        <v>3375921.022871254</v>
      </c>
      <c r="U77" s="13">
        <f t="shared" si="40"/>
        <v>3361341.4177568979</v>
      </c>
      <c r="V77" s="13">
        <f t="shared" si="40"/>
        <v>3346834.7106681131</v>
      </c>
      <c r="W77" s="13">
        <f t="shared" si="40"/>
        <v>3332400.5371147725</v>
      </c>
      <c r="X77" s="13">
        <f t="shared" si="40"/>
        <v>3318038.5344291986</v>
      </c>
      <c r="Y77" s="13">
        <f t="shared" si="40"/>
        <v>3303748.3417570521</v>
      </c>
      <c r="Z77" s="13">
        <f t="shared" ref="Z77" si="41">SUM(Z74:Z76)</f>
        <v>3298482.3893410792</v>
      </c>
    </row>
    <row r="78" spans="1:26" x14ac:dyDescent="0.35">
      <c r="P78" s="185"/>
    </row>
    <row r="79" spans="1:26" ht="15.5" x14ac:dyDescent="0.35">
      <c r="A79" s="1" t="s">
        <v>92</v>
      </c>
      <c r="C79" s="220">
        <v>2020</v>
      </c>
      <c r="D79" s="220">
        <v>2021</v>
      </c>
      <c r="E79" s="220">
        <v>2022</v>
      </c>
      <c r="F79" s="220">
        <f>E79+1</f>
        <v>2023</v>
      </c>
      <c r="G79" s="220">
        <f t="shared" ref="G79" si="42">F79+1</f>
        <v>2024</v>
      </c>
      <c r="H79" s="220">
        <f t="shared" ref="H79" si="43">G79+1</f>
        <v>2025</v>
      </c>
      <c r="I79" s="220">
        <f t="shared" ref="I79" si="44">H79+1</f>
        <v>2026</v>
      </c>
      <c r="J79" s="220">
        <f t="shared" ref="J79" si="45">I79+1</f>
        <v>2027</v>
      </c>
      <c r="K79" s="220">
        <f t="shared" ref="K79" si="46">J79+1</f>
        <v>2028</v>
      </c>
      <c r="L79" s="220">
        <f t="shared" ref="L79" si="47">K79+1</f>
        <v>2029</v>
      </c>
      <c r="M79" s="220">
        <f t="shared" ref="M79" si="48">L79+1</f>
        <v>2030</v>
      </c>
      <c r="N79" s="220">
        <f t="shared" ref="N79" si="49">M79+1</f>
        <v>2031</v>
      </c>
      <c r="O79" s="220">
        <f t="shared" ref="O79" si="50">N79+1</f>
        <v>2032</v>
      </c>
      <c r="P79" s="220">
        <f t="shared" ref="P79" si="51">O79+1</f>
        <v>2033</v>
      </c>
      <c r="Q79" s="220">
        <f t="shared" ref="Q79" si="52">P79+1</f>
        <v>2034</v>
      </c>
      <c r="R79" s="220">
        <f t="shared" ref="R79" si="53">Q79+1</f>
        <v>2035</v>
      </c>
      <c r="S79" s="220">
        <f t="shared" ref="S79" si="54">R79+1</f>
        <v>2036</v>
      </c>
      <c r="T79" s="220">
        <f t="shared" ref="T79" si="55">S79+1</f>
        <v>2037</v>
      </c>
      <c r="U79" s="220">
        <f t="shared" ref="U79" si="56">T79+1</f>
        <v>2038</v>
      </c>
      <c r="V79" s="220">
        <f t="shared" ref="V79" si="57">U79+1</f>
        <v>2039</v>
      </c>
      <c r="W79" s="220">
        <f t="shared" ref="W79" si="58">V79+1</f>
        <v>2040</v>
      </c>
      <c r="X79" s="220">
        <f t="shared" ref="X79" si="59">W79+1</f>
        <v>2041</v>
      </c>
      <c r="Y79" s="220">
        <f t="shared" ref="Y79" si="60">X79+1</f>
        <v>2042</v>
      </c>
      <c r="Z79" s="220">
        <f t="shared" ref="Z79" si="61">Y79+1</f>
        <v>2043</v>
      </c>
    </row>
    <row r="80" spans="1:26" x14ac:dyDescent="0.35">
      <c r="A80" s="12" t="s">
        <v>87</v>
      </c>
      <c r="C80" s="172">
        <f>SUMIFS(C2:C64,$A$2:$A$64,$A$80,$B$2:$B$64,"&gt;=2023")</f>
        <v>0</v>
      </c>
      <c r="D80" s="172">
        <f t="shared" ref="D80:I80" si="62">SUMIFS(D2:D64,$A$2:$A$64,$A$80,$B$2:$B$64,"&gt;=2023")</f>
        <v>0</v>
      </c>
      <c r="E80" s="172">
        <f t="shared" si="62"/>
        <v>0</v>
      </c>
      <c r="F80" s="172">
        <f t="shared" si="62"/>
        <v>0</v>
      </c>
      <c r="G80" s="172">
        <f t="shared" si="62"/>
        <v>0</v>
      </c>
      <c r="H80" s="172">
        <f t="shared" si="62"/>
        <v>0</v>
      </c>
      <c r="I80" s="172">
        <f t="shared" si="62"/>
        <v>0</v>
      </c>
      <c r="J80" s="172">
        <f t="shared" ref="J80:Z80" si="63">SUMIFS(J2:J64,$A$2:$A$64,$A$80,$B$2:$B$64,"&gt;=2023")</f>
        <v>7500000</v>
      </c>
      <c r="K80" s="172">
        <f t="shared" si="63"/>
        <v>10000000</v>
      </c>
      <c r="L80" s="172">
        <f t="shared" si="63"/>
        <v>12500000</v>
      </c>
      <c r="M80" s="172">
        <f t="shared" si="63"/>
        <v>15000000</v>
      </c>
      <c r="N80" s="172">
        <f t="shared" si="63"/>
        <v>17500000</v>
      </c>
      <c r="O80" s="172">
        <f t="shared" si="63"/>
        <v>20000000</v>
      </c>
      <c r="P80" s="172">
        <f t="shared" si="63"/>
        <v>19500000</v>
      </c>
      <c r="Q80" s="172">
        <f t="shared" si="63"/>
        <v>20500000</v>
      </c>
      <c r="R80" s="172">
        <f t="shared" si="63"/>
        <v>23000000</v>
      </c>
      <c r="S80" s="172">
        <f t="shared" si="63"/>
        <v>22500000</v>
      </c>
      <c r="T80" s="172">
        <f t="shared" si="63"/>
        <v>23500000</v>
      </c>
      <c r="U80" s="172">
        <f t="shared" si="63"/>
        <v>24500000</v>
      </c>
      <c r="V80" s="172">
        <f t="shared" si="63"/>
        <v>25500000</v>
      </c>
      <c r="W80" s="172">
        <f t="shared" si="63"/>
        <v>26500000</v>
      </c>
      <c r="X80" s="172">
        <f t="shared" si="63"/>
        <v>29000000</v>
      </c>
      <c r="Y80" s="172">
        <f t="shared" si="63"/>
        <v>28500000</v>
      </c>
      <c r="Z80" s="172">
        <f t="shared" si="63"/>
        <v>29500000</v>
      </c>
    </row>
    <row r="81" spans="1:26" x14ac:dyDescent="0.35">
      <c r="A81" s="12" t="s">
        <v>88</v>
      </c>
      <c r="C81" s="172">
        <f t="shared" ref="C81:I81" si="64">SUMIFS(C2:C64,$A$2:$A$64,$A$81,$B$2:$B$64,"&gt;=2023")</f>
        <v>0</v>
      </c>
      <c r="D81" s="172">
        <f t="shared" si="64"/>
        <v>0</v>
      </c>
      <c r="E81" s="172">
        <f t="shared" si="64"/>
        <v>0</v>
      </c>
      <c r="F81" s="172">
        <f t="shared" si="64"/>
        <v>0</v>
      </c>
      <c r="G81" s="172">
        <f t="shared" si="64"/>
        <v>0</v>
      </c>
      <c r="H81" s="172">
        <f t="shared" si="64"/>
        <v>0</v>
      </c>
      <c r="I81" s="172">
        <f t="shared" si="64"/>
        <v>1056570</v>
      </c>
      <c r="J81" s="172">
        <f>SUMIFS(J2:J64,$A$2:$A$64,$A$81,$B$2:$B$64,"&gt;=2023")</f>
        <v>2551287.15</v>
      </c>
      <c r="K81" s="172">
        <f t="shared" ref="K81:Z81" si="65">SUMIFS(K2:K64,$A$2:$A$64,$A$81,$B$2:$B$64,"&gt;=2023")</f>
        <v>4038530.7142500002</v>
      </c>
      <c r="L81" s="172">
        <f t="shared" si="65"/>
        <v>5518338.0606787503</v>
      </c>
      <c r="M81" s="172">
        <f t="shared" si="65"/>
        <v>6990746.3703753557</v>
      </c>
      <c r="N81" s="172">
        <f t="shared" si="65"/>
        <v>7955792.6385234799</v>
      </c>
      <c r="O81" s="172">
        <f t="shared" si="65"/>
        <v>8916013.6753308624</v>
      </c>
      <c r="P81" s="172">
        <f t="shared" si="65"/>
        <v>9621433.6069542076</v>
      </c>
      <c r="Q81" s="172">
        <f t="shared" si="65"/>
        <v>10323326.438919436</v>
      </c>
      <c r="R81" s="172">
        <f t="shared" si="65"/>
        <v>11021709.806724841</v>
      </c>
      <c r="S81" s="172">
        <f t="shared" si="65"/>
        <v>11716601.257691216</v>
      </c>
      <c r="T81" s="172">
        <f t="shared" si="65"/>
        <v>12408018.25140276</v>
      </c>
      <c r="U81" s="172">
        <f t="shared" si="65"/>
        <v>13095978.160145747</v>
      </c>
      <c r="V81" s="172">
        <f t="shared" si="65"/>
        <v>13780498.269345017</v>
      </c>
      <c r="W81" s="172">
        <f t="shared" si="65"/>
        <v>14461595.777998291</v>
      </c>
      <c r="X81" s="172">
        <f t="shared" si="65"/>
        <v>15139287.7991083</v>
      </c>
      <c r="Y81" s="172">
        <f t="shared" si="65"/>
        <v>15813591.360112758</v>
      </c>
      <c r="Z81" s="172">
        <f t="shared" si="65"/>
        <v>16488274.403312195</v>
      </c>
    </row>
    <row r="82" spans="1:26" x14ac:dyDescent="0.35">
      <c r="A82" s="12" t="s">
        <v>83</v>
      </c>
      <c r="C82" s="172">
        <f t="shared" ref="C82:I82" si="66">SUMIFS(C2:C64,$A$2:$A$64,$A$82,$B$2:$B$64,"&gt;=2023")</f>
        <v>0</v>
      </c>
      <c r="D82" s="172">
        <f t="shared" si="66"/>
        <v>0</v>
      </c>
      <c r="E82" s="172">
        <f t="shared" si="66"/>
        <v>0</v>
      </c>
      <c r="F82" s="172">
        <f t="shared" si="66"/>
        <v>0</v>
      </c>
      <c r="G82" s="172">
        <f t="shared" si="66"/>
        <v>0</v>
      </c>
      <c r="H82" s="172">
        <f t="shared" si="66"/>
        <v>0</v>
      </c>
      <c r="I82" s="172">
        <f t="shared" si="66"/>
        <v>85000</v>
      </c>
      <c r="J82" s="172">
        <f>SUMIFS(J2:J64,$A$2:$A$64,$A$82,$B$2:$B$64,"&gt;=2023")</f>
        <v>169575</v>
      </c>
      <c r="K82" s="172">
        <f t="shared" ref="K82:Z82" si="67">SUMIFS(K2:K64,$A$2:$A$64,$A$82,$B$2:$B$64,"&gt;=2023")</f>
        <v>253727.125</v>
      </c>
      <c r="L82" s="172">
        <f t="shared" si="67"/>
        <v>337458.489375</v>
      </c>
      <c r="M82" s="172">
        <f t="shared" si="67"/>
        <v>420771.19692812499</v>
      </c>
      <c r="N82" s="172">
        <f t="shared" si="67"/>
        <v>503667.34094348439</v>
      </c>
      <c r="O82" s="172">
        <f t="shared" si="67"/>
        <v>586149.00423876697</v>
      </c>
      <c r="P82" s="172">
        <f t="shared" si="67"/>
        <v>633218.2592175731</v>
      </c>
      <c r="Q82" s="172">
        <f t="shared" si="67"/>
        <v>680052.16792148526</v>
      </c>
      <c r="R82" s="172">
        <f t="shared" si="67"/>
        <v>726651.90708187781</v>
      </c>
      <c r="S82" s="172">
        <f t="shared" si="67"/>
        <v>773018.64754646842</v>
      </c>
      <c r="T82" s="172">
        <f t="shared" si="67"/>
        <v>819153.55430873611</v>
      </c>
      <c r="U82" s="172">
        <f t="shared" si="67"/>
        <v>865057.78653719241</v>
      </c>
      <c r="V82" s="172">
        <f t="shared" si="67"/>
        <v>910732.49760450644</v>
      </c>
      <c r="W82" s="172">
        <f t="shared" si="67"/>
        <v>956178.83511648385</v>
      </c>
      <c r="X82" s="172">
        <f t="shared" si="67"/>
        <v>1001397.9409409013</v>
      </c>
      <c r="Y82" s="172">
        <f t="shared" si="67"/>
        <v>1046390.9512361969</v>
      </c>
      <c r="Z82" s="172">
        <f t="shared" si="67"/>
        <v>1091158.996480016</v>
      </c>
    </row>
    <row r="83" spans="1:26" x14ac:dyDescent="0.35">
      <c r="A83" s="14" t="s">
        <v>90</v>
      </c>
      <c r="C83" s="172">
        <f>SUM(C80:C82)</f>
        <v>0</v>
      </c>
      <c r="D83" s="172">
        <f t="shared" ref="D83:Z83" si="68">SUM(D80:D82)</f>
        <v>0</v>
      </c>
      <c r="E83" s="172">
        <f t="shared" si="68"/>
        <v>0</v>
      </c>
      <c r="F83" s="172">
        <f t="shared" si="68"/>
        <v>0</v>
      </c>
      <c r="G83" s="172">
        <f t="shared" si="68"/>
        <v>0</v>
      </c>
      <c r="H83" s="172">
        <f t="shared" si="68"/>
        <v>0</v>
      </c>
      <c r="I83" s="172">
        <f t="shared" si="68"/>
        <v>1141570</v>
      </c>
      <c r="J83" s="172">
        <f t="shared" si="68"/>
        <v>10220862.15</v>
      </c>
      <c r="K83" s="172">
        <f t="shared" si="68"/>
        <v>14292257.83925</v>
      </c>
      <c r="L83" s="172">
        <f t="shared" si="68"/>
        <v>18355796.550053749</v>
      </c>
      <c r="M83" s="172">
        <f t="shared" si="68"/>
        <v>22411517.567303482</v>
      </c>
      <c r="N83" s="172">
        <f t="shared" si="68"/>
        <v>25959459.979466967</v>
      </c>
      <c r="O83" s="172">
        <f t="shared" si="68"/>
        <v>29502162.679569628</v>
      </c>
      <c r="P83" s="172">
        <f t="shared" si="68"/>
        <v>29754651.866171781</v>
      </c>
      <c r="Q83" s="172">
        <f t="shared" si="68"/>
        <v>31503378.60684092</v>
      </c>
      <c r="R83" s="172">
        <f t="shared" si="68"/>
        <v>34748361.713806719</v>
      </c>
      <c r="S83" s="172">
        <f t="shared" si="68"/>
        <v>34989619.90523769</v>
      </c>
      <c r="T83" s="172">
        <f t="shared" si="68"/>
        <v>36727171.805711493</v>
      </c>
      <c r="U83" s="172">
        <f t="shared" si="68"/>
        <v>38461035.946682937</v>
      </c>
      <c r="V83" s="172">
        <f t="shared" si="68"/>
        <v>40191230.76694952</v>
      </c>
      <c r="W83" s="172">
        <f t="shared" si="68"/>
        <v>41917774.613114774</v>
      </c>
      <c r="X83" s="172">
        <f t="shared" si="68"/>
        <v>45140685.740049198</v>
      </c>
      <c r="Y83" s="172">
        <f t="shared" si="68"/>
        <v>45359982.311348952</v>
      </c>
      <c r="Z83" s="172">
        <f t="shared" si="68"/>
        <v>47079433.399792209</v>
      </c>
    </row>
    <row r="86" spans="1:26" x14ac:dyDescent="0.35">
      <c r="P86" s="185"/>
      <c r="W86" s="97">
        <f>'Collections and ACP'!L27</f>
        <v>0</v>
      </c>
    </row>
    <row r="87" spans="1:26" x14ac:dyDescent="0.35">
      <c r="P87" s="185"/>
      <c r="W87" s="97" t="e">
        <f>'Collections and ACP'!#REF!</f>
        <v>#REF!</v>
      </c>
    </row>
    <row r="88" spans="1:26" x14ac:dyDescent="0.35">
      <c r="P88" s="185"/>
      <c r="W88" s="97">
        <f>'Collections and ACP'!M27</f>
        <v>0</v>
      </c>
    </row>
    <row r="89" spans="1:26" ht="15.5" x14ac:dyDescent="0.35">
      <c r="B89" s="1"/>
      <c r="C89" s="1"/>
      <c r="D89" s="1"/>
      <c r="E89" s="177"/>
      <c r="F89" s="177"/>
      <c r="G89" s="177"/>
      <c r="H89" s="220">
        <f t="shared" ref="H89:Z89" si="69">H79</f>
        <v>2025</v>
      </c>
      <c r="I89" s="220">
        <f t="shared" si="69"/>
        <v>2026</v>
      </c>
      <c r="J89" s="220">
        <f t="shared" si="69"/>
        <v>2027</v>
      </c>
      <c r="K89" s="220">
        <f t="shared" si="69"/>
        <v>2028</v>
      </c>
      <c r="L89" s="220">
        <f t="shared" si="69"/>
        <v>2029</v>
      </c>
      <c r="M89" s="220">
        <f t="shared" si="69"/>
        <v>2030</v>
      </c>
      <c r="N89" s="220">
        <f t="shared" si="69"/>
        <v>2031</v>
      </c>
      <c r="O89" s="220">
        <f t="shared" si="69"/>
        <v>2032</v>
      </c>
      <c r="P89" s="220">
        <f t="shared" si="69"/>
        <v>2033</v>
      </c>
      <c r="Q89" s="220">
        <f t="shared" si="69"/>
        <v>2034</v>
      </c>
      <c r="R89" s="220">
        <f t="shared" si="69"/>
        <v>2035</v>
      </c>
      <c r="S89" s="220">
        <f t="shared" si="69"/>
        <v>2036</v>
      </c>
      <c r="T89" s="220">
        <f t="shared" si="69"/>
        <v>2037</v>
      </c>
      <c r="U89" s="220">
        <f t="shared" si="69"/>
        <v>2038</v>
      </c>
      <c r="V89" s="220">
        <f t="shared" si="69"/>
        <v>2039</v>
      </c>
      <c r="W89" s="220">
        <f t="shared" si="69"/>
        <v>2040</v>
      </c>
      <c r="X89" s="220">
        <f t="shared" si="69"/>
        <v>2041</v>
      </c>
      <c r="Y89" s="220">
        <f t="shared" si="69"/>
        <v>2042</v>
      </c>
      <c r="Z89" s="220">
        <f t="shared" si="69"/>
        <v>2043</v>
      </c>
    </row>
    <row r="90" spans="1:26" ht="15.5" x14ac:dyDescent="0.35">
      <c r="B90" s="1"/>
      <c r="C90" s="1"/>
      <c r="D90" s="1"/>
      <c r="E90" s="11">
        <v>2023</v>
      </c>
      <c r="F90" s="11"/>
      <c r="G90" s="177" t="s">
        <v>93</v>
      </c>
      <c r="H90" s="28">
        <f>SUMIF($B$2:$B$64,$E90,H$2:H$64)+SUMIF($B$2:$B$64,$F90,H$2:H$64)</f>
        <v>0</v>
      </c>
      <c r="I90" s="28">
        <f>SUMIF($B$2:$B$64,$E90,I$2:I$64)+SUMIF($B$2:$B$64,$F90,I$2:I$64)</f>
        <v>1141570</v>
      </c>
      <c r="J90" s="28">
        <f t="shared" ref="J90:Z90" si="70">SUMIF($B$2:$B$64,$E90,J$2:J$64)+SUMIF($B$2:$B$64,$F90,J$2:J$64)</f>
        <v>6135862.1500000004</v>
      </c>
      <c r="K90" s="28">
        <f t="shared" si="70"/>
        <v>6130182.8392500002</v>
      </c>
      <c r="L90" s="28">
        <f t="shared" si="70"/>
        <v>6124531.9250537502</v>
      </c>
      <c r="M90" s="28">
        <f t="shared" si="70"/>
        <v>6118909.2654284807</v>
      </c>
      <c r="N90" s="28">
        <f t="shared" si="70"/>
        <v>6113314.7191013386</v>
      </c>
      <c r="O90" s="28">
        <f t="shared" si="70"/>
        <v>6107748.1455058325</v>
      </c>
      <c r="P90" s="28">
        <f t="shared" si="70"/>
        <v>6102209.4047783026</v>
      </c>
      <c r="Q90" s="28">
        <f t="shared" si="70"/>
        <v>6096698.3577544112</v>
      </c>
      <c r="R90" s="28">
        <f t="shared" si="70"/>
        <v>6091214.8659656392</v>
      </c>
      <c r="S90" s="28">
        <f t="shared" si="70"/>
        <v>6085758.7916358113</v>
      </c>
      <c r="T90" s="28">
        <f t="shared" si="70"/>
        <v>6080329.9976776317</v>
      </c>
      <c r="U90" s="28">
        <f t="shared" si="70"/>
        <v>6074928.347689244</v>
      </c>
      <c r="V90" s="28">
        <f t="shared" si="70"/>
        <v>6069553.7059507975</v>
      </c>
      <c r="W90" s="28">
        <f t="shared" si="70"/>
        <v>6064205.9374210434</v>
      </c>
      <c r="X90" s="28">
        <f t="shared" si="70"/>
        <v>6058884.9077339387</v>
      </c>
      <c r="Y90" s="28">
        <f t="shared" si="70"/>
        <v>6053590.4831952695</v>
      </c>
      <c r="Z90" s="28">
        <f t="shared" si="70"/>
        <v>6048322.5307792928</v>
      </c>
    </row>
    <row r="91" spans="1:26" ht="15.5" x14ac:dyDescent="0.35">
      <c r="B91" s="172"/>
      <c r="C91" s="172"/>
      <c r="D91" s="172"/>
      <c r="E91" s="11">
        <v>2024</v>
      </c>
      <c r="F91" s="11">
        <v>2025</v>
      </c>
      <c r="G91" s="177" t="s">
        <v>94</v>
      </c>
      <c r="H91" s="28">
        <f>SUMIF($B$2:$B$64,$E91,H$2:H$64)+SUMIF($B$2:$B$64,$F91,H$2:H$64)</f>
        <v>0</v>
      </c>
      <c r="I91" s="28">
        <f t="shared" ref="I91:Z99" si="71">SUMIF($B$2:$B$64,$E91,I$2:I$64)+SUMIF($B$2:$B$64,$F91,I$2:I$64)</f>
        <v>0</v>
      </c>
      <c r="J91" s="28">
        <f>SUMIF($B$2:$B$64,$E91,J$2:J$64)+SUMIF($B$2:$B$64,$F91,J$2:J$64)</f>
        <v>4085000</v>
      </c>
      <c r="K91" s="28">
        <f t="shared" si="71"/>
        <v>8162075</v>
      </c>
      <c r="L91" s="28">
        <f t="shared" si="71"/>
        <v>8146264.625</v>
      </c>
      <c r="M91" s="28">
        <f t="shared" si="71"/>
        <v>8130533.3018749999</v>
      </c>
      <c r="N91" s="28">
        <f t="shared" si="71"/>
        <v>8114880.6353656249</v>
      </c>
      <c r="O91" s="28">
        <f t="shared" si="71"/>
        <v>8099306.2321887966</v>
      </c>
      <c r="P91" s="28">
        <f t="shared" si="71"/>
        <v>8083809.7010278534</v>
      </c>
      <c r="Q91" s="28">
        <f t="shared" si="71"/>
        <v>8068390.6525227139</v>
      </c>
      <c r="R91" s="28">
        <f t="shared" si="71"/>
        <v>8053048.6992601007</v>
      </c>
      <c r="S91" s="28">
        <f t="shared" si="71"/>
        <v>8037783.4557638001</v>
      </c>
      <c r="T91" s="28">
        <f t="shared" si="71"/>
        <v>8022594.5384849813</v>
      </c>
      <c r="U91" s="28">
        <f t="shared" si="71"/>
        <v>8007481.5657925559</v>
      </c>
      <c r="V91" s="28">
        <f t="shared" si="71"/>
        <v>7992444.1579635935</v>
      </c>
      <c r="W91" s="28">
        <f t="shared" si="71"/>
        <v>7977481.9371737754</v>
      </c>
      <c r="X91" s="28">
        <f t="shared" si="71"/>
        <v>7962594.5274879057</v>
      </c>
      <c r="Y91" s="28">
        <f t="shared" si="71"/>
        <v>7947781.5548504665</v>
      </c>
      <c r="Z91" s="28">
        <f t="shared" si="71"/>
        <v>7933042.6470762137</v>
      </c>
    </row>
    <row r="92" spans="1:26" ht="15.5" x14ac:dyDescent="0.35">
      <c r="B92" s="199"/>
      <c r="C92" s="199"/>
      <c r="D92" s="199"/>
      <c r="E92" s="11">
        <v>2026</v>
      </c>
      <c r="F92" s="11">
        <v>2027</v>
      </c>
      <c r="G92" s="177" t="s">
        <v>95</v>
      </c>
      <c r="H92" s="28">
        <f t="shared" ref="H92:W99" si="72">SUMIF($B$2:$B$64,$E92,H$2:H$64)+SUMIF($B$2:$B$64,$F92,H$2:H$64)</f>
        <v>0</v>
      </c>
      <c r="I92" s="28">
        <f t="shared" si="72"/>
        <v>0</v>
      </c>
      <c r="J92" s="28">
        <f t="shared" si="72"/>
        <v>0</v>
      </c>
      <c r="K92" s="28">
        <f t="shared" si="72"/>
        <v>0</v>
      </c>
      <c r="L92" s="28">
        <f t="shared" si="72"/>
        <v>4085000</v>
      </c>
      <c r="M92" s="28">
        <f t="shared" si="72"/>
        <v>8162075</v>
      </c>
      <c r="N92" s="28">
        <f t="shared" si="72"/>
        <v>8146264.625</v>
      </c>
      <c r="O92" s="28">
        <f t="shared" si="72"/>
        <v>8130533.3018749999</v>
      </c>
      <c r="P92" s="28">
        <f t="shared" si="72"/>
        <v>8114880.6353656249</v>
      </c>
      <c r="Q92" s="28">
        <f t="shared" si="72"/>
        <v>8099306.2321887966</v>
      </c>
      <c r="R92" s="28">
        <f t="shared" si="72"/>
        <v>8083809.7010278534</v>
      </c>
      <c r="S92" s="28">
        <f t="shared" si="72"/>
        <v>8068390.6525227139</v>
      </c>
      <c r="T92" s="28">
        <f t="shared" si="72"/>
        <v>8053048.6992601007</v>
      </c>
      <c r="U92" s="28">
        <f t="shared" si="72"/>
        <v>8037783.4557638001</v>
      </c>
      <c r="V92" s="28">
        <f t="shared" si="72"/>
        <v>8022594.5384849813</v>
      </c>
      <c r="W92" s="28">
        <f t="shared" si="72"/>
        <v>8007481.5657925559</v>
      </c>
      <c r="X92" s="28">
        <f t="shared" si="71"/>
        <v>7992444.1579635935</v>
      </c>
      <c r="Y92" s="28">
        <f t="shared" si="71"/>
        <v>7977481.9371737754</v>
      </c>
      <c r="Z92" s="28">
        <f t="shared" si="71"/>
        <v>7962594.5274879057</v>
      </c>
    </row>
    <row r="93" spans="1:26" ht="15.5" x14ac:dyDescent="0.35">
      <c r="B93" s="199"/>
      <c r="C93" s="199"/>
      <c r="D93" s="199"/>
      <c r="E93" s="11">
        <v>2028</v>
      </c>
      <c r="F93" s="11">
        <v>2029</v>
      </c>
      <c r="G93" s="177" t="s">
        <v>96</v>
      </c>
      <c r="H93" s="28">
        <f t="shared" si="72"/>
        <v>0</v>
      </c>
      <c r="I93" s="28">
        <f t="shared" si="71"/>
        <v>0</v>
      </c>
      <c r="J93" s="28">
        <f t="shared" si="71"/>
        <v>0</v>
      </c>
      <c r="K93" s="28">
        <f t="shared" si="71"/>
        <v>0</v>
      </c>
      <c r="L93" s="28">
        <f t="shared" si="71"/>
        <v>0</v>
      </c>
      <c r="M93" s="28">
        <f t="shared" si="71"/>
        <v>0</v>
      </c>
      <c r="N93" s="28">
        <f t="shared" si="71"/>
        <v>3585000</v>
      </c>
      <c r="O93" s="28">
        <f t="shared" si="71"/>
        <v>7164575</v>
      </c>
      <c r="P93" s="28">
        <f t="shared" si="71"/>
        <v>5653752.125</v>
      </c>
      <c r="Q93" s="28">
        <f t="shared" si="71"/>
        <v>5642983.3643749999</v>
      </c>
      <c r="R93" s="28">
        <f t="shared" si="71"/>
        <v>5632268.4475531243</v>
      </c>
      <c r="S93" s="28">
        <f t="shared" si="71"/>
        <v>5621607.1053153593</v>
      </c>
      <c r="T93" s="28">
        <f t="shared" si="71"/>
        <v>5610999.0697887829</v>
      </c>
      <c r="U93" s="28">
        <f t="shared" si="71"/>
        <v>5600444.0744398385</v>
      </c>
      <c r="V93" s="28">
        <f t="shared" si="71"/>
        <v>5589941.8540676394</v>
      </c>
      <c r="W93" s="28">
        <f t="shared" si="71"/>
        <v>5579492.1447973009</v>
      </c>
      <c r="X93" s="28">
        <f t="shared" si="71"/>
        <v>5569094.684073315</v>
      </c>
      <c r="Y93" s="28">
        <f t="shared" si="71"/>
        <v>5558749.2106529484</v>
      </c>
      <c r="Z93" s="28">
        <f t="shared" si="71"/>
        <v>5548455.4645996839</v>
      </c>
    </row>
    <row r="94" spans="1:26" ht="15.5" x14ac:dyDescent="0.35">
      <c r="B94" s="199"/>
      <c r="C94" s="199"/>
      <c r="D94" s="199"/>
      <c r="E94" s="11">
        <v>2030</v>
      </c>
      <c r="F94" s="11">
        <v>2031</v>
      </c>
      <c r="G94" s="177" t="s">
        <v>97</v>
      </c>
      <c r="H94" s="28">
        <f t="shared" si="72"/>
        <v>0</v>
      </c>
      <c r="I94" s="28">
        <f t="shared" si="71"/>
        <v>0</v>
      </c>
      <c r="J94" s="28">
        <f t="shared" si="71"/>
        <v>0</v>
      </c>
      <c r="K94" s="28">
        <f t="shared" si="71"/>
        <v>0</v>
      </c>
      <c r="L94" s="28">
        <f t="shared" si="71"/>
        <v>0</v>
      </c>
      <c r="M94" s="28">
        <f t="shared" si="71"/>
        <v>0</v>
      </c>
      <c r="N94" s="28">
        <f t="shared" si="71"/>
        <v>0</v>
      </c>
      <c r="O94" s="28">
        <f t="shared" si="71"/>
        <v>0</v>
      </c>
      <c r="P94" s="28">
        <f t="shared" si="71"/>
        <v>1800000</v>
      </c>
      <c r="Q94" s="28">
        <f t="shared" si="71"/>
        <v>3596000</v>
      </c>
      <c r="R94" s="28">
        <f t="shared" si="71"/>
        <v>5088020</v>
      </c>
      <c r="S94" s="28">
        <f t="shared" si="71"/>
        <v>3580079.9</v>
      </c>
      <c r="T94" s="28">
        <f t="shared" si="71"/>
        <v>3572179.5005000001</v>
      </c>
      <c r="U94" s="28">
        <f t="shared" si="71"/>
        <v>3564318.6029975004</v>
      </c>
      <c r="V94" s="28">
        <f t="shared" si="71"/>
        <v>3556497.0099825133</v>
      </c>
      <c r="W94" s="28">
        <f t="shared" si="71"/>
        <v>3548714.5249326001</v>
      </c>
      <c r="X94" s="28">
        <f t="shared" si="71"/>
        <v>3540970.9523079367</v>
      </c>
      <c r="Y94" s="28">
        <f t="shared" si="71"/>
        <v>3533266.0975463977</v>
      </c>
      <c r="Z94" s="28">
        <f t="shared" si="71"/>
        <v>3525599.7670586654</v>
      </c>
    </row>
    <row r="95" spans="1:26" ht="15.5" x14ac:dyDescent="0.35">
      <c r="B95" s="199"/>
      <c r="C95" s="199"/>
      <c r="D95" s="199"/>
      <c r="E95" s="11">
        <v>2032</v>
      </c>
      <c r="F95" s="11">
        <v>2033</v>
      </c>
      <c r="G95" s="177" t="s">
        <v>98</v>
      </c>
      <c r="H95" s="28">
        <f t="shared" si="72"/>
        <v>0</v>
      </c>
      <c r="I95" s="28">
        <f t="shared" si="71"/>
        <v>0</v>
      </c>
      <c r="J95" s="28">
        <f t="shared" si="71"/>
        <v>0</v>
      </c>
      <c r="K95" s="28">
        <f t="shared" si="71"/>
        <v>0</v>
      </c>
      <c r="L95" s="28">
        <f t="shared" si="71"/>
        <v>0</v>
      </c>
      <c r="M95" s="28">
        <f t="shared" si="71"/>
        <v>0</v>
      </c>
      <c r="N95" s="28">
        <f t="shared" si="71"/>
        <v>0</v>
      </c>
      <c r="O95" s="28">
        <f t="shared" si="71"/>
        <v>0</v>
      </c>
      <c r="P95" s="28">
        <f t="shared" si="71"/>
        <v>0</v>
      </c>
      <c r="Q95" s="28">
        <f t="shared" si="71"/>
        <v>0</v>
      </c>
      <c r="R95" s="28">
        <f t="shared" si="71"/>
        <v>1800000</v>
      </c>
      <c r="S95" s="28">
        <f t="shared" si="71"/>
        <v>3596000</v>
      </c>
      <c r="T95" s="28">
        <f t="shared" si="71"/>
        <v>3588020</v>
      </c>
      <c r="U95" s="28">
        <f t="shared" si="71"/>
        <v>3580079.9</v>
      </c>
      <c r="V95" s="28">
        <f t="shared" si="71"/>
        <v>3572179.5005000001</v>
      </c>
      <c r="W95" s="28">
        <f t="shared" si="71"/>
        <v>3564318.6029975004</v>
      </c>
      <c r="X95" s="28">
        <f t="shared" si="71"/>
        <v>5056497.0099825133</v>
      </c>
      <c r="Y95" s="28">
        <f t="shared" si="71"/>
        <v>3548714.5249326001</v>
      </c>
      <c r="Z95" s="28">
        <f t="shared" si="71"/>
        <v>3540970.9523079367</v>
      </c>
    </row>
    <row r="96" spans="1:26" ht="15.5" x14ac:dyDescent="0.35">
      <c r="B96" s="199"/>
      <c r="C96" s="199"/>
      <c r="D96" s="199"/>
      <c r="E96" s="11">
        <v>2034</v>
      </c>
      <c r="F96" s="11">
        <v>2035</v>
      </c>
      <c r="G96" s="177" t="s">
        <v>99</v>
      </c>
      <c r="H96" s="28">
        <f t="shared" si="72"/>
        <v>0</v>
      </c>
      <c r="I96" s="28">
        <f t="shared" si="71"/>
        <v>0</v>
      </c>
      <c r="J96" s="28">
        <f t="shared" si="71"/>
        <v>0</v>
      </c>
      <c r="K96" s="28">
        <f t="shared" si="71"/>
        <v>0</v>
      </c>
      <c r="L96" s="28">
        <f t="shared" si="71"/>
        <v>0</v>
      </c>
      <c r="M96" s="28">
        <f t="shared" si="71"/>
        <v>0</v>
      </c>
      <c r="N96" s="28">
        <f t="shared" si="71"/>
        <v>0</v>
      </c>
      <c r="O96" s="28">
        <f t="shared" si="71"/>
        <v>0</v>
      </c>
      <c r="P96" s="28">
        <f t="shared" si="71"/>
        <v>0</v>
      </c>
      <c r="Q96" s="28">
        <f t="shared" si="71"/>
        <v>0</v>
      </c>
      <c r="R96" s="28">
        <f t="shared" si="71"/>
        <v>0</v>
      </c>
      <c r="S96" s="28">
        <f t="shared" si="71"/>
        <v>0</v>
      </c>
      <c r="T96" s="28">
        <f t="shared" si="71"/>
        <v>1800000</v>
      </c>
      <c r="U96" s="28">
        <f t="shared" si="71"/>
        <v>3596000</v>
      </c>
      <c r="V96" s="28">
        <f t="shared" si="71"/>
        <v>3588020</v>
      </c>
      <c r="W96" s="28">
        <f t="shared" si="71"/>
        <v>3580079.9</v>
      </c>
      <c r="X96" s="28">
        <f t="shared" si="71"/>
        <v>3572179.5005000001</v>
      </c>
      <c r="Y96" s="28">
        <f t="shared" si="71"/>
        <v>3564318.6029975004</v>
      </c>
      <c r="Z96" s="28">
        <f t="shared" si="71"/>
        <v>3556497.0099825133</v>
      </c>
    </row>
    <row r="97" spans="2:26" ht="15.5" x14ac:dyDescent="0.35">
      <c r="B97" s="199"/>
      <c r="C97" s="199"/>
      <c r="D97" s="199"/>
      <c r="E97" s="11">
        <v>2036</v>
      </c>
      <c r="F97" s="11">
        <v>2037</v>
      </c>
      <c r="G97" s="177" t="s">
        <v>100</v>
      </c>
      <c r="H97" s="28">
        <f t="shared" si="72"/>
        <v>0</v>
      </c>
      <c r="I97" s="28">
        <f t="shared" si="71"/>
        <v>0</v>
      </c>
      <c r="J97" s="28">
        <f t="shared" si="71"/>
        <v>0</v>
      </c>
      <c r="K97" s="28">
        <f t="shared" si="71"/>
        <v>0</v>
      </c>
      <c r="L97" s="28">
        <f t="shared" si="71"/>
        <v>0</v>
      </c>
      <c r="M97" s="28">
        <f t="shared" si="71"/>
        <v>0</v>
      </c>
      <c r="N97" s="28">
        <f t="shared" si="71"/>
        <v>0</v>
      </c>
      <c r="O97" s="28">
        <f t="shared" si="71"/>
        <v>0</v>
      </c>
      <c r="P97" s="28">
        <f t="shared" si="71"/>
        <v>0</v>
      </c>
      <c r="Q97" s="28">
        <f t="shared" si="71"/>
        <v>0</v>
      </c>
      <c r="R97" s="28">
        <f t="shared" si="71"/>
        <v>0</v>
      </c>
      <c r="S97" s="28">
        <f t="shared" si="71"/>
        <v>0</v>
      </c>
      <c r="T97" s="28">
        <f t="shared" si="71"/>
        <v>0</v>
      </c>
      <c r="U97" s="28">
        <f t="shared" si="71"/>
        <v>0</v>
      </c>
      <c r="V97" s="28">
        <f t="shared" si="71"/>
        <v>1800000</v>
      </c>
      <c r="W97" s="28">
        <f t="shared" si="71"/>
        <v>3596000</v>
      </c>
      <c r="X97" s="28">
        <f t="shared" si="71"/>
        <v>3588020</v>
      </c>
      <c r="Y97" s="28">
        <f t="shared" si="71"/>
        <v>3580079.9</v>
      </c>
      <c r="Z97" s="28">
        <f t="shared" si="71"/>
        <v>3572179.5005000001</v>
      </c>
    </row>
    <row r="98" spans="2:26" ht="15.5" x14ac:dyDescent="0.35">
      <c r="B98" s="199"/>
      <c r="C98" s="199"/>
      <c r="D98" s="199"/>
      <c r="E98" s="11">
        <v>2038</v>
      </c>
      <c r="F98" s="11">
        <v>2039</v>
      </c>
      <c r="G98" s="177" t="s">
        <v>101</v>
      </c>
      <c r="H98" s="28">
        <f t="shared" si="72"/>
        <v>0</v>
      </c>
      <c r="I98" s="28">
        <f t="shared" si="71"/>
        <v>0</v>
      </c>
      <c r="J98" s="28">
        <f t="shared" si="71"/>
        <v>0</v>
      </c>
      <c r="K98" s="28">
        <f t="shared" si="71"/>
        <v>0</v>
      </c>
      <c r="L98" s="28">
        <f t="shared" si="71"/>
        <v>0</v>
      </c>
      <c r="M98" s="28">
        <f t="shared" si="71"/>
        <v>0</v>
      </c>
      <c r="N98" s="28">
        <f t="shared" si="71"/>
        <v>0</v>
      </c>
      <c r="O98" s="28">
        <f t="shared" si="71"/>
        <v>0</v>
      </c>
      <c r="P98" s="28">
        <f t="shared" si="71"/>
        <v>0</v>
      </c>
      <c r="Q98" s="28">
        <f t="shared" si="71"/>
        <v>0</v>
      </c>
      <c r="R98" s="28">
        <f t="shared" si="71"/>
        <v>0</v>
      </c>
      <c r="S98" s="28">
        <f t="shared" si="71"/>
        <v>0</v>
      </c>
      <c r="T98" s="28">
        <f t="shared" si="71"/>
        <v>0</v>
      </c>
      <c r="U98" s="28">
        <f t="shared" si="71"/>
        <v>0</v>
      </c>
      <c r="V98" s="28">
        <f t="shared" si="71"/>
        <v>0</v>
      </c>
      <c r="W98" s="28">
        <f t="shared" si="71"/>
        <v>0</v>
      </c>
      <c r="X98" s="28">
        <f t="shared" si="71"/>
        <v>1800000</v>
      </c>
      <c r="Y98" s="28">
        <f t="shared" si="71"/>
        <v>3596000</v>
      </c>
      <c r="Z98" s="28">
        <f t="shared" si="71"/>
        <v>3591771</v>
      </c>
    </row>
    <row r="99" spans="2:26" ht="15.5" x14ac:dyDescent="0.35">
      <c r="B99" s="199"/>
      <c r="C99" s="199"/>
      <c r="D99" s="199"/>
      <c r="E99" s="11">
        <v>2040</v>
      </c>
      <c r="F99" s="11">
        <v>2041</v>
      </c>
      <c r="G99" s="177" t="s">
        <v>102</v>
      </c>
      <c r="H99" s="28">
        <f t="shared" si="72"/>
        <v>0</v>
      </c>
      <c r="I99" s="28">
        <f t="shared" si="71"/>
        <v>0</v>
      </c>
      <c r="J99" s="28">
        <f t="shared" si="71"/>
        <v>0</v>
      </c>
      <c r="K99" s="28">
        <f t="shared" si="71"/>
        <v>0</v>
      </c>
      <c r="L99" s="28">
        <f t="shared" si="71"/>
        <v>0</v>
      </c>
      <c r="M99" s="28">
        <f t="shared" si="71"/>
        <v>0</v>
      </c>
      <c r="N99" s="28">
        <f t="shared" si="71"/>
        <v>0</v>
      </c>
      <c r="O99" s="28">
        <f t="shared" si="71"/>
        <v>0</v>
      </c>
      <c r="P99" s="28">
        <f t="shared" si="71"/>
        <v>0</v>
      </c>
      <c r="Q99" s="28">
        <f t="shared" si="71"/>
        <v>0</v>
      </c>
      <c r="R99" s="28">
        <f t="shared" si="71"/>
        <v>0</v>
      </c>
      <c r="S99" s="28">
        <f t="shared" si="71"/>
        <v>0</v>
      </c>
      <c r="T99" s="28">
        <f t="shared" si="71"/>
        <v>0</v>
      </c>
      <c r="U99" s="28">
        <f t="shared" si="71"/>
        <v>0</v>
      </c>
      <c r="V99" s="28">
        <f t="shared" si="71"/>
        <v>0</v>
      </c>
      <c r="W99" s="28">
        <f t="shared" si="71"/>
        <v>0</v>
      </c>
      <c r="X99" s="28">
        <f t="shared" si="71"/>
        <v>0</v>
      </c>
      <c r="Y99" s="28">
        <f t="shared" si="71"/>
        <v>0</v>
      </c>
      <c r="Z99" s="28">
        <f t="shared" si="71"/>
        <v>1800000</v>
      </c>
    </row>
  </sheetData>
  <pageMargins left="0.7" right="0.7" top="0.75" bottom="0.75" header="0.3" footer="0.3"/>
  <pageSetup scale="27" fitToHeight="3" orientation="portrait" r:id="rId1"/>
  <customProperties>
    <customPr name="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9C4E6-F6F4-4A6B-81EC-323BF3DB61BD}">
  <sheetPr>
    <tabColor theme="5" tint="0.59999389629810485"/>
    <pageSetUpPr fitToPage="1"/>
  </sheetPr>
  <dimension ref="A1:AH156"/>
  <sheetViews>
    <sheetView zoomScaleNormal="100" workbookViewId="0">
      <selection activeCell="L3" sqref="L3"/>
    </sheetView>
  </sheetViews>
  <sheetFormatPr defaultRowHeight="14.5" x14ac:dyDescent="0.35"/>
  <cols>
    <col min="1" max="1" width="25.54296875" style="1" bestFit="1" customWidth="1"/>
    <col min="2" max="2" width="7.54296875" bestFit="1" customWidth="1"/>
    <col min="3" max="3" width="5.453125" bestFit="1" customWidth="1"/>
    <col min="4" max="4" width="13.36328125" bestFit="1" customWidth="1"/>
    <col min="5" max="5" width="12.453125" bestFit="1" customWidth="1"/>
    <col min="6" max="6" width="14.453125" bestFit="1" customWidth="1"/>
    <col min="7" max="7" width="12.453125" bestFit="1" customWidth="1"/>
    <col min="8" max="22" width="15.453125" bestFit="1" customWidth="1"/>
    <col min="23" max="23" width="14.453125" bestFit="1" customWidth="1"/>
    <col min="24" max="24" width="12.08984375" bestFit="1" customWidth="1"/>
  </cols>
  <sheetData>
    <row r="1" spans="1:24" ht="15.5" x14ac:dyDescent="0.35">
      <c r="A1" s="177" t="s">
        <v>85</v>
      </c>
      <c r="B1" s="177" t="s">
        <v>86</v>
      </c>
      <c r="C1" s="220">
        <v>2022</v>
      </c>
      <c r="D1" s="220">
        <f t="shared" ref="D1:W1" si="0">C1+1</f>
        <v>2023</v>
      </c>
      <c r="E1" s="220">
        <f t="shared" si="0"/>
        <v>2024</v>
      </c>
      <c r="F1" s="220">
        <f t="shared" si="0"/>
        <v>2025</v>
      </c>
      <c r="G1" s="220">
        <f t="shared" si="0"/>
        <v>2026</v>
      </c>
      <c r="H1" s="220">
        <f t="shared" si="0"/>
        <v>2027</v>
      </c>
      <c r="I1" s="220">
        <f t="shared" si="0"/>
        <v>2028</v>
      </c>
      <c r="J1" s="220">
        <f t="shared" si="0"/>
        <v>2029</v>
      </c>
      <c r="K1" s="220">
        <f t="shared" si="0"/>
        <v>2030</v>
      </c>
      <c r="L1" s="220">
        <f t="shared" si="0"/>
        <v>2031</v>
      </c>
      <c r="M1" s="220">
        <f t="shared" si="0"/>
        <v>2032</v>
      </c>
      <c r="N1" s="220">
        <f t="shared" si="0"/>
        <v>2033</v>
      </c>
      <c r="O1" s="220">
        <f t="shared" si="0"/>
        <v>2034</v>
      </c>
      <c r="P1" s="220">
        <f t="shared" si="0"/>
        <v>2035</v>
      </c>
      <c r="Q1" s="220">
        <f t="shared" si="0"/>
        <v>2036</v>
      </c>
      <c r="R1" s="220">
        <f t="shared" si="0"/>
        <v>2037</v>
      </c>
      <c r="S1" s="220">
        <f t="shared" si="0"/>
        <v>2038</v>
      </c>
      <c r="T1" s="220">
        <f t="shared" si="0"/>
        <v>2039</v>
      </c>
      <c r="U1" s="220">
        <f t="shared" si="0"/>
        <v>2040</v>
      </c>
      <c r="V1" s="220">
        <f t="shared" si="0"/>
        <v>2041</v>
      </c>
      <c r="W1" s="220">
        <f t="shared" si="0"/>
        <v>2042</v>
      </c>
      <c r="X1" s="220">
        <v>2043</v>
      </c>
    </row>
    <row r="2" spans="1:24" ht="15.5" x14ac:dyDescent="0.35">
      <c r="A2" s="177" t="s">
        <v>87</v>
      </c>
      <c r="B2" s="11">
        <v>2022</v>
      </c>
      <c r="C2" s="221"/>
      <c r="D2" s="221"/>
      <c r="E2" s="221"/>
      <c r="F2" s="74">
        <f>'Indexed REC Activities'!H2*'Indexed REC Calculator'!F9</f>
        <v>4415040.2973999996</v>
      </c>
      <c r="G2" s="181">
        <f>'Indexed REC Activities'!I2*'Indexed REC Calculator'!G9</f>
        <v>4281834.0631999997</v>
      </c>
      <c r="H2" s="181">
        <f>'Indexed REC Activities'!J2*'Indexed REC Calculator'!H9</f>
        <v>4183892.8549999995</v>
      </c>
      <c r="I2" s="181">
        <f>'Indexed REC Activities'!K2*'Indexed REC Calculator'!I9</f>
        <v>4220120.4999999991</v>
      </c>
      <c r="J2" s="181">
        <f>'Indexed REC Activities'!L2*'Indexed REC Calculator'!J9</f>
        <v>3265517.0460000015</v>
      </c>
      <c r="K2" s="181">
        <f>'Indexed REC Activities'!M2*'Indexed REC Calculator'!K9</f>
        <v>2144518.5832000002</v>
      </c>
      <c r="L2" s="181">
        <f>'Indexed REC Activities'!N2*'Indexed REC Calculator'!L9</f>
        <v>1978235.2485999994</v>
      </c>
      <c r="M2" s="181">
        <f>'Indexed REC Activities'!O2*'Indexed REC Calculator'!M9</f>
        <v>1628068.7356000002</v>
      </c>
      <c r="N2" s="181">
        <f>'Indexed REC Activities'!P2*'Indexed REC Calculator'!N9</f>
        <v>1043729.5028000001</v>
      </c>
      <c r="O2" s="181">
        <f>'Indexed REC Activities'!Q2*'Indexed REC Calculator'!O9</f>
        <v>520638.31319999951</v>
      </c>
      <c r="P2" s="181">
        <f>'Indexed REC Activities'!R2*'Indexed REC Calculator'!P9</f>
        <v>-185875.36479999911</v>
      </c>
      <c r="Q2" s="181">
        <f>'Indexed REC Activities'!S2*'Indexed REC Calculator'!Q9</f>
        <v>-885895.2918000007</v>
      </c>
      <c r="R2" s="181">
        <f>'Indexed REC Activities'!T2*'Indexed REC Calculator'!R9</f>
        <v>-1569350.0115999989</v>
      </c>
      <c r="S2" s="181">
        <f>'Indexed REC Activities'!U2*'Indexed REC Calculator'!S9</f>
        <v>-2252706.2959999978</v>
      </c>
      <c r="T2" s="181">
        <f>'Indexed REC Activities'!V2*'Indexed REC Calculator'!T9</f>
        <v>-2911071.6222000006</v>
      </c>
      <c r="U2" s="181">
        <f>'Indexed REC Activities'!W2*'Indexed REC Calculator'!U9</f>
        <v>-3542621.1380000007</v>
      </c>
      <c r="V2" s="181">
        <f>'Indexed REC Activities'!X2*'Indexed REC Calculator'!V9</f>
        <v>-4193286.0733999987</v>
      </c>
      <c r="W2" s="181">
        <f>'Indexed REC Activities'!Y2*'Indexed REC Calculator'!W9</f>
        <v>-4831786.2857999997</v>
      </c>
      <c r="X2" s="181">
        <f>'Indexed REC Activities'!Z2*'Indexed REC Calculator'!X9</f>
        <v>-5493093.4684000015</v>
      </c>
    </row>
    <row r="3" spans="1:24" ht="15.5" x14ac:dyDescent="0.35">
      <c r="A3" s="177" t="s">
        <v>87</v>
      </c>
      <c r="B3" s="11">
        <f>B2+1</f>
        <v>2023</v>
      </c>
      <c r="C3" s="181">
        <f>'Indexed REC Activities'!E3*'Indexed REC Calculator'!C10</f>
        <v>0</v>
      </c>
      <c r="D3" s="181">
        <f>'Indexed REC Activities'!F3*'Indexed REC Calculator'!D10</f>
        <v>0</v>
      </c>
      <c r="E3" s="181">
        <f>'Indexed REC Activities'!G3*'Indexed REC Calculator'!E10</f>
        <v>0</v>
      </c>
      <c r="F3" s="181">
        <f>'Indexed REC Activities'!H3*'Indexed REC Calculator'!F10</f>
        <v>0</v>
      </c>
      <c r="G3" s="181">
        <f>'Indexed REC Activities'!I3*'Indexed REC Calculator'!G10</f>
        <v>0</v>
      </c>
      <c r="H3" s="181">
        <f>'Indexed REC Activities'!J3*'Indexed REC Calculator'!H10</f>
        <v>45477096.249999993</v>
      </c>
      <c r="I3" s="181">
        <f>'Indexed REC Activities'!K3*'Indexed REC Calculator'!I10</f>
        <v>45870874.999999993</v>
      </c>
      <c r="J3" s="181">
        <f>'Indexed REC Activities'!L3*'Indexed REC Calculator'!J10</f>
        <v>35494750.500000015</v>
      </c>
      <c r="K3" s="181">
        <f>'Indexed REC Activities'!M3*'Indexed REC Calculator'!K10</f>
        <v>23309984.600000001</v>
      </c>
      <c r="L3" s="181">
        <f>'Indexed REC Activities'!N3*'Indexed REC Calculator'!L10</f>
        <v>21502557.049999993</v>
      </c>
      <c r="M3" s="181">
        <f>'Indexed REC Activities'!O3*'Indexed REC Calculator'!M10</f>
        <v>17696399.300000004</v>
      </c>
      <c r="N3" s="181">
        <f>'Indexed REC Activities'!P3*'Indexed REC Calculator'!N10</f>
        <v>11344885.9</v>
      </c>
      <c r="O3" s="181">
        <f>'Indexed REC Activities'!Q3*'Indexed REC Calculator'!O10</f>
        <v>5659112.099999994</v>
      </c>
      <c r="P3" s="181">
        <f>'Indexed REC Activities'!R3*'Indexed REC Calculator'!P10</f>
        <v>-2020384.3999999904</v>
      </c>
      <c r="Q3" s="181">
        <f>'Indexed REC Activities'!S3*'Indexed REC Calculator'!Q10</f>
        <v>-9629296.6500000078</v>
      </c>
      <c r="R3" s="181">
        <f>'Indexed REC Activities'!T3*'Indexed REC Calculator'!R10</f>
        <v>-17058152.29999999</v>
      </c>
      <c r="S3" s="181">
        <f>'Indexed REC Activities'!U3*'Indexed REC Calculator'!S10</f>
        <v>-24485937.999999978</v>
      </c>
      <c r="T3" s="181">
        <f>'Indexed REC Activities'!V3*'Indexed REC Calculator'!T10</f>
        <v>-31642082.850000009</v>
      </c>
      <c r="U3" s="181">
        <f>'Indexed REC Activities'!W3*'Indexed REC Calculator'!U10</f>
        <v>-38506751.500000007</v>
      </c>
      <c r="V3" s="181">
        <f>'Indexed REC Activities'!X3*'Indexed REC Calculator'!V10</f>
        <v>-45579196.449999981</v>
      </c>
      <c r="W3" s="181">
        <f>'Indexed REC Activities'!Y3*'Indexed REC Calculator'!W10</f>
        <v>-52519416.149999999</v>
      </c>
      <c r="X3" s="181">
        <f>'Indexed REC Activities'!Z3*'Indexed REC Calculator'!X10</f>
        <v>-59707537.700000018</v>
      </c>
    </row>
    <row r="4" spans="1:24" ht="15.5" x14ac:dyDescent="0.35">
      <c r="A4" s="177" t="s">
        <v>87</v>
      </c>
      <c r="B4" s="11">
        <f t="shared" ref="B4:B22" si="1">B3+1</f>
        <v>2024</v>
      </c>
      <c r="C4" s="181">
        <f>'Indexed REC Activities'!E4*'Indexed REC Calculator'!C11</f>
        <v>0</v>
      </c>
      <c r="D4" s="181">
        <f>'Indexed REC Activities'!F4*'Indexed REC Calculator'!D11</f>
        <v>0</v>
      </c>
      <c r="E4" s="181">
        <f>'Indexed REC Activities'!G4*'Indexed REC Calculator'!E11</f>
        <v>0</v>
      </c>
      <c r="F4" s="181">
        <f>'Indexed REC Activities'!H4*'Indexed REC Calculator'!F11</f>
        <v>0</v>
      </c>
      <c r="G4" s="181">
        <f>'Indexed REC Activities'!I4*'Indexed REC Calculator'!G11</f>
        <v>0</v>
      </c>
      <c r="H4" s="181">
        <f>'Indexed REC Activities'!J4*'Indexed REC Calculator'!H11</f>
        <v>22738548.124999996</v>
      </c>
      <c r="I4" s="181">
        <f>'Indexed REC Activities'!K4*'Indexed REC Calculator'!I11</f>
        <v>22935437.499999996</v>
      </c>
      <c r="J4" s="181">
        <f>'Indexed REC Activities'!L4*'Indexed REC Calculator'!J11</f>
        <v>17747375.250000007</v>
      </c>
      <c r="K4" s="181">
        <f>'Indexed REC Activities'!M4*'Indexed REC Calculator'!K11</f>
        <v>11654992.300000001</v>
      </c>
      <c r="L4" s="181">
        <f>'Indexed REC Activities'!N4*'Indexed REC Calculator'!L11</f>
        <v>10751278.524999997</v>
      </c>
      <c r="M4" s="181">
        <f>'Indexed REC Activities'!O4*'Indexed REC Calculator'!M11</f>
        <v>8848199.6500000022</v>
      </c>
      <c r="N4" s="181">
        <f>'Indexed REC Activities'!P4*'Indexed REC Calculator'!N11</f>
        <v>5672442.9500000002</v>
      </c>
      <c r="O4" s="181">
        <f>'Indexed REC Activities'!Q4*'Indexed REC Calculator'!O11</f>
        <v>2829556.049999997</v>
      </c>
      <c r="P4" s="181">
        <f>'Indexed REC Activities'!R4*'Indexed REC Calculator'!P11</f>
        <v>-1010192.1999999952</v>
      </c>
      <c r="Q4" s="181">
        <f>'Indexed REC Activities'!S4*'Indexed REC Calculator'!Q11</f>
        <v>-4814648.3250000039</v>
      </c>
      <c r="R4" s="181">
        <f>'Indexed REC Activities'!T4*'Indexed REC Calculator'!R11</f>
        <v>-8529076.1499999948</v>
      </c>
      <c r="S4" s="181">
        <f>'Indexed REC Activities'!U4*'Indexed REC Calculator'!S11</f>
        <v>-12242968.999999989</v>
      </c>
      <c r="T4" s="181">
        <f>'Indexed REC Activities'!V4*'Indexed REC Calculator'!T11</f>
        <v>-15821041.425000004</v>
      </c>
      <c r="U4" s="181">
        <f>'Indexed REC Activities'!W4*'Indexed REC Calculator'!U11</f>
        <v>-19253375.750000004</v>
      </c>
      <c r="V4" s="181">
        <f>'Indexed REC Activities'!X4*'Indexed REC Calculator'!V11</f>
        <v>-22789598.22499999</v>
      </c>
      <c r="W4" s="181">
        <f>'Indexed REC Activities'!Y4*'Indexed REC Calculator'!W11</f>
        <v>-26259708.074999999</v>
      </c>
      <c r="X4" s="181">
        <f>'Indexed REC Activities'!Z4*'Indexed REC Calculator'!X11</f>
        <v>-29853768.850000009</v>
      </c>
    </row>
    <row r="5" spans="1:24" ht="15.5" x14ac:dyDescent="0.35">
      <c r="A5" s="177" t="s">
        <v>87</v>
      </c>
      <c r="B5" s="11">
        <f t="shared" si="1"/>
        <v>2025</v>
      </c>
      <c r="C5" s="181">
        <f>'Indexed REC Activities'!E5*'Indexed REC Calculator'!C12</f>
        <v>0</v>
      </c>
      <c r="D5" s="181">
        <f>'Indexed REC Activities'!F5*'Indexed REC Calculator'!D12</f>
        <v>0</v>
      </c>
      <c r="E5" s="181">
        <f>'Indexed REC Activities'!G5*'Indexed REC Calculator'!E12</f>
        <v>0</v>
      </c>
      <c r="F5" s="181">
        <f>'Indexed REC Activities'!H5*'Indexed REC Calculator'!F12</f>
        <v>0</v>
      </c>
      <c r="G5" s="181">
        <f>'Indexed REC Activities'!I5*'Indexed REC Calculator'!G12</f>
        <v>0</v>
      </c>
      <c r="H5" s="181">
        <f>'Indexed REC Activities'!J5*'Indexed REC Calculator'!H12</f>
        <v>0</v>
      </c>
      <c r="I5" s="181">
        <f>'Indexed REC Activities'!K5*'Indexed REC Calculator'!I12</f>
        <v>22935437.499999996</v>
      </c>
      <c r="J5" s="181">
        <f>'Indexed REC Activities'!L5*'Indexed REC Calculator'!J12</f>
        <v>17747375.250000007</v>
      </c>
      <c r="K5" s="181">
        <f>'Indexed REC Activities'!M5*'Indexed REC Calculator'!K12</f>
        <v>11654992.300000001</v>
      </c>
      <c r="L5" s="181">
        <f>'Indexed REC Activities'!N5*'Indexed REC Calculator'!L12</f>
        <v>10751278.524999997</v>
      </c>
      <c r="M5" s="181">
        <f>'Indexed REC Activities'!O5*'Indexed REC Calculator'!M12</f>
        <v>8848199.6500000022</v>
      </c>
      <c r="N5" s="181">
        <f>'Indexed REC Activities'!P5*'Indexed REC Calculator'!N12</f>
        <v>5672442.9500000002</v>
      </c>
      <c r="O5" s="181">
        <f>'Indexed REC Activities'!Q5*'Indexed REC Calculator'!O12</f>
        <v>2829556.049999997</v>
      </c>
      <c r="P5" s="181">
        <f>'Indexed REC Activities'!R5*'Indexed REC Calculator'!P12</f>
        <v>-1010192.1999999952</v>
      </c>
      <c r="Q5" s="181">
        <f>'Indexed REC Activities'!S5*'Indexed REC Calculator'!Q12</f>
        <v>-4814648.3250000039</v>
      </c>
      <c r="R5" s="181">
        <f>'Indexed REC Activities'!T5*'Indexed REC Calculator'!R12</f>
        <v>-8529076.1499999948</v>
      </c>
      <c r="S5" s="181">
        <f>'Indexed REC Activities'!U5*'Indexed REC Calculator'!S12</f>
        <v>-12242968.999999989</v>
      </c>
      <c r="T5" s="181">
        <f>'Indexed REC Activities'!V5*'Indexed REC Calculator'!T12</f>
        <v>-15821041.425000004</v>
      </c>
      <c r="U5" s="181">
        <f>'Indexed REC Activities'!W5*'Indexed REC Calculator'!U12</f>
        <v>-19253375.750000004</v>
      </c>
      <c r="V5" s="181">
        <f>'Indexed REC Activities'!X5*'Indexed REC Calculator'!V12</f>
        <v>-22789598.22499999</v>
      </c>
      <c r="W5" s="181">
        <f>'Indexed REC Activities'!Y5*'Indexed REC Calculator'!W12</f>
        <v>-26259708.074999999</v>
      </c>
      <c r="X5" s="181">
        <f>'Indexed REC Activities'!Z5*'Indexed REC Calculator'!X12</f>
        <v>-29853768.850000009</v>
      </c>
    </row>
    <row r="6" spans="1:24" ht="15.5" x14ac:dyDescent="0.35">
      <c r="A6" s="177" t="s">
        <v>87</v>
      </c>
      <c r="B6" s="11">
        <f t="shared" si="1"/>
        <v>2026</v>
      </c>
      <c r="C6" s="181">
        <f>'Indexed REC Activities'!E6*'Indexed REC Calculator'!C13</f>
        <v>0</v>
      </c>
      <c r="D6" s="181">
        <f>'Indexed REC Activities'!F6*'Indexed REC Calculator'!D13</f>
        <v>0</v>
      </c>
      <c r="E6" s="181">
        <f>'Indexed REC Activities'!G6*'Indexed REC Calculator'!E13</f>
        <v>0</v>
      </c>
      <c r="F6" s="181">
        <f>'Indexed REC Activities'!H6*'Indexed REC Calculator'!F13</f>
        <v>0</v>
      </c>
      <c r="G6" s="181">
        <f>'Indexed REC Activities'!I6*'Indexed REC Calculator'!G13</f>
        <v>0</v>
      </c>
      <c r="H6" s="181">
        <f>'Indexed REC Activities'!J6*'Indexed REC Calculator'!H13</f>
        <v>0</v>
      </c>
      <c r="I6" s="181">
        <f>'Indexed REC Activities'!K6*'Indexed REC Calculator'!I13</f>
        <v>0</v>
      </c>
      <c r="J6" s="181">
        <f>'Indexed REC Activities'!L6*'Indexed REC Calculator'!J13</f>
        <v>17747375.250000007</v>
      </c>
      <c r="K6" s="181">
        <f>'Indexed REC Activities'!M6*'Indexed REC Calculator'!K13</f>
        <v>11654992.300000001</v>
      </c>
      <c r="L6" s="181">
        <f>'Indexed REC Activities'!N6*'Indexed REC Calculator'!L13</f>
        <v>10751278.524999997</v>
      </c>
      <c r="M6" s="181">
        <f>'Indexed REC Activities'!O6*'Indexed REC Calculator'!M13</f>
        <v>8848199.6500000022</v>
      </c>
      <c r="N6" s="181">
        <f>'Indexed REC Activities'!P6*'Indexed REC Calculator'!N13</f>
        <v>5672442.9500000002</v>
      </c>
      <c r="O6" s="181">
        <f>'Indexed REC Activities'!Q6*'Indexed REC Calculator'!O13</f>
        <v>2829556.049999997</v>
      </c>
      <c r="P6" s="181">
        <f>'Indexed REC Activities'!R6*'Indexed REC Calculator'!P13</f>
        <v>-1010192.1999999952</v>
      </c>
      <c r="Q6" s="181">
        <f>'Indexed REC Activities'!S6*'Indexed REC Calculator'!Q13</f>
        <v>-4814648.3250000039</v>
      </c>
      <c r="R6" s="181">
        <f>'Indexed REC Activities'!T6*'Indexed REC Calculator'!R13</f>
        <v>-8529076.1499999948</v>
      </c>
      <c r="S6" s="181">
        <f>'Indexed REC Activities'!U6*'Indexed REC Calculator'!S13</f>
        <v>-12242968.999999989</v>
      </c>
      <c r="T6" s="181">
        <f>'Indexed REC Activities'!V6*'Indexed REC Calculator'!T13</f>
        <v>-15821041.425000004</v>
      </c>
      <c r="U6" s="181">
        <f>'Indexed REC Activities'!W6*'Indexed REC Calculator'!U13</f>
        <v>-19253375.750000004</v>
      </c>
      <c r="V6" s="181">
        <f>'Indexed REC Activities'!X6*'Indexed REC Calculator'!V13</f>
        <v>-22789598.22499999</v>
      </c>
      <c r="W6" s="181">
        <f>'Indexed REC Activities'!Y6*'Indexed REC Calculator'!W13</f>
        <v>-26259708.074999999</v>
      </c>
      <c r="X6" s="181">
        <f>'Indexed REC Activities'!Z6*'Indexed REC Calculator'!X13</f>
        <v>-29853768.850000009</v>
      </c>
    </row>
    <row r="7" spans="1:24" ht="15.5" x14ac:dyDescent="0.35">
      <c r="A7" s="177" t="s">
        <v>87</v>
      </c>
      <c r="B7" s="11">
        <f t="shared" si="1"/>
        <v>2027</v>
      </c>
      <c r="C7" s="181">
        <f>'Indexed REC Activities'!E7*'Indexed REC Calculator'!C14</f>
        <v>0</v>
      </c>
      <c r="D7" s="181">
        <f>'Indexed REC Activities'!F7*'Indexed REC Calculator'!D14</f>
        <v>0</v>
      </c>
      <c r="E7" s="181">
        <f>'Indexed REC Activities'!G7*'Indexed REC Calculator'!E14</f>
        <v>0</v>
      </c>
      <c r="F7" s="181">
        <f>'Indexed REC Activities'!H7*'Indexed REC Calculator'!F14</f>
        <v>0</v>
      </c>
      <c r="G7" s="181">
        <f>'Indexed REC Activities'!I7*'Indexed REC Calculator'!G14</f>
        <v>0</v>
      </c>
      <c r="H7" s="181">
        <f>'Indexed REC Activities'!J7*'Indexed REC Calculator'!H14</f>
        <v>0</v>
      </c>
      <c r="I7" s="181">
        <f>'Indexed REC Activities'!K7*'Indexed REC Calculator'!I14</f>
        <v>0</v>
      </c>
      <c r="J7" s="181">
        <f>'Indexed REC Activities'!L7*'Indexed REC Calculator'!J14</f>
        <v>0</v>
      </c>
      <c r="K7" s="181">
        <f>'Indexed REC Activities'!M7*'Indexed REC Calculator'!K14</f>
        <v>11654992.300000001</v>
      </c>
      <c r="L7" s="181">
        <f>'Indexed REC Activities'!N7*'Indexed REC Calculator'!L14</f>
        <v>10751278.524999997</v>
      </c>
      <c r="M7" s="181">
        <f>'Indexed REC Activities'!O7*'Indexed REC Calculator'!M14</f>
        <v>8848199.6500000022</v>
      </c>
      <c r="N7" s="181">
        <f>'Indexed REC Activities'!P7*'Indexed REC Calculator'!N14</f>
        <v>5672442.9500000002</v>
      </c>
      <c r="O7" s="181">
        <f>'Indexed REC Activities'!Q7*'Indexed REC Calculator'!O14</f>
        <v>2829556.049999997</v>
      </c>
      <c r="P7" s="181">
        <f>'Indexed REC Activities'!R7*'Indexed REC Calculator'!P14</f>
        <v>-1010192.1999999952</v>
      </c>
      <c r="Q7" s="181">
        <f>'Indexed REC Activities'!S7*'Indexed REC Calculator'!Q14</f>
        <v>-4814648.3250000039</v>
      </c>
      <c r="R7" s="181">
        <f>'Indexed REC Activities'!T7*'Indexed REC Calculator'!R14</f>
        <v>-8529076.1499999948</v>
      </c>
      <c r="S7" s="181">
        <f>'Indexed REC Activities'!U7*'Indexed REC Calculator'!S14</f>
        <v>-12242968.999999989</v>
      </c>
      <c r="T7" s="181">
        <f>'Indexed REC Activities'!V7*'Indexed REC Calculator'!T14</f>
        <v>-15821041.425000004</v>
      </c>
      <c r="U7" s="181">
        <f>'Indexed REC Activities'!W7*'Indexed REC Calculator'!U14</f>
        <v>-19253375.750000004</v>
      </c>
      <c r="V7" s="181">
        <f>'Indexed REC Activities'!X7*'Indexed REC Calculator'!V14</f>
        <v>-22789598.22499999</v>
      </c>
      <c r="W7" s="181">
        <f>'Indexed REC Activities'!Y7*'Indexed REC Calculator'!W14</f>
        <v>-26259708.074999999</v>
      </c>
      <c r="X7" s="181">
        <f>'Indexed REC Activities'!Z7*'Indexed REC Calculator'!X14</f>
        <v>-29853768.850000009</v>
      </c>
    </row>
    <row r="8" spans="1:24" ht="15.5" x14ac:dyDescent="0.35">
      <c r="A8" s="177" t="s">
        <v>87</v>
      </c>
      <c r="B8" s="11">
        <f t="shared" si="1"/>
        <v>2028</v>
      </c>
      <c r="C8" s="181">
        <f>'Indexed REC Activities'!E8*'Indexed REC Calculator'!C15</f>
        <v>0</v>
      </c>
      <c r="D8" s="181">
        <f>'Indexed REC Activities'!F8*'Indexed REC Calculator'!D15</f>
        <v>0</v>
      </c>
      <c r="E8" s="181">
        <f>'Indexed REC Activities'!G8*'Indexed REC Calculator'!E15</f>
        <v>0</v>
      </c>
      <c r="F8" s="181">
        <f>'Indexed REC Activities'!H8*'Indexed REC Calculator'!F15</f>
        <v>0</v>
      </c>
      <c r="G8" s="181">
        <f>'Indexed REC Activities'!I8*'Indexed REC Calculator'!G15</f>
        <v>0</v>
      </c>
      <c r="H8" s="181">
        <f>'Indexed REC Activities'!J8*'Indexed REC Calculator'!H15</f>
        <v>0</v>
      </c>
      <c r="I8" s="181">
        <f>'Indexed REC Activities'!K8*'Indexed REC Calculator'!I15</f>
        <v>0</v>
      </c>
      <c r="J8" s="181">
        <f>'Indexed REC Activities'!L8*'Indexed REC Calculator'!J15</f>
        <v>0</v>
      </c>
      <c r="K8" s="181">
        <f>'Indexed REC Activities'!M8*'Indexed REC Calculator'!K15</f>
        <v>0</v>
      </c>
      <c r="L8" s="181">
        <f>'Indexed REC Activities'!N8*'Indexed REC Calculator'!L15</f>
        <v>10751278.524999997</v>
      </c>
      <c r="M8" s="181">
        <f>'Indexed REC Activities'!O8*'Indexed REC Calculator'!M15</f>
        <v>8848199.6500000022</v>
      </c>
      <c r="N8" s="181">
        <f>'Indexed REC Activities'!P8*'Indexed REC Calculator'!N15</f>
        <v>5672442.9500000002</v>
      </c>
      <c r="O8" s="181">
        <f>'Indexed REC Activities'!Q8*'Indexed REC Calculator'!O15</f>
        <v>2829556.049999997</v>
      </c>
      <c r="P8" s="181">
        <f>'Indexed REC Activities'!R8*'Indexed REC Calculator'!P15</f>
        <v>-1010192.1999999952</v>
      </c>
      <c r="Q8" s="181">
        <f>'Indexed REC Activities'!S8*'Indexed REC Calculator'!Q15</f>
        <v>-4814648.3250000039</v>
      </c>
      <c r="R8" s="181">
        <f>'Indexed REC Activities'!T8*'Indexed REC Calculator'!R15</f>
        <v>-8529076.1499999948</v>
      </c>
      <c r="S8" s="181">
        <f>'Indexed REC Activities'!U8*'Indexed REC Calculator'!S15</f>
        <v>-12242968.999999989</v>
      </c>
      <c r="T8" s="181">
        <f>'Indexed REC Activities'!V8*'Indexed REC Calculator'!T15</f>
        <v>-15821041.425000004</v>
      </c>
      <c r="U8" s="181">
        <f>'Indexed REC Activities'!W8*'Indexed REC Calculator'!U15</f>
        <v>-19253375.750000004</v>
      </c>
      <c r="V8" s="181">
        <f>'Indexed REC Activities'!X8*'Indexed REC Calculator'!V15</f>
        <v>-22789598.22499999</v>
      </c>
      <c r="W8" s="181">
        <f>'Indexed REC Activities'!Y8*'Indexed REC Calculator'!W15</f>
        <v>-26259708.074999999</v>
      </c>
      <c r="X8" s="181">
        <f>'Indexed REC Activities'!Z8*'Indexed REC Calculator'!X15</f>
        <v>-29853768.850000009</v>
      </c>
    </row>
    <row r="9" spans="1:24" ht="15.5" x14ac:dyDescent="0.35">
      <c r="A9" s="177" t="s">
        <v>87</v>
      </c>
      <c r="B9" s="11">
        <f t="shared" si="1"/>
        <v>2029</v>
      </c>
      <c r="C9" s="181">
        <f>'Indexed REC Activities'!E9*'Indexed REC Calculator'!C16</f>
        <v>0</v>
      </c>
      <c r="D9" s="181">
        <f>'Indexed REC Activities'!F9*'Indexed REC Calculator'!D16</f>
        <v>0</v>
      </c>
      <c r="E9" s="181">
        <f>'Indexed REC Activities'!G9*'Indexed REC Calculator'!E16</f>
        <v>0</v>
      </c>
      <c r="F9" s="181">
        <f>'Indexed REC Activities'!H9*'Indexed REC Calculator'!F16</f>
        <v>0</v>
      </c>
      <c r="G9" s="181">
        <f>'Indexed REC Activities'!I9*'Indexed REC Calculator'!G16</f>
        <v>0</v>
      </c>
      <c r="H9" s="181">
        <f>'Indexed REC Activities'!J9*'Indexed REC Calculator'!H16</f>
        <v>0</v>
      </c>
      <c r="I9" s="181">
        <f>'Indexed REC Activities'!K9*'Indexed REC Calculator'!I16</f>
        <v>0</v>
      </c>
      <c r="J9" s="181">
        <f>'Indexed REC Activities'!L9*'Indexed REC Calculator'!J16</f>
        <v>0</v>
      </c>
      <c r="K9" s="181">
        <f>'Indexed REC Activities'!M9*'Indexed REC Calculator'!K16</f>
        <v>0</v>
      </c>
      <c r="L9" s="181">
        <f>'Indexed REC Activities'!N9*'Indexed REC Calculator'!L16</f>
        <v>0</v>
      </c>
      <c r="M9" s="181">
        <f>'Indexed REC Activities'!O9*'Indexed REC Calculator'!M16</f>
        <v>8848199.6500000022</v>
      </c>
      <c r="N9" s="181">
        <f>'Indexed REC Activities'!P9*'Indexed REC Calculator'!N16</f>
        <v>2268977.1800000002</v>
      </c>
      <c r="O9" s="181">
        <f>'Indexed REC Activities'!Q9*'Indexed REC Calculator'!O16</f>
        <v>1131822.419999999</v>
      </c>
      <c r="P9" s="181">
        <f>'Indexed REC Activities'!R9*'Indexed REC Calculator'!P16</f>
        <v>-404076.87999999808</v>
      </c>
      <c r="Q9" s="181">
        <f>'Indexed REC Activities'!S9*'Indexed REC Calculator'!Q16</f>
        <v>-1925859.3300000015</v>
      </c>
      <c r="R9" s="181">
        <f>'Indexed REC Activities'!T9*'Indexed REC Calculator'!R16</f>
        <v>-3411630.4599999976</v>
      </c>
      <c r="S9" s="181">
        <f>'Indexed REC Activities'!U9*'Indexed REC Calculator'!S16</f>
        <v>-4897187.599999995</v>
      </c>
      <c r="T9" s="181">
        <f>'Indexed REC Activities'!V9*'Indexed REC Calculator'!T16</f>
        <v>-6328416.5700000012</v>
      </c>
      <c r="U9" s="181">
        <f>'Indexed REC Activities'!W9*'Indexed REC Calculator'!U16</f>
        <v>-7701350.3000000017</v>
      </c>
      <c r="V9" s="181">
        <f>'Indexed REC Activities'!X9*'Indexed REC Calculator'!V16</f>
        <v>-9115839.2899999972</v>
      </c>
      <c r="W9" s="181">
        <f>'Indexed REC Activities'!Y9*'Indexed REC Calculator'!W16</f>
        <v>-10503883.23</v>
      </c>
      <c r="X9" s="181">
        <f>'Indexed REC Activities'!Z9*'Indexed REC Calculator'!X16</f>
        <v>-11941507.540000003</v>
      </c>
    </row>
    <row r="10" spans="1:24" ht="15.5" x14ac:dyDescent="0.35">
      <c r="A10" s="177" t="s">
        <v>87</v>
      </c>
      <c r="B10" s="11">
        <f t="shared" si="1"/>
        <v>2030</v>
      </c>
      <c r="C10" s="181">
        <f>'Indexed REC Activities'!E10*'Indexed REC Calculator'!C17</f>
        <v>0</v>
      </c>
      <c r="D10" s="181">
        <f>'Indexed REC Activities'!F10*'Indexed REC Calculator'!D17</f>
        <v>0</v>
      </c>
      <c r="E10" s="181">
        <f>'Indexed REC Activities'!G10*'Indexed REC Calculator'!E17</f>
        <v>0</v>
      </c>
      <c r="F10" s="181">
        <f>'Indexed REC Activities'!H10*'Indexed REC Calculator'!F17</f>
        <v>0</v>
      </c>
      <c r="G10" s="181">
        <f>'Indexed REC Activities'!I10*'Indexed REC Calculator'!G17</f>
        <v>0</v>
      </c>
      <c r="H10" s="181">
        <f>'Indexed REC Activities'!J10*'Indexed REC Calculator'!H17</f>
        <v>0</v>
      </c>
      <c r="I10" s="181">
        <f>'Indexed REC Activities'!K10*'Indexed REC Calculator'!I17</f>
        <v>0</v>
      </c>
      <c r="J10" s="181">
        <f>'Indexed REC Activities'!L10*'Indexed REC Calculator'!J17</f>
        <v>0</v>
      </c>
      <c r="K10" s="181">
        <f>'Indexed REC Activities'!M10*'Indexed REC Calculator'!K17</f>
        <v>0</v>
      </c>
      <c r="L10" s="181">
        <f>'Indexed REC Activities'!N10*'Indexed REC Calculator'!L17</f>
        <v>0</v>
      </c>
      <c r="M10" s="181">
        <f>'Indexed REC Activities'!O10*'Indexed REC Calculator'!M17</f>
        <v>0</v>
      </c>
      <c r="N10" s="181">
        <f>'Indexed REC Activities'!P10*'Indexed REC Calculator'!N17</f>
        <v>2268977.1800000002</v>
      </c>
      <c r="O10" s="181">
        <f>'Indexed REC Activities'!Q10*'Indexed REC Calculator'!O17</f>
        <v>1131822.419999999</v>
      </c>
      <c r="P10" s="181">
        <f>'Indexed REC Activities'!R10*'Indexed REC Calculator'!P17</f>
        <v>-404076.87999999808</v>
      </c>
      <c r="Q10" s="181">
        <f>'Indexed REC Activities'!S10*'Indexed REC Calculator'!Q17</f>
        <v>-1925859.3300000015</v>
      </c>
      <c r="R10" s="181">
        <f>'Indexed REC Activities'!T10*'Indexed REC Calculator'!R17</f>
        <v>-3411630.4599999976</v>
      </c>
      <c r="S10" s="181">
        <f>'Indexed REC Activities'!U10*'Indexed REC Calculator'!S17</f>
        <v>-4897187.599999995</v>
      </c>
      <c r="T10" s="181">
        <f>'Indexed REC Activities'!V10*'Indexed REC Calculator'!T17</f>
        <v>-6328416.5700000012</v>
      </c>
      <c r="U10" s="181">
        <f>'Indexed REC Activities'!W10*'Indexed REC Calculator'!U17</f>
        <v>-7701350.3000000017</v>
      </c>
      <c r="V10" s="181">
        <f>'Indexed REC Activities'!X10*'Indexed REC Calculator'!V17</f>
        <v>-9115839.2899999972</v>
      </c>
      <c r="W10" s="181">
        <f>'Indexed REC Activities'!Y10*'Indexed REC Calculator'!W17</f>
        <v>-10503883.23</v>
      </c>
      <c r="X10" s="181">
        <f>'Indexed REC Activities'!Z10*'Indexed REC Calculator'!X17</f>
        <v>-11941507.540000003</v>
      </c>
    </row>
    <row r="11" spans="1:24" ht="15.5" x14ac:dyDescent="0.35">
      <c r="A11" s="177" t="s">
        <v>87</v>
      </c>
      <c r="B11" s="11">
        <f t="shared" si="1"/>
        <v>2031</v>
      </c>
      <c r="C11" s="181">
        <f>'Indexed REC Activities'!E11*'Indexed REC Calculator'!C18</f>
        <v>0</v>
      </c>
      <c r="D11" s="181">
        <f>'Indexed REC Activities'!F11*'Indexed REC Calculator'!D18</f>
        <v>0</v>
      </c>
      <c r="E11" s="181">
        <f>'Indexed REC Activities'!G11*'Indexed REC Calculator'!E18</f>
        <v>0</v>
      </c>
      <c r="F11" s="181">
        <f>'Indexed REC Activities'!H11*'Indexed REC Calculator'!F18</f>
        <v>0</v>
      </c>
      <c r="G11" s="181">
        <f>'Indexed REC Activities'!I11*'Indexed REC Calculator'!G18</f>
        <v>0</v>
      </c>
      <c r="H11" s="181">
        <f>'Indexed REC Activities'!J11*'Indexed REC Calculator'!H18</f>
        <v>0</v>
      </c>
      <c r="I11" s="181">
        <f>'Indexed REC Activities'!K11*'Indexed REC Calculator'!I18</f>
        <v>0</v>
      </c>
      <c r="J11" s="181">
        <f>'Indexed REC Activities'!L11*'Indexed REC Calculator'!J18</f>
        <v>0</v>
      </c>
      <c r="K11" s="181">
        <f>'Indexed REC Activities'!M11*'Indexed REC Calculator'!K18</f>
        <v>0</v>
      </c>
      <c r="L11" s="181">
        <f>'Indexed REC Activities'!N11*'Indexed REC Calculator'!L18</f>
        <v>0</v>
      </c>
      <c r="M11" s="181">
        <f>'Indexed REC Activities'!O11*'Indexed REC Calculator'!M18</f>
        <v>0</v>
      </c>
      <c r="N11" s="181">
        <f>'Indexed REC Activities'!P11*'Indexed REC Calculator'!N18</f>
        <v>0</v>
      </c>
      <c r="O11" s="181">
        <f>'Indexed REC Activities'!Q11*'Indexed REC Calculator'!O18</f>
        <v>1131822.419999999</v>
      </c>
      <c r="P11" s="181">
        <f>'Indexed REC Activities'!R11*'Indexed REC Calculator'!P18</f>
        <v>-1010192.1999999952</v>
      </c>
      <c r="Q11" s="181">
        <f>'Indexed REC Activities'!S11*'Indexed REC Calculator'!Q18</f>
        <v>-1925859.3300000015</v>
      </c>
      <c r="R11" s="181">
        <f>'Indexed REC Activities'!T11*'Indexed REC Calculator'!R18</f>
        <v>-3411630.4599999976</v>
      </c>
      <c r="S11" s="181">
        <f>'Indexed REC Activities'!U11*'Indexed REC Calculator'!S18</f>
        <v>-4897187.599999995</v>
      </c>
      <c r="T11" s="181">
        <f>'Indexed REC Activities'!V11*'Indexed REC Calculator'!T18</f>
        <v>-6328416.5700000012</v>
      </c>
      <c r="U11" s="181">
        <f>'Indexed REC Activities'!W11*'Indexed REC Calculator'!U18</f>
        <v>-7701350.3000000017</v>
      </c>
      <c r="V11" s="181">
        <f>'Indexed REC Activities'!X11*'Indexed REC Calculator'!V18</f>
        <v>-9115839.2899999972</v>
      </c>
      <c r="W11" s="181">
        <f>'Indexed REC Activities'!Y11*'Indexed REC Calculator'!W18</f>
        <v>-10503883.23</v>
      </c>
      <c r="X11" s="181">
        <f>'Indexed REC Activities'!Z11*'Indexed REC Calculator'!X18</f>
        <v>-11941507.540000003</v>
      </c>
    </row>
    <row r="12" spans="1:24" ht="15.5" x14ac:dyDescent="0.35">
      <c r="A12" s="177" t="s">
        <v>87</v>
      </c>
      <c r="B12" s="11">
        <f t="shared" si="1"/>
        <v>2032</v>
      </c>
      <c r="C12" s="181">
        <f>'Indexed REC Activities'!E12*'Indexed REC Calculator'!C19</f>
        <v>0</v>
      </c>
      <c r="D12" s="181">
        <f>'Indexed REC Activities'!F12*'Indexed REC Calculator'!D19</f>
        <v>0</v>
      </c>
      <c r="E12" s="181">
        <f>'Indexed REC Activities'!G12*'Indexed REC Calculator'!E19</f>
        <v>0</v>
      </c>
      <c r="F12" s="181">
        <f>'Indexed REC Activities'!H12*'Indexed REC Calculator'!F19</f>
        <v>0</v>
      </c>
      <c r="G12" s="181">
        <f>'Indexed REC Activities'!I12*'Indexed REC Calculator'!G19</f>
        <v>0</v>
      </c>
      <c r="H12" s="181">
        <f>'Indexed REC Activities'!J12*'Indexed REC Calculator'!H19</f>
        <v>0</v>
      </c>
      <c r="I12" s="181">
        <f>'Indexed REC Activities'!K12*'Indexed REC Calculator'!I19</f>
        <v>0</v>
      </c>
      <c r="J12" s="181">
        <f>'Indexed REC Activities'!L12*'Indexed REC Calculator'!J19</f>
        <v>0</v>
      </c>
      <c r="K12" s="181">
        <f>'Indexed REC Activities'!M12*'Indexed REC Calculator'!K19</f>
        <v>0</v>
      </c>
      <c r="L12" s="181">
        <f>'Indexed REC Activities'!N12*'Indexed REC Calculator'!L19</f>
        <v>0</v>
      </c>
      <c r="M12" s="181">
        <f>'Indexed REC Activities'!O12*'Indexed REC Calculator'!M19</f>
        <v>0</v>
      </c>
      <c r="N12" s="181">
        <f>'Indexed REC Activities'!P12*'Indexed REC Calculator'!N19</f>
        <v>0</v>
      </c>
      <c r="O12" s="181">
        <f>'Indexed REC Activities'!Q12*'Indexed REC Calculator'!O19</f>
        <v>0</v>
      </c>
      <c r="P12" s="181">
        <f>'Indexed REC Activities'!R12*'Indexed REC Calculator'!P19</f>
        <v>-404076.87999999808</v>
      </c>
      <c r="Q12" s="181">
        <f>'Indexed REC Activities'!S12*'Indexed REC Calculator'!Q19</f>
        <v>-1925859.3300000015</v>
      </c>
      <c r="R12" s="181">
        <f>'Indexed REC Activities'!T12*'Indexed REC Calculator'!R19</f>
        <v>-3411630.4599999976</v>
      </c>
      <c r="S12" s="181">
        <f>'Indexed REC Activities'!U12*'Indexed REC Calculator'!S19</f>
        <v>-4897187.599999995</v>
      </c>
      <c r="T12" s="181">
        <f>'Indexed REC Activities'!V12*'Indexed REC Calculator'!T19</f>
        <v>-6328416.5700000012</v>
      </c>
      <c r="U12" s="181">
        <f>'Indexed REC Activities'!W12*'Indexed REC Calculator'!U19</f>
        <v>-7701350.3000000017</v>
      </c>
      <c r="V12" s="181">
        <f>'Indexed REC Activities'!X12*'Indexed REC Calculator'!V19</f>
        <v>-22789598.22499999</v>
      </c>
      <c r="W12" s="181">
        <f>'Indexed REC Activities'!Y12*'Indexed REC Calculator'!W19</f>
        <v>-10503883.23</v>
      </c>
      <c r="X12" s="181">
        <f>'Indexed REC Activities'!Z12*'Indexed REC Calculator'!X19</f>
        <v>-11941507.540000003</v>
      </c>
    </row>
    <row r="13" spans="1:24" ht="15.5" x14ac:dyDescent="0.35">
      <c r="A13" s="177" t="s">
        <v>87</v>
      </c>
      <c r="B13" s="11">
        <f t="shared" si="1"/>
        <v>2033</v>
      </c>
      <c r="C13" s="181">
        <f>'Indexed REC Activities'!E13*'Indexed REC Calculator'!C20</f>
        <v>0</v>
      </c>
      <c r="D13" s="181">
        <f>'Indexed REC Activities'!F13*'Indexed REC Calculator'!D20</f>
        <v>0</v>
      </c>
      <c r="E13" s="181">
        <f>'Indexed REC Activities'!G13*'Indexed REC Calculator'!E20</f>
        <v>0</v>
      </c>
      <c r="F13" s="181">
        <f>'Indexed REC Activities'!H13*'Indexed REC Calculator'!F20</f>
        <v>0</v>
      </c>
      <c r="G13" s="181">
        <f>'Indexed REC Activities'!I13*'Indexed REC Calculator'!G20</f>
        <v>0</v>
      </c>
      <c r="H13" s="181">
        <f>'Indexed REC Activities'!J13*'Indexed REC Calculator'!H20</f>
        <v>0</v>
      </c>
      <c r="I13" s="181">
        <f>'Indexed REC Activities'!K13*'Indexed REC Calculator'!I20</f>
        <v>0</v>
      </c>
      <c r="J13" s="181">
        <f>'Indexed REC Activities'!L13*'Indexed REC Calculator'!J20</f>
        <v>0</v>
      </c>
      <c r="K13" s="181">
        <f>'Indexed REC Activities'!M13*'Indexed REC Calculator'!K20</f>
        <v>0</v>
      </c>
      <c r="L13" s="181">
        <f>'Indexed REC Activities'!N13*'Indexed REC Calculator'!L20</f>
        <v>0</v>
      </c>
      <c r="M13" s="181">
        <f>'Indexed REC Activities'!O13*'Indexed REC Calculator'!M20</f>
        <v>0</v>
      </c>
      <c r="N13" s="181">
        <f>'Indexed REC Activities'!P13*'Indexed REC Calculator'!N20</f>
        <v>0</v>
      </c>
      <c r="O13" s="181">
        <f>'Indexed REC Activities'!Q13*'Indexed REC Calculator'!O20</f>
        <v>0</v>
      </c>
      <c r="P13" s="181">
        <f>'Indexed REC Activities'!R13*'Indexed REC Calculator'!P20</f>
        <v>0</v>
      </c>
      <c r="Q13" s="181">
        <f>'Indexed REC Activities'!S13*'Indexed REC Calculator'!Q20</f>
        <v>-1925859.3300000015</v>
      </c>
      <c r="R13" s="181">
        <f>'Indexed REC Activities'!T13*'Indexed REC Calculator'!R20</f>
        <v>-3411630.4599999976</v>
      </c>
      <c r="S13" s="181">
        <f>'Indexed REC Activities'!U13*'Indexed REC Calculator'!S20</f>
        <v>-4897187.599999995</v>
      </c>
      <c r="T13" s="181">
        <f>'Indexed REC Activities'!V13*'Indexed REC Calculator'!T20</f>
        <v>-6328416.5700000012</v>
      </c>
      <c r="U13" s="181">
        <f>'Indexed REC Activities'!W13*'Indexed REC Calculator'!U20</f>
        <v>-7701350.3000000017</v>
      </c>
      <c r="V13" s="181">
        <f>'Indexed REC Activities'!X13*'Indexed REC Calculator'!V20</f>
        <v>-9115839.2899999972</v>
      </c>
      <c r="W13" s="181">
        <f>'Indexed REC Activities'!Y13*'Indexed REC Calculator'!W20</f>
        <v>-10503883.23</v>
      </c>
      <c r="X13" s="181">
        <f>'Indexed REC Activities'!Z13*'Indexed REC Calculator'!X20</f>
        <v>-11941507.540000003</v>
      </c>
    </row>
    <row r="14" spans="1:24" ht="15.5" x14ac:dyDescent="0.35">
      <c r="A14" s="177" t="s">
        <v>87</v>
      </c>
      <c r="B14" s="11">
        <f t="shared" si="1"/>
        <v>2034</v>
      </c>
      <c r="C14" s="181">
        <f>'Indexed REC Activities'!E14*'Indexed REC Calculator'!C21</f>
        <v>0</v>
      </c>
      <c r="D14" s="181">
        <f>'Indexed REC Activities'!F14*'Indexed REC Calculator'!D21</f>
        <v>0</v>
      </c>
      <c r="E14" s="181">
        <f>'Indexed REC Activities'!G14*'Indexed REC Calculator'!E21</f>
        <v>0</v>
      </c>
      <c r="F14" s="181">
        <f>'Indexed REC Activities'!H14*'Indexed REC Calculator'!F21</f>
        <v>0</v>
      </c>
      <c r="G14" s="181">
        <f>'Indexed REC Activities'!I14*'Indexed REC Calculator'!G21</f>
        <v>0</v>
      </c>
      <c r="H14" s="181">
        <f>'Indexed REC Activities'!J14*'Indexed REC Calculator'!H21</f>
        <v>0</v>
      </c>
      <c r="I14" s="181">
        <f>'Indexed REC Activities'!K14*'Indexed REC Calculator'!I21</f>
        <v>0</v>
      </c>
      <c r="J14" s="181">
        <f>'Indexed REC Activities'!L14*'Indexed REC Calculator'!J21</f>
        <v>0</v>
      </c>
      <c r="K14" s="181">
        <f>'Indexed REC Activities'!M14*'Indexed REC Calculator'!K21</f>
        <v>0</v>
      </c>
      <c r="L14" s="181">
        <f>'Indexed REC Activities'!N14*'Indexed REC Calculator'!L21</f>
        <v>0</v>
      </c>
      <c r="M14" s="181">
        <f>'Indexed REC Activities'!O14*'Indexed REC Calculator'!M21</f>
        <v>0</v>
      </c>
      <c r="N14" s="181">
        <f>'Indexed REC Activities'!P14*'Indexed REC Calculator'!N21</f>
        <v>0</v>
      </c>
      <c r="O14" s="181">
        <f>'Indexed REC Activities'!Q14*'Indexed REC Calculator'!O21</f>
        <v>0</v>
      </c>
      <c r="P14" s="181">
        <f>'Indexed REC Activities'!R14*'Indexed REC Calculator'!P21</f>
        <v>0</v>
      </c>
      <c r="Q14" s="181">
        <f>'Indexed REC Activities'!S14*'Indexed REC Calculator'!Q21</f>
        <v>0</v>
      </c>
      <c r="R14" s="181">
        <f>'Indexed REC Activities'!T14*'Indexed REC Calculator'!R21</f>
        <v>-3411630.4599999976</v>
      </c>
      <c r="S14" s="181">
        <f>'Indexed REC Activities'!U14*'Indexed REC Calculator'!S21</f>
        <v>-4897187.599999995</v>
      </c>
      <c r="T14" s="181">
        <f>'Indexed REC Activities'!V14*'Indexed REC Calculator'!T21</f>
        <v>-6328416.5700000012</v>
      </c>
      <c r="U14" s="181">
        <f>'Indexed REC Activities'!W14*'Indexed REC Calculator'!U21</f>
        <v>-7701350.3000000017</v>
      </c>
      <c r="V14" s="181">
        <f>'Indexed REC Activities'!X14*'Indexed REC Calculator'!V21</f>
        <v>-9115839.2899999972</v>
      </c>
      <c r="W14" s="181">
        <f>'Indexed REC Activities'!Y14*'Indexed REC Calculator'!W21</f>
        <v>-10503883.23</v>
      </c>
      <c r="X14" s="181">
        <f>'Indexed REC Activities'!Z14*'Indexed REC Calculator'!X21</f>
        <v>-11941507.540000003</v>
      </c>
    </row>
    <row r="15" spans="1:24" ht="15.5" x14ac:dyDescent="0.35">
      <c r="A15" s="177" t="s">
        <v>87</v>
      </c>
      <c r="B15" s="11">
        <f t="shared" si="1"/>
        <v>2035</v>
      </c>
      <c r="C15" s="181">
        <f>'Indexed REC Activities'!E15*'Indexed REC Calculator'!C22</f>
        <v>0</v>
      </c>
      <c r="D15" s="181">
        <f>'Indexed REC Activities'!F15*'Indexed REC Calculator'!D22</f>
        <v>0</v>
      </c>
      <c r="E15" s="181">
        <f>'Indexed REC Activities'!G15*'Indexed REC Calculator'!E22</f>
        <v>0</v>
      </c>
      <c r="F15" s="181">
        <f>'Indexed REC Activities'!H15*'Indexed REC Calculator'!F22</f>
        <v>0</v>
      </c>
      <c r="G15" s="181">
        <f>'Indexed REC Activities'!I15*'Indexed REC Calculator'!G22</f>
        <v>0</v>
      </c>
      <c r="H15" s="181">
        <f>'Indexed REC Activities'!J15*'Indexed REC Calculator'!H22</f>
        <v>0</v>
      </c>
      <c r="I15" s="181">
        <f>'Indexed REC Activities'!K15*'Indexed REC Calculator'!I22</f>
        <v>0</v>
      </c>
      <c r="J15" s="181">
        <f>'Indexed REC Activities'!L15*'Indexed REC Calculator'!J22</f>
        <v>0</v>
      </c>
      <c r="K15" s="181">
        <f>'Indexed REC Activities'!M15*'Indexed REC Calculator'!K22</f>
        <v>0</v>
      </c>
      <c r="L15" s="181">
        <f>'Indexed REC Activities'!N15*'Indexed REC Calculator'!L22</f>
        <v>0</v>
      </c>
      <c r="M15" s="181">
        <f>'Indexed REC Activities'!O15*'Indexed REC Calculator'!M22</f>
        <v>0</v>
      </c>
      <c r="N15" s="181">
        <f>'Indexed REC Activities'!P15*'Indexed REC Calculator'!N22</f>
        <v>0</v>
      </c>
      <c r="O15" s="181">
        <f>'Indexed REC Activities'!Q15*'Indexed REC Calculator'!O22</f>
        <v>0</v>
      </c>
      <c r="P15" s="181">
        <f>'Indexed REC Activities'!R15*'Indexed REC Calculator'!P22</f>
        <v>0</v>
      </c>
      <c r="Q15" s="181">
        <f>'Indexed REC Activities'!S15*'Indexed REC Calculator'!Q22</f>
        <v>0</v>
      </c>
      <c r="R15" s="181">
        <f>'Indexed REC Activities'!T15*'Indexed REC Calculator'!R22</f>
        <v>0</v>
      </c>
      <c r="S15" s="181">
        <f>'Indexed REC Activities'!U15*'Indexed REC Calculator'!S22</f>
        <v>-4897187.599999995</v>
      </c>
      <c r="T15" s="181">
        <f>'Indexed REC Activities'!V15*'Indexed REC Calculator'!T22</f>
        <v>-6328416.5700000012</v>
      </c>
      <c r="U15" s="181">
        <f>'Indexed REC Activities'!W15*'Indexed REC Calculator'!U22</f>
        <v>-7701350.3000000017</v>
      </c>
      <c r="V15" s="181">
        <f>'Indexed REC Activities'!X15*'Indexed REC Calculator'!V22</f>
        <v>-9115839.2899999972</v>
      </c>
      <c r="W15" s="181">
        <f>'Indexed REC Activities'!Y15*'Indexed REC Calculator'!W22</f>
        <v>-10503883.23</v>
      </c>
      <c r="X15" s="181">
        <f>'Indexed REC Activities'!Z15*'Indexed REC Calculator'!X22</f>
        <v>-11941507.540000003</v>
      </c>
    </row>
    <row r="16" spans="1:24" ht="15.5" x14ac:dyDescent="0.35">
      <c r="A16" s="177" t="s">
        <v>87</v>
      </c>
      <c r="B16" s="11">
        <f t="shared" si="1"/>
        <v>2036</v>
      </c>
      <c r="C16" s="181">
        <f>'Indexed REC Activities'!E16*'Indexed REC Calculator'!C23</f>
        <v>0</v>
      </c>
      <c r="D16" s="181">
        <f>'Indexed REC Activities'!F16*'Indexed REC Calculator'!D23</f>
        <v>0</v>
      </c>
      <c r="E16" s="181">
        <f>'Indexed REC Activities'!G16*'Indexed REC Calculator'!E23</f>
        <v>0</v>
      </c>
      <c r="F16" s="181">
        <f>'Indexed REC Activities'!H16*'Indexed REC Calculator'!F23</f>
        <v>0</v>
      </c>
      <c r="G16" s="181">
        <f>'Indexed REC Activities'!I16*'Indexed REC Calculator'!G23</f>
        <v>0</v>
      </c>
      <c r="H16" s="181">
        <f>'Indexed REC Activities'!J16*'Indexed REC Calculator'!H23</f>
        <v>0</v>
      </c>
      <c r="I16" s="181">
        <f>'Indexed REC Activities'!K16*'Indexed REC Calculator'!I23</f>
        <v>0</v>
      </c>
      <c r="J16" s="181">
        <f>'Indexed REC Activities'!L16*'Indexed REC Calculator'!J23</f>
        <v>0</v>
      </c>
      <c r="K16" s="181">
        <f>'Indexed REC Activities'!M16*'Indexed REC Calculator'!K23</f>
        <v>0</v>
      </c>
      <c r="L16" s="181">
        <f>'Indexed REC Activities'!N16*'Indexed REC Calculator'!L23</f>
        <v>0</v>
      </c>
      <c r="M16" s="181">
        <f>'Indexed REC Activities'!O16*'Indexed REC Calculator'!M23</f>
        <v>0</v>
      </c>
      <c r="N16" s="181">
        <f>'Indexed REC Activities'!P16*'Indexed REC Calculator'!N23</f>
        <v>0</v>
      </c>
      <c r="O16" s="181">
        <f>'Indexed REC Activities'!Q16*'Indexed REC Calculator'!O23</f>
        <v>0</v>
      </c>
      <c r="P16" s="181">
        <f>'Indexed REC Activities'!R16*'Indexed REC Calculator'!P23</f>
        <v>0</v>
      </c>
      <c r="Q16" s="181">
        <f>'Indexed REC Activities'!S16*'Indexed REC Calculator'!Q23</f>
        <v>0</v>
      </c>
      <c r="R16" s="181">
        <f>'Indexed REC Activities'!T16*'Indexed REC Calculator'!R23</f>
        <v>0</v>
      </c>
      <c r="S16" s="181">
        <f>'Indexed REC Activities'!U16*'Indexed REC Calculator'!S23</f>
        <v>0</v>
      </c>
      <c r="T16" s="181">
        <f>'Indexed REC Activities'!V16*'Indexed REC Calculator'!T23</f>
        <v>-6328416.5700000012</v>
      </c>
      <c r="U16" s="181">
        <f>'Indexed REC Activities'!W16*'Indexed REC Calculator'!U23</f>
        <v>-7701350.3000000017</v>
      </c>
      <c r="V16" s="181">
        <f>'Indexed REC Activities'!X16*'Indexed REC Calculator'!V23</f>
        <v>-9115839.2899999972</v>
      </c>
      <c r="W16" s="181">
        <f>'Indexed REC Activities'!Y16*'Indexed REC Calculator'!W23</f>
        <v>-10503883.23</v>
      </c>
      <c r="X16" s="181">
        <f>'Indexed REC Activities'!Z16*'Indexed REC Calculator'!X23</f>
        <v>-11941507.540000003</v>
      </c>
    </row>
    <row r="17" spans="1:24" ht="15.5" x14ac:dyDescent="0.35">
      <c r="A17" s="177" t="s">
        <v>87</v>
      </c>
      <c r="B17" s="11">
        <f t="shared" si="1"/>
        <v>2037</v>
      </c>
      <c r="C17" s="181">
        <f>'Indexed REC Activities'!E17*'Indexed REC Calculator'!C24</f>
        <v>0</v>
      </c>
      <c r="D17" s="181">
        <f>'Indexed REC Activities'!F17*'Indexed REC Calculator'!D24</f>
        <v>0</v>
      </c>
      <c r="E17" s="181">
        <f>'Indexed REC Activities'!G17*'Indexed REC Calculator'!E24</f>
        <v>0</v>
      </c>
      <c r="F17" s="181">
        <f>'Indexed REC Activities'!H17*'Indexed REC Calculator'!F24</f>
        <v>0</v>
      </c>
      <c r="G17" s="181">
        <f>'Indexed REC Activities'!I17*'Indexed REC Calculator'!G24</f>
        <v>0</v>
      </c>
      <c r="H17" s="181">
        <f>'Indexed REC Activities'!J17*'Indexed REC Calculator'!H24</f>
        <v>0</v>
      </c>
      <c r="I17" s="181">
        <f>'Indexed REC Activities'!K17*'Indexed REC Calculator'!I24</f>
        <v>0</v>
      </c>
      <c r="J17" s="181">
        <f>'Indexed REC Activities'!L17*'Indexed REC Calculator'!J24</f>
        <v>0</v>
      </c>
      <c r="K17" s="181">
        <f>'Indexed REC Activities'!M17*'Indexed REC Calculator'!K24</f>
        <v>0</v>
      </c>
      <c r="L17" s="181">
        <f>'Indexed REC Activities'!N17*'Indexed REC Calculator'!L24</f>
        <v>0</v>
      </c>
      <c r="M17" s="181">
        <f>'Indexed REC Activities'!O17*'Indexed REC Calculator'!M24</f>
        <v>0</v>
      </c>
      <c r="N17" s="181">
        <f>'Indexed REC Activities'!P17*'Indexed REC Calculator'!N24</f>
        <v>0</v>
      </c>
      <c r="O17" s="181">
        <f>'Indexed REC Activities'!Q17*'Indexed REC Calculator'!O24</f>
        <v>0</v>
      </c>
      <c r="P17" s="181">
        <f>'Indexed REC Activities'!R17*'Indexed REC Calculator'!P24</f>
        <v>0</v>
      </c>
      <c r="Q17" s="181">
        <f>'Indexed REC Activities'!S17*'Indexed REC Calculator'!Q24</f>
        <v>0</v>
      </c>
      <c r="R17" s="181">
        <f>'Indexed REC Activities'!T17*'Indexed REC Calculator'!R24</f>
        <v>0</v>
      </c>
      <c r="S17" s="181">
        <f>'Indexed REC Activities'!U17*'Indexed REC Calculator'!S24</f>
        <v>0</v>
      </c>
      <c r="T17" s="181">
        <f>'Indexed REC Activities'!V17*'Indexed REC Calculator'!T24</f>
        <v>0</v>
      </c>
      <c r="U17" s="181">
        <f>'Indexed REC Activities'!W17*'Indexed REC Calculator'!U24</f>
        <v>-7701350.3000000017</v>
      </c>
      <c r="V17" s="181">
        <f>'Indexed REC Activities'!X17*'Indexed REC Calculator'!V24</f>
        <v>-9115839.2899999972</v>
      </c>
      <c r="W17" s="181">
        <f>'Indexed REC Activities'!Y17*'Indexed REC Calculator'!W24</f>
        <v>-10503883.23</v>
      </c>
      <c r="X17" s="181">
        <f>'Indexed REC Activities'!Z17*'Indexed REC Calculator'!X24</f>
        <v>-11941507.540000003</v>
      </c>
    </row>
    <row r="18" spans="1:24" ht="15.5" x14ac:dyDescent="0.35">
      <c r="A18" s="177" t="s">
        <v>87</v>
      </c>
      <c r="B18" s="11">
        <f t="shared" si="1"/>
        <v>2038</v>
      </c>
      <c r="C18" s="181">
        <f>'Indexed REC Activities'!E18*'Indexed REC Calculator'!C25</f>
        <v>0</v>
      </c>
      <c r="D18" s="181">
        <f>'Indexed REC Activities'!F18*'Indexed REC Calculator'!D25</f>
        <v>0</v>
      </c>
      <c r="E18" s="181">
        <f>'Indexed REC Activities'!G18*'Indexed REC Calculator'!E25</f>
        <v>0</v>
      </c>
      <c r="F18" s="181">
        <f>'Indexed REC Activities'!H18*'Indexed REC Calculator'!F25</f>
        <v>0</v>
      </c>
      <c r="G18" s="181">
        <f>'Indexed REC Activities'!I18*'Indexed REC Calculator'!G25</f>
        <v>0</v>
      </c>
      <c r="H18" s="181">
        <f>'Indexed REC Activities'!J18*'Indexed REC Calculator'!H25</f>
        <v>0</v>
      </c>
      <c r="I18" s="181">
        <f>'Indexed REC Activities'!K18*'Indexed REC Calculator'!I25</f>
        <v>0</v>
      </c>
      <c r="J18" s="181">
        <f>'Indexed REC Activities'!L18*'Indexed REC Calculator'!J25</f>
        <v>0</v>
      </c>
      <c r="K18" s="181">
        <f>'Indexed REC Activities'!M18*'Indexed REC Calculator'!K25</f>
        <v>0</v>
      </c>
      <c r="L18" s="181">
        <f>'Indexed REC Activities'!N18*'Indexed REC Calculator'!L25</f>
        <v>0</v>
      </c>
      <c r="M18" s="181">
        <f>'Indexed REC Activities'!O18*'Indexed REC Calculator'!M25</f>
        <v>0</v>
      </c>
      <c r="N18" s="181">
        <f>'Indexed REC Activities'!P18*'Indexed REC Calculator'!N25</f>
        <v>0</v>
      </c>
      <c r="O18" s="181">
        <f>'Indexed REC Activities'!Q18*'Indexed REC Calculator'!O25</f>
        <v>0</v>
      </c>
      <c r="P18" s="181">
        <f>'Indexed REC Activities'!R18*'Indexed REC Calculator'!P25</f>
        <v>0</v>
      </c>
      <c r="Q18" s="181">
        <f>'Indexed REC Activities'!S18*'Indexed REC Calculator'!Q25</f>
        <v>0</v>
      </c>
      <c r="R18" s="181">
        <f>'Indexed REC Activities'!T18*'Indexed REC Calculator'!R25</f>
        <v>0</v>
      </c>
      <c r="S18" s="181">
        <f>'Indexed REC Activities'!U18*'Indexed REC Calculator'!S25</f>
        <v>0</v>
      </c>
      <c r="T18" s="181">
        <f>'Indexed REC Activities'!V18*'Indexed REC Calculator'!T25</f>
        <v>0</v>
      </c>
      <c r="U18" s="181">
        <f>'Indexed REC Activities'!W18*'Indexed REC Calculator'!U25</f>
        <v>0</v>
      </c>
      <c r="V18" s="181">
        <f>'Indexed REC Activities'!X18*'Indexed REC Calculator'!V25</f>
        <v>-9115839.2899999972</v>
      </c>
      <c r="W18" s="181">
        <f>'Indexed REC Activities'!Y18*'Indexed REC Calculator'!W25</f>
        <v>-10503883.23</v>
      </c>
      <c r="X18" s="181">
        <f>'Indexed REC Activities'!Z18*'Indexed REC Calculator'!X25</f>
        <v>-11941507.540000003</v>
      </c>
    </row>
    <row r="19" spans="1:24" ht="15.5" x14ac:dyDescent="0.35">
      <c r="A19" s="177" t="s">
        <v>87</v>
      </c>
      <c r="B19" s="11">
        <f t="shared" si="1"/>
        <v>2039</v>
      </c>
      <c r="C19" s="181">
        <f>'Indexed REC Activities'!E19*'Indexed REC Calculator'!C26</f>
        <v>0</v>
      </c>
      <c r="D19" s="181">
        <f>'Indexed REC Activities'!F19*'Indexed REC Calculator'!D26</f>
        <v>0</v>
      </c>
      <c r="E19" s="181">
        <f>'Indexed REC Activities'!G19*'Indexed REC Calculator'!E26</f>
        <v>0</v>
      </c>
      <c r="F19" s="181">
        <f>'Indexed REC Activities'!H19*'Indexed REC Calculator'!F26</f>
        <v>0</v>
      </c>
      <c r="G19" s="181">
        <f>'Indexed REC Activities'!I19*'Indexed REC Calculator'!G26</f>
        <v>0</v>
      </c>
      <c r="H19" s="181">
        <f>'Indexed REC Activities'!J19*'Indexed REC Calculator'!H26</f>
        <v>0</v>
      </c>
      <c r="I19" s="181">
        <f>'Indexed REC Activities'!K19*'Indexed REC Calculator'!I26</f>
        <v>0</v>
      </c>
      <c r="J19" s="181">
        <f>'Indexed REC Activities'!L19*'Indexed REC Calculator'!J26</f>
        <v>0</v>
      </c>
      <c r="K19" s="181">
        <f>'Indexed REC Activities'!M19*'Indexed REC Calculator'!K26</f>
        <v>0</v>
      </c>
      <c r="L19" s="181">
        <f>'Indexed REC Activities'!N19*'Indexed REC Calculator'!L26</f>
        <v>0</v>
      </c>
      <c r="M19" s="181">
        <f>'Indexed REC Activities'!O19*'Indexed REC Calculator'!M26</f>
        <v>0</v>
      </c>
      <c r="N19" s="181">
        <f>'Indexed REC Activities'!P19*'Indexed REC Calculator'!N26</f>
        <v>0</v>
      </c>
      <c r="O19" s="181">
        <f>'Indexed REC Activities'!Q19*'Indexed REC Calculator'!O26</f>
        <v>0</v>
      </c>
      <c r="P19" s="181">
        <f>'Indexed REC Activities'!R19*'Indexed REC Calculator'!P26</f>
        <v>0</v>
      </c>
      <c r="Q19" s="181">
        <f>'Indexed REC Activities'!S19*'Indexed REC Calculator'!Q26</f>
        <v>0</v>
      </c>
      <c r="R19" s="181">
        <f>'Indexed REC Activities'!T19*'Indexed REC Calculator'!R26</f>
        <v>0</v>
      </c>
      <c r="S19" s="181">
        <f>'Indexed REC Activities'!U19*'Indexed REC Calculator'!S26</f>
        <v>0</v>
      </c>
      <c r="T19" s="181">
        <f>'Indexed REC Activities'!V19*'Indexed REC Calculator'!T26</f>
        <v>0</v>
      </c>
      <c r="U19" s="181">
        <f>'Indexed REC Activities'!W19*'Indexed REC Calculator'!U26</f>
        <v>0</v>
      </c>
      <c r="V19" s="181">
        <f>'Indexed REC Activities'!X19*'Indexed REC Calculator'!V26</f>
        <v>0</v>
      </c>
      <c r="W19" s="181">
        <f>'Indexed REC Activities'!Y19*'Indexed REC Calculator'!W26</f>
        <v>-10503883.23</v>
      </c>
      <c r="X19" s="181">
        <f>'Indexed REC Activities'!Z19*'Indexed REC Calculator'!X26</f>
        <v>-11941507.540000003</v>
      </c>
    </row>
    <row r="20" spans="1:24" ht="15.5" x14ac:dyDescent="0.35">
      <c r="A20" s="177" t="s">
        <v>87</v>
      </c>
      <c r="B20" s="11">
        <f t="shared" si="1"/>
        <v>2040</v>
      </c>
      <c r="C20" s="181">
        <f>'Indexed REC Activities'!E20*'Indexed REC Calculator'!C27</f>
        <v>0</v>
      </c>
      <c r="D20" s="181">
        <f>'Indexed REC Activities'!F20*'Indexed REC Calculator'!D27</f>
        <v>0</v>
      </c>
      <c r="E20" s="181">
        <f>'Indexed REC Activities'!G20*'Indexed REC Calculator'!E27</f>
        <v>0</v>
      </c>
      <c r="F20" s="181">
        <f>'Indexed REC Activities'!H20*'Indexed REC Calculator'!F27</f>
        <v>0</v>
      </c>
      <c r="G20" s="181">
        <f>'Indexed REC Activities'!I20*'Indexed REC Calculator'!G27</f>
        <v>0</v>
      </c>
      <c r="H20" s="181">
        <f>'Indexed REC Activities'!J20*'Indexed REC Calculator'!H27</f>
        <v>0</v>
      </c>
      <c r="I20" s="181">
        <f>'Indexed REC Activities'!K20*'Indexed REC Calculator'!I27</f>
        <v>0</v>
      </c>
      <c r="J20" s="181">
        <f>'Indexed REC Activities'!L20*'Indexed REC Calculator'!J27</f>
        <v>0</v>
      </c>
      <c r="K20" s="181">
        <f>'Indexed REC Activities'!M20*'Indexed REC Calculator'!K27</f>
        <v>0</v>
      </c>
      <c r="L20" s="181">
        <f>'Indexed REC Activities'!N20*'Indexed REC Calculator'!L27</f>
        <v>0</v>
      </c>
      <c r="M20" s="181">
        <f>'Indexed REC Activities'!O20*'Indexed REC Calculator'!M27</f>
        <v>0</v>
      </c>
      <c r="N20" s="181">
        <f>'Indexed REC Activities'!P20*'Indexed REC Calculator'!N27</f>
        <v>0</v>
      </c>
      <c r="O20" s="181">
        <f>'Indexed REC Activities'!Q20*'Indexed REC Calculator'!O27</f>
        <v>0</v>
      </c>
      <c r="P20" s="181">
        <f>'Indexed REC Activities'!R20*'Indexed REC Calculator'!P27</f>
        <v>0</v>
      </c>
      <c r="Q20" s="181">
        <f>'Indexed REC Activities'!S20*'Indexed REC Calculator'!Q27</f>
        <v>0</v>
      </c>
      <c r="R20" s="181">
        <f>'Indexed REC Activities'!T20*'Indexed REC Calculator'!R27</f>
        <v>0</v>
      </c>
      <c r="S20" s="181">
        <f>'Indexed REC Activities'!U20*'Indexed REC Calculator'!S27</f>
        <v>0</v>
      </c>
      <c r="T20" s="181">
        <f>'Indexed REC Activities'!V20*'Indexed REC Calculator'!T27</f>
        <v>0</v>
      </c>
      <c r="U20" s="181">
        <f>'Indexed REC Activities'!W20*'Indexed REC Calculator'!U27</f>
        <v>0</v>
      </c>
      <c r="V20" s="181">
        <f>'Indexed REC Activities'!X20*'Indexed REC Calculator'!V27</f>
        <v>0</v>
      </c>
      <c r="W20" s="181">
        <f>'Indexed REC Activities'!Y20*'Indexed REC Calculator'!W27</f>
        <v>0</v>
      </c>
      <c r="X20" s="181">
        <f>'Indexed REC Activities'!Z20*'Indexed REC Calculator'!X27</f>
        <v>-11941507.540000003</v>
      </c>
    </row>
    <row r="21" spans="1:24" ht="15.5" x14ac:dyDescent="0.35">
      <c r="A21" s="177" t="s">
        <v>87</v>
      </c>
      <c r="B21" s="11">
        <f t="shared" si="1"/>
        <v>2041</v>
      </c>
      <c r="C21" s="181">
        <f>'Indexed REC Activities'!E21*'Indexed REC Calculator'!C28</f>
        <v>0</v>
      </c>
      <c r="D21" s="181">
        <f>'Indexed REC Activities'!F21*'Indexed REC Calculator'!D28</f>
        <v>0</v>
      </c>
      <c r="E21" s="181">
        <f>'Indexed REC Activities'!G21*'Indexed REC Calculator'!E28</f>
        <v>0</v>
      </c>
      <c r="F21" s="181">
        <f>'Indexed REC Activities'!H21*'Indexed REC Calculator'!F28</f>
        <v>0</v>
      </c>
      <c r="G21" s="181">
        <f>'Indexed REC Activities'!I21*'Indexed REC Calculator'!G28</f>
        <v>0</v>
      </c>
      <c r="H21" s="181">
        <f>'Indexed REC Activities'!J21*'Indexed REC Calculator'!H28</f>
        <v>0</v>
      </c>
      <c r="I21" s="181">
        <f>'Indexed REC Activities'!K21*'Indexed REC Calculator'!I28</f>
        <v>0</v>
      </c>
      <c r="J21" s="181">
        <f>'Indexed REC Activities'!L21*'Indexed REC Calculator'!J28</f>
        <v>0</v>
      </c>
      <c r="K21" s="181">
        <f>'Indexed REC Activities'!M21*'Indexed REC Calculator'!K28</f>
        <v>0</v>
      </c>
      <c r="L21" s="181">
        <f>'Indexed REC Activities'!N21*'Indexed REC Calculator'!L28</f>
        <v>0</v>
      </c>
      <c r="M21" s="181">
        <f>'Indexed REC Activities'!O21*'Indexed REC Calculator'!M28</f>
        <v>0</v>
      </c>
      <c r="N21" s="181">
        <f>'Indexed REC Activities'!P21*'Indexed REC Calculator'!N28</f>
        <v>0</v>
      </c>
      <c r="O21" s="181">
        <f>'Indexed REC Activities'!Q21*'Indexed REC Calculator'!O28</f>
        <v>0</v>
      </c>
      <c r="P21" s="181">
        <f>'Indexed REC Activities'!R21*'Indexed REC Calculator'!P28</f>
        <v>0</v>
      </c>
      <c r="Q21" s="181">
        <f>'Indexed REC Activities'!S21*'Indexed REC Calculator'!Q28</f>
        <v>0</v>
      </c>
      <c r="R21" s="181">
        <f>'Indexed REC Activities'!T21*'Indexed REC Calculator'!R28</f>
        <v>0</v>
      </c>
      <c r="S21" s="181">
        <f>'Indexed REC Activities'!U21*'Indexed REC Calculator'!S28</f>
        <v>0</v>
      </c>
      <c r="T21" s="181">
        <f>'Indexed REC Activities'!V21*'Indexed REC Calculator'!T28</f>
        <v>0</v>
      </c>
      <c r="U21" s="181">
        <f>'Indexed REC Activities'!W21*'Indexed REC Calculator'!U28</f>
        <v>0</v>
      </c>
      <c r="V21" s="181">
        <f>'Indexed REC Activities'!X21*'Indexed REC Calculator'!V28</f>
        <v>0</v>
      </c>
      <c r="W21" s="181">
        <f>'Indexed REC Activities'!Y21*'Indexed REC Calculator'!W28</f>
        <v>0</v>
      </c>
      <c r="X21" s="181">
        <f>'Indexed REC Activities'!Z21*'Indexed REC Calculator'!X28</f>
        <v>0</v>
      </c>
    </row>
    <row r="22" spans="1:24" ht="15.5" x14ac:dyDescent="0.35">
      <c r="A22" s="177" t="s">
        <v>87</v>
      </c>
      <c r="B22" s="11">
        <f t="shared" si="1"/>
        <v>2042</v>
      </c>
      <c r="C22" s="181">
        <f>'Indexed REC Activities'!E22*'Indexed REC Calculator'!C29</f>
        <v>0</v>
      </c>
      <c r="D22" s="181">
        <f>'Indexed REC Activities'!F22*'Indexed REC Calculator'!D29</f>
        <v>0</v>
      </c>
      <c r="E22" s="181">
        <f>'Indexed REC Activities'!G22*'Indexed REC Calculator'!E29</f>
        <v>0</v>
      </c>
      <c r="F22" s="181">
        <f>'Indexed REC Activities'!H22*'Indexed REC Calculator'!F29</f>
        <v>0</v>
      </c>
      <c r="G22" s="181">
        <f>'Indexed REC Activities'!I22*'Indexed REC Calculator'!G29</f>
        <v>0</v>
      </c>
      <c r="H22" s="181">
        <f>'Indexed REC Activities'!J22*'Indexed REC Calculator'!H29</f>
        <v>0</v>
      </c>
      <c r="I22" s="181">
        <f>'Indexed REC Activities'!K22*'Indexed REC Calculator'!I29</f>
        <v>0</v>
      </c>
      <c r="J22" s="181">
        <f>'Indexed REC Activities'!L22*'Indexed REC Calculator'!J29</f>
        <v>0</v>
      </c>
      <c r="K22" s="181">
        <f>'Indexed REC Activities'!M22*'Indexed REC Calculator'!K29</f>
        <v>0</v>
      </c>
      <c r="L22" s="181">
        <f>'Indexed REC Activities'!N22*'Indexed REC Calculator'!L29</f>
        <v>0</v>
      </c>
      <c r="M22" s="181">
        <f>'Indexed REC Activities'!O22*'Indexed REC Calculator'!M29</f>
        <v>0</v>
      </c>
      <c r="N22" s="181">
        <f>'Indexed REC Activities'!P22*'Indexed REC Calculator'!N29</f>
        <v>0</v>
      </c>
      <c r="O22" s="181">
        <f>'Indexed REC Activities'!Q22*'Indexed REC Calculator'!O29</f>
        <v>0</v>
      </c>
      <c r="P22" s="181">
        <f>'Indexed REC Activities'!R22*'Indexed REC Calculator'!P29</f>
        <v>0</v>
      </c>
      <c r="Q22" s="181">
        <f>'Indexed REC Activities'!S22*'Indexed REC Calculator'!Q29</f>
        <v>0</v>
      </c>
      <c r="R22" s="181">
        <f>'Indexed REC Activities'!T22*'Indexed REC Calculator'!R29</f>
        <v>0</v>
      </c>
      <c r="S22" s="181">
        <f>'Indexed REC Activities'!U22*'Indexed REC Calculator'!S29</f>
        <v>0</v>
      </c>
      <c r="T22" s="181">
        <f>'Indexed REC Activities'!V22*'Indexed REC Calculator'!T29</f>
        <v>0</v>
      </c>
      <c r="U22" s="181">
        <f>'Indexed REC Activities'!W22*'Indexed REC Calculator'!U29</f>
        <v>0</v>
      </c>
      <c r="V22" s="181">
        <f>'Indexed REC Activities'!X22*'Indexed REC Calculator'!V29</f>
        <v>0</v>
      </c>
      <c r="W22" s="181">
        <f>'Indexed REC Activities'!Y22*'Indexed REC Calculator'!W29</f>
        <v>0</v>
      </c>
      <c r="X22" s="181">
        <f>'Indexed REC Activities'!Z22*'Indexed REC Calculator'!X29</f>
        <v>0</v>
      </c>
    </row>
    <row r="23" spans="1:24" ht="15.5" x14ac:dyDescent="0.35">
      <c r="A23" s="12" t="s">
        <v>88</v>
      </c>
      <c r="B23" s="11">
        <v>2022</v>
      </c>
      <c r="C23" s="181">
        <f>'Indexed REC Activities'!E23*'Indexed REC Calculator'!C30</f>
        <v>0</v>
      </c>
      <c r="D23" s="181">
        <f>'Indexed REC Activities'!F23*'Indexed REC Calculator'!D30</f>
        <v>0</v>
      </c>
      <c r="E23" s="181">
        <f>'Indexed REC Activities'!G23*'Indexed REC Calculator'!E30</f>
        <v>0</v>
      </c>
      <c r="F23" s="181">
        <f>'Indexed REC Activities'!H23*'Indexed REC Calculator'!F36</f>
        <v>36748306.730822481</v>
      </c>
      <c r="G23" s="181">
        <f>'Indexed REC Activities'!I23*'Indexed REC Calculator'!G36</f>
        <v>36019559.594182253</v>
      </c>
      <c r="H23" s="181">
        <f>'Indexed REC Activities'!J23*'Indexed REC Calculator'!H36</f>
        <v>35440744.611426078</v>
      </c>
      <c r="I23" s="181">
        <f>'Indexed REC Activities'!K23*'Indexed REC Calculator'!I36</f>
        <v>35410285.675030373</v>
      </c>
      <c r="J23" s="181">
        <f>'Indexed REC Activities'!L23*'Indexed REC Calculator'!J36</f>
        <v>31385822.558634482</v>
      </c>
      <c r="K23" s="181">
        <f>'Indexed REC Activities'!M23*'Indexed REC Calculator'!K36</f>
        <v>26733437.393269908</v>
      </c>
      <c r="L23" s="181">
        <f>'Indexed REC Activities'!N23*'Indexed REC Calculator'!L36</f>
        <v>25936270.789902318</v>
      </c>
      <c r="M23" s="181">
        <f>'Indexed REC Activities'!O23*'Indexed REC Calculator'!M36</f>
        <v>24416350.292687155</v>
      </c>
      <c r="N23" s="181">
        <f>'Indexed REC Activities'!P23*'Indexed REC Calculator'!N36</f>
        <v>21985911.265459713</v>
      </c>
      <c r="O23" s="181">
        <f>'Indexed REC Activities'!Q23*'Indexed REC Calculator'!O36</f>
        <v>19819909.004793871</v>
      </c>
      <c r="P23" s="181">
        <f>'Indexed REC Activities'!R23*'Indexed REC Calculator'!P36</f>
        <v>16957657.83368345</v>
      </c>
      <c r="Q23" s="181">
        <f>'Indexed REC Activities'!S23*'Indexed REC Calculator'!Q36</f>
        <v>14148803.537706511</v>
      </c>
      <c r="R23" s="181">
        <f>'Indexed REC Activities'!T23*'Indexed REC Calculator'!R36</f>
        <v>11431753.58056861</v>
      </c>
      <c r="S23" s="181">
        <f>'Indexed REC Activities'!U23*'Indexed REC Calculator'!S36</f>
        <v>8741899.6346684955</v>
      </c>
      <c r="T23" s="181">
        <f>'Indexed REC Activities'!V23*'Indexed REC Calculator'!T36</f>
        <v>6174457.0811046492</v>
      </c>
      <c r="U23" s="181">
        <f>'Indexed REC Activities'!W23*'Indexed REC Calculator'!U36</f>
        <v>3734750.3475847486</v>
      </c>
      <c r="V23" s="181">
        <f>'Indexed REC Activities'!X23*'Indexed REC Calculator'!V36</f>
        <v>1246741.4906756906</v>
      </c>
      <c r="W23" s="181">
        <f>'Indexed REC Activities'!Y23*'Indexed REC Calculator'!W36</f>
        <v>-1170545.2009506251</v>
      </c>
      <c r="X23" s="181">
        <f>'Indexed REC Activities'!Z23*'Indexed REC Calculator'!X36</f>
        <v>-20742588.282311734</v>
      </c>
    </row>
    <row r="24" spans="1:24" ht="15.5" x14ac:dyDescent="0.35">
      <c r="A24" s="12" t="s">
        <v>88</v>
      </c>
      <c r="B24" s="11">
        <f t="shared" ref="B24:B43" si="2">B23+1</f>
        <v>2023</v>
      </c>
      <c r="C24" s="181">
        <f>'Indexed REC Activities'!E24*'Indexed REC Calculator'!C37</f>
        <v>0</v>
      </c>
      <c r="D24" s="181">
        <f>'Indexed REC Activities'!F24*'Indexed REC Calculator'!D37</f>
        <v>0</v>
      </c>
      <c r="E24" s="181">
        <f>'Indexed REC Activities'!G24*'Indexed REC Calculator'!E37</f>
        <v>0</v>
      </c>
      <c r="F24" s="181">
        <f>'Indexed REC Activities'!H24*'Indexed REC Calculator'!F37</f>
        <v>0</v>
      </c>
      <c r="G24" s="181">
        <f>'Indexed REC Activities'!I24*'Indexed REC Calculator'!G37</f>
        <v>20220990.526424397</v>
      </c>
      <c r="H24" s="181">
        <f>'Indexed REC Activities'!J24*'Indexed REC Calculator'!H37</f>
        <v>19896050.065887634</v>
      </c>
      <c r="I24" s="181">
        <f>'Indexed REC Activities'!K24*'Indexed REC Calculator'!I37</f>
        <v>19878950.74898199</v>
      </c>
      <c r="J24" s="181">
        <f>'Indexed REC Activities'!L24*'Indexed REC Calculator'!J37</f>
        <v>17619660.755782582</v>
      </c>
      <c r="K24" s="181">
        <f>'Indexed REC Activities'!M24*'Indexed REC Calculator'!K37</f>
        <v>15007862.127092261</v>
      </c>
      <c r="L24" s="181">
        <f>'Indexed REC Activities'!N24*'Indexed REC Calculator'!L37</f>
        <v>14560341.432328371</v>
      </c>
      <c r="M24" s="181">
        <f>'Indexed REC Activities'!O24*'Indexed REC Calculator'!M37</f>
        <v>13707074.531750547</v>
      </c>
      <c r="N24" s="181">
        <f>'Indexed REC Activities'!P24*'Indexed REC Calculator'!N37</f>
        <v>12342652.392825892</v>
      </c>
      <c r="O24" s="181">
        <f>'Indexed REC Activities'!Q24*'Indexed REC Calculator'!O37</f>
        <v>11126682.189786207</v>
      </c>
      <c r="P24" s="181">
        <f>'Indexed REC Activities'!R24*'Indexed REC Calculator'!P37</f>
        <v>9519845.3914645761</v>
      </c>
      <c r="Q24" s="181">
        <f>'Indexed REC Activities'!S24*'Indexed REC Calculator'!Q37</f>
        <v>7942985.020350269</v>
      </c>
      <c r="R24" s="181">
        <f>'Indexed REC Activities'!T24*'Indexed REC Calculator'!R37</f>
        <v>6417662.6104676863</v>
      </c>
      <c r="S24" s="181">
        <f>'Indexed REC Activities'!U24*'Indexed REC Calculator'!S37</f>
        <v>4907607.7466570633</v>
      </c>
      <c r="T24" s="181">
        <f>'Indexed REC Activities'!V24*'Indexed REC Calculator'!T37</f>
        <v>3466273.3123199278</v>
      </c>
      <c r="U24" s="181">
        <f>'Indexed REC Activities'!W24*'Indexed REC Calculator'!U37</f>
        <v>2096648.3834874323</v>
      </c>
      <c r="V24" s="181">
        <f>'Indexed REC Activities'!X24*'Indexed REC Calculator'!V37</f>
        <v>699907.16588120803</v>
      </c>
      <c r="W24" s="181">
        <f>'Indexed REC Activities'!Y24*'Indexed REC Calculator'!W37</f>
        <v>-657131.39432713017</v>
      </c>
      <c r="X24" s="181">
        <f>'Indexed REC Activities'!Z24*'Indexed REC Calculator'!X37</f>
        <v>-11586434.34802122</v>
      </c>
    </row>
    <row r="25" spans="1:24" ht="15.5" x14ac:dyDescent="0.35">
      <c r="A25" s="12" t="s">
        <v>88</v>
      </c>
      <c r="B25" s="11">
        <f t="shared" si="2"/>
        <v>2024</v>
      </c>
      <c r="C25" s="181">
        <f>'Indexed REC Activities'!E25*'Indexed REC Calculator'!C38</f>
        <v>0</v>
      </c>
      <c r="D25" s="181">
        <f>'Indexed REC Activities'!F25*'Indexed REC Calculator'!D38</f>
        <v>0</v>
      </c>
      <c r="E25" s="181">
        <f>'Indexed REC Activities'!G25*'Indexed REC Calculator'!E38</f>
        <v>0</v>
      </c>
      <c r="F25" s="181">
        <f>'Indexed REC Activities'!H25*'Indexed REC Calculator'!F38</f>
        <v>0</v>
      </c>
      <c r="G25" s="181">
        <f>'Indexed REC Activities'!I25*'Indexed REC Calculator'!G38</f>
        <v>0</v>
      </c>
      <c r="H25" s="181">
        <f>'Indexed REC Activities'!J25*'Indexed REC Calculator'!H38</f>
        <v>28388128.874999996</v>
      </c>
      <c r="I25" s="181">
        <f>'Indexed REC Activities'!K25*'Indexed REC Calculator'!I38</f>
        <v>28363731.187499996</v>
      </c>
      <c r="J25" s="181">
        <f>'Indexed REC Activities'!L25*'Indexed REC Calculator'!J38</f>
        <v>25140125.734128751</v>
      </c>
      <c r="K25" s="181">
        <f>'Indexed REC Activities'!M25*'Indexed REC Calculator'!K38</f>
        <v>21413553.081704076</v>
      </c>
      <c r="L25" s="181">
        <f>'Indexed REC Activities'!N25*'Indexed REC Calculator'!L38</f>
        <v>20775020.553131044</v>
      </c>
      <c r="M25" s="181">
        <f>'Indexed REC Activities'!O25*'Indexed REC Calculator'!M38</f>
        <v>19557560.270403594</v>
      </c>
      <c r="N25" s="181">
        <f>'Indexed REC Activities'!P25*'Indexed REC Calculator'!N38</f>
        <v>17610772.270201191</v>
      </c>
      <c r="O25" s="181">
        <f>'Indexed REC Activities'!Q25*'Indexed REC Calculator'!O38</f>
        <v>15875798.809753656</v>
      </c>
      <c r="P25" s="181">
        <f>'Indexed REC Activities'!R25*'Indexed REC Calculator'!P38</f>
        <v>13583128.155991318</v>
      </c>
      <c r="Q25" s="181">
        <f>'Indexed REC Activities'!S25*'Indexed REC Calculator'!Q38</f>
        <v>11333228.538487706</v>
      </c>
      <c r="R25" s="181">
        <f>'Indexed REC Activities'!T25*'Indexed REC Calculator'!R38</f>
        <v>9156864.4358504061</v>
      </c>
      <c r="S25" s="181">
        <f>'Indexed REC Activities'!U25*'Indexed REC Calculator'!S38</f>
        <v>7002284.4091508174</v>
      </c>
      <c r="T25" s="181">
        <f>'Indexed REC Activities'!V25*'Indexed REC Calculator'!T38</f>
        <v>4945756.2270021979</v>
      </c>
      <c r="U25" s="181">
        <f>'Indexed REC Activities'!W25*'Indexed REC Calculator'!U38</f>
        <v>2991544.7698862762</v>
      </c>
      <c r="V25" s="181">
        <f>'Indexed REC Activities'!X25*'Indexed REC Calculator'!V38</f>
        <v>998643.18594763789</v>
      </c>
      <c r="W25" s="181">
        <f>'Indexed REC Activities'!Y25*'Indexed REC Calculator'!W38</f>
        <v>-937609.75913259806</v>
      </c>
      <c r="X25" s="181">
        <f>'Indexed REC Activities'!Z25*'Indexed REC Calculator'!X38</f>
        <v>-16531783.463758532</v>
      </c>
    </row>
    <row r="26" spans="1:24" ht="15.5" x14ac:dyDescent="0.35">
      <c r="A26" s="12" t="s">
        <v>88</v>
      </c>
      <c r="B26" s="11">
        <f t="shared" si="2"/>
        <v>2025</v>
      </c>
      <c r="C26" s="181">
        <f>'Indexed REC Activities'!E26*'Indexed REC Calculator'!C39</f>
        <v>0</v>
      </c>
      <c r="D26" s="181">
        <f>'Indexed REC Activities'!F26*'Indexed REC Calculator'!D39</f>
        <v>0</v>
      </c>
      <c r="E26" s="181">
        <f>'Indexed REC Activities'!G26*'Indexed REC Calculator'!E39</f>
        <v>0</v>
      </c>
      <c r="F26" s="181">
        <f>'Indexed REC Activities'!H26*'Indexed REC Calculator'!F39</f>
        <v>0</v>
      </c>
      <c r="G26" s="181">
        <f>'Indexed REC Activities'!I26*'Indexed REC Calculator'!G39</f>
        <v>0</v>
      </c>
      <c r="H26" s="181">
        <f>'Indexed REC Activities'!J26*'Indexed REC Calculator'!H39</f>
        <v>0</v>
      </c>
      <c r="I26" s="181">
        <f>'Indexed REC Activities'!K26*'Indexed REC Calculator'!I39</f>
        <v>28506262.499999996</v>
      </c>
      <c r="J26" s="181">
        <f>'Indexed REC Activities'!L26*'Indexed REC Calculator'!J39</f>
        <v>25266458.024250001</v>
      </c>
      <c r="K26" s="181">
        <f>'Indexed REC Activities'!M26*'Indexed REC Calculator'!K39</f>
        <v>21521158.876084499</v>
      </c>
      <c r="L26" s="181">
        <f>'Indexed REC Activities'!N26*'Indexed REC Calculator'!L39</f>
        <v>20879417.64133773</v>
      </c>
      <c r="M26" s="181">
        <f>'Indexed REC Activities'!O26*'Indexed REC Calculator'!M39</f>
        <v>19655839.467742305</v>
      </c>
      <c r="N26" s="181">
        <f>'Indexed REC Activities'!P26*'Indexed REC Calculator'!N39</f>
        <v>17699268.61326753</v>
      </c>
      <c r="O26" s="181">
        <f>'Indexed REC Activities'!Q26*'Indexed REC Calculator'!O39</f>
        <v>15955576.693219757</v>
      </c>
      <c r="P26" s="181">
        <f>'Indexed REC Activities'!R26*'Indexed REC Calculator'!P39</f>
        <v>13651385.08139831</v>
      </c>
      <c r="Q26" s="181">
        <f>'Indexed REC Activities'!S26*'Indexed REC Calculator'!Q39</f>
        <v>11390179.435666036</v>
      </c>
      <c r="R26" s="181">
        <f>'Indexed REC Activities'!T26*'Indexed REC Calculator'!R39</f>
        <v>9202878.830000408</v>
      </c>
      <c r="S26" s="181">
        <f>'Indexed REC Activities'!U26*'Indexed REC Calculator'!S39</f>
        <v>7037471.7679907717</v>
      </c>
      <c r="T26" s="181">
        <f>'Indexed REC Activities'!V26*'Indexed REC Calculator'!T39</f>
        <v>4970609.2733690422</v>
      </c>
      <c r="U26" s="181">
        <f>'Indexed REC Activities'!W26*'Indexed REC Calculator'!U39</f>
        <v>3006577.6581771621</v>
      </c>
      <c r="V26" s="181">
        <f>'Indexed REC Activities'!X26*'Indexed REC Calculator'!V39</f>
        <v>1003661.4934147114</v>
      </c>
      <c r="W26" s="181">
        <f>'Indexed REC Activities'!Y26*'Indexed REC Calculator'!W39</f>
        <v>-942321.36596241011</v>
      </c>
      <c r="X26" s="181">
        <f>'Indexed REC Activities'!Z26*'Indexed REC Calculator'!X39</f>
        <v>-16614857.752521139</v>
      </c>
    </row>
    <row r="27" spans="1:24" ht="15.5" x14ac:dyDescent="0.35">
      <c r="A27" s="12" t="s">
        <v>88</v>
      </c>
      <c r="B27" s="11">
        <f t="shared" si="2"/>
        <v>2026</v>
      </c>
      <c r="C27" s="181">
        <f>'Indexed REC Activities'!E27*'Indexed REC Calculator'!C40</f>
        <v>0</v>
      </c>
      <c r="D27" s="181">
        <f>'Indexed REC Activities'!F27*'Indexed REC Calculator'!D40</f>
        <v>0</v>
      </c>
      <c r="E27" s="181">
        <f>'Indexed REC Activities'!G27*'Indexed REC Calculator'!E40</f>
        <v>0</v>
      </c>
      <c r="F27" s="181">
        <f>'Indexed REC Activities'!H27*'Indexed REC Calculator'!F40</f>
        <v>0</v>
      </c>
      <c r="G27" s="181">
        <f>'Indexed REC Activities'!I27*'Indexed REC Calculator'!G40</f>
        <v>0</v>
      </c>
      <c r="H27" s="181">
        <f>'Indexed REC Activities'!J27*'Indexed REC Calculator'!H40</f>
        <v>0</v>
      </c>
      <c r="I27" s="181">
        <f>'Indexed REC Activities'!K27*'Indexed REC Calculator'!I40</f>
        <v>0</v>
      </c>
      <c r="J27" s="181">
        <f>'Indexed REC Activities'!L27*'Indexed REC Calculator'!J40</f>
        <v>25393425.150000002</v>
      </c>
      <c r="K27" s="181">
        <f>'Indexed REC Activities'!M27*'Indexed REC Calculator'!K40</f>
        <v>21629305.403099999</v>
      </c>
      <c r="L27" s="181">
        <f>'Indexed REC Activities'!N27*'Indexed REC Calculator'!L40</f>
        <v>20984339.338027872</v>
      </c>
      <c r="M27" s="181">
        <f>'Indexed REC Activities'!O27*'Indexed REC Calculator'!M40</f>
        <v>19754612.530394275</v>
      </c>
      <c r="N27" s="181">
        <f>'Indexed REC Activities'!P27*'Indexed REC Calculator'!N40</f>
        <v>17788209.661575403</v>
      </c>
      <c r="O27" s="181">
        <f>'Indexed REC Activities'!Q27*'Indexed REC Calculator'!O40</f>
        <v>16035755.470572619</v>
      </c>
      <c r="P27" s="181">
        <f>'Indexed REC Activities'!R27*'Indexed REC Calculator'!P40</f>
        <v>13719985.006430462</v>
      </c>
      <c r="Q27" s="181">
        <f>'Indexed REC Activities'!S27*'Indexed REC Calculator'!Q40</f>
        <v>11447416.518257322</v>
      </c>
      <c r="R27" s="181">
        <f>'Indexed REC Activities'!T27*'Indexed REC Calculator'!R40</f>
        <v>9249124.4522617161</v>
      </c>
      <c r="S27" s="181">
        <f>'Indexed REC Activities'!U27*'Indexed REC Calculator'!S40</f>
        <v>7072835.9477294181</v>
      </c>
      <c r="T27" s="181">
        <f>'Indexed REC Activities'!V27*'Indexed REC Calculator'!T40</f>
        <v>4995587.2094161231</v>
      </c>
      <c r="U27" s="181">
        <f>'Indexed REC Activities'!W27*'Indexed REC Calculator'!U40</f>
        <v>3021686.0886202632</v>
      </c>
      <c r="V27" s="181">
        <f>'Indexed REC Activities'!X27*'Indexed REC Calculator'!V40</f>
        <v>1008705.0185072477</v>
      </c>
      <c r="W27" s="181">
        <f>'Indexed REC Activities'!Y27*'Indexed REC Calculator'!W40</f>
        <v>-947056.64920845232</v>
      </c>
      <c r="X27" s="181">
        <f>'Indexed REC Activities'!Z27*'Indexed REC Calculator'!X40</f>
        <v>-16698349.500021245</v>
      </c>
    </row>
    <row r="28" spans="1:24" ht="15.5" x14ac:dyDescent="0.35">
      <c r="A28" s="12" t="s">
        <v>88</v>
      </c>
      <c r="B28" s="11">
        <f t="shared" si="2"/>
        <v>2027</v>
      </c>
      <c r="C28" s="181">
        <f>'Indexed REC Activities'!E28*'Indexed REC Calculator'!C41</f>
        <v>0</v>
      </c>
      <c r="D28" s="181">
        <f>'Indexed REC Activities'!F28*'Indexed REC Calculator'!D41</f>
        <v>0</v>
      </c>
      <c r="E28" s="181">
        <f>'Indexed REC Activities'!G28*'Indexed REC Calculator'!E41</f>
        <v>0</v>
      </c>
      <c r="F28" s="181">
        <f>'Indexed REC Activities'!H28*'Indexed REC Calculator'!F41</f>
        <v>0</v>
      </c>
      <c r="G28" s="181">
        <f>'Indexed REC Activities'!I28*'Indexed REC Calculator'!G41</f>
        <v>0</v>
      </c>
      <c r="H28" s="181">
        <f>'Indexed REC Activities'!J28*'Indexed REC Calculator'!H41</f>
        <v>0</v>
      </c>
      <c r="I28" s="181">
        <f>'Indexed REC Activities'!K28*'Indexed REC Calculator'!I41</f>
        <v>0</v>
      </c>
      <c r="J28" s="181">
        <f>'Indexed REC Activities'!L28*'Indexed REC Calculator'!J41</f>
        <v>0</v>
      </c>
      <c r="K28" s="181">
        <f>'Indexed REC Activities'!M28*'Indexed REC Calculator'!K41</f>
        <v>21737995.379999999</v>
      </c>
      <c r="L28" s="181">
        <f>'Indexed REC Activities'!N28*'Indexed REC Calculator'!L41</f>
        <v>21089788.279424995</v>
      </c>
      <c r="M28" s="181">
        <f>'Indexed REC Activities'!O28*'Indexed REC Calculator'!M41</f>
        <v>19853881.940094747</v>
      </c>
      <c r="N28" s="181">
        <f>'Indexed REC Activities'!P28*'Indexed REC Calculator'!N41</f>
        <v>17877597.649824526</v>
      </c>
      <c r="O28" s="181">
        <f>'Indexed REC Activities'!Q28*'Indexed REC Calculator'!O41</f>
        <v>16116337.15635439</v>
      </c>
      <c r="P28" s="181">
        <f>'Indexed REC Activities'!R28*'Indexed REC Calculator'!P41</f>
        <v>13788929.654703982</v>
      </c>
      <c r="Q28" s="181">
        <f>'Indexed REC Activities'!S28*'Indexed REC Calculator'!Q41</f>
        <v>11504941.224379219</v>
      </c>
      <c r="R28" s="181">
        <f>'Indexed REC Activities'!T28*'Indexed REC Calculator'!R41</f>
        <v>9295602.4645846393</v>
      </c>
      <c r="S28" s="181">
        <f>'Indexed REC Activities'!U28*'Indexed REC Calculator'!S41</f>
        <v>7108377.836913988</v>
      </c>
      <c r="T28" s="181">
        <f>'Indexed REC Activities'!V28*'Indexed REC Calculator'!T41</f>
        <v>5020690.6627297718</v>
      </c>
      <c r="U28" s="181">
        <f>'Indexed REC Activities'!W28*'Indexed REC Calculator'!U41</f>
        <v>3036870.4408243853</v>
      </c>
      <c r="V28" s="181">
        <f>'Indexed REC Activities'!X28*'Indexed REC Calculator'!V41</f>
        <v>1013773.8879469825</v>
      </c>
      <c r="W28" s="181">
        <f>'Indexed REC Activities'!Y28*'Indexed REC Calculator'!W41</f>
        <v>-951815.72784769081</v>
      </c>
      <c r="X28" s="181">
        <f>'Indexed REC Activities'!Z28*'Indexed REC Calculator'!X41</f>
        <v>-16782260.804041453</v>
      </c>
    </row>
    <row r="29" spans="1:24" ht="15.5" x14ac:dyDescent="0.35">
      <c r="A29" s="12" t="s">
        <v>88</v>
      </c>
      <c r="B29" s="11">
        <f t="shared" si="2"/>
        <v>2028</v>
      </c>
      <c r="C29" s="181">
        <f>'Indexed REC Activities'!E29*'Indexed REC Calculator'!C42</f>
        <v>0</v>
      </c>
      <c r="D29" s="181">
        <f>'Indexed REC Activities'!F29*'Indexed REC Calculator'!D42</f>
        <v>0</v>
      </c>
      <c r="E29" s="181">
        <f>'Indexed REC Activities'!G29*'Indexed REC Calculator'!E42</f>
        <v>0</v>
      </c>
      <c r="F29" s="181">
        <f>'Indexed REC Activities'!H29*'Indexed REC Calculator'!F42</f>
        <v>0</v>
      </c>
      <c r="G29" s="181">
        <f>'Indexed REC Activities'!I29*'Indexed REC Calculator'!G42</f>
        <v>0</v>
      </c>
      <c r="H29" s="181">
        <f>'Indexed REC Activities'!J29*'Indexed REC Calculator'!H42</f>
        <v>0</v>
      </c>
      <c r="I29" s="181">
        <f>'Indexed REC Activities'!K29*'Indexed REC Calculator'!I42</f>
        <v>0</v>
      </c>
      <c r="J29" s="181">
        <f>'Indexed REC Activities'!L29*'Indexed REC Calculator'!J42</f>
        <v>0</v>
      </c>
      <c r="K29" s="181">
        <f>'Indexed REC Activities'!M29*'Indexed REC Calculator'!K42</f>
        <v>0</v>
      </c>
      <c r="L29" s="181">
        <f>'Indexed REC Activities'!N29*'Indexed REC Calculator'!L42</f>
        <v>14130511.409999996</v>
      </c>
      <c r="M29" s="181">
        <f>'Indexed REC Activities'!O29*'Indexed REC Calculator'!M42</f>
        <v>13302433.4607</v>
      </c>
      <c r="N29" s="181">
        <f>'Indexed REC Activities'!P29*'Indexed REC Calculator'!N42</f>
        <v>11978289.882629499</v>
      </c>
      <c r="O29" s="181">
        <f>'Indexed REC Activities'!Q29*'Indexed REC Calculator'!O42</f>
        <v>10798215.850153694</v>
      </c>
      <c r="P29" s="181">
        <f>'Indexed REC Activities'!R29*'Indexed REC Calculator'!P42</f>
        <v>9238813.8389976416</v>
      </c>
      <c r="Q29" s="181">
        <f>'Indexed REC Activities'!S29*'Indexed REC Calculator'!Q42</f>
        <v>7708503.3329173988</v>
      </c>
      <c r="R29" s="181">
        <f>'Indexed REC Activities'!T29*'Indexed REC Calculator'!R42</f>
        <v>6228209.3565056212</v>
      </c>
      <c r="S29" s="181">
        <f>'Indexed REC Activities'!U29*'Indexed REC Calculator'!S42</f>
        <v>4762732.2190378476</v>
      </c>
      <c r="T29" s="181">
        <f>'Indexed REC Activities'!V29*'Indexed REC Calculator'!T42</f>
        <v>3363946.8427000148</v>
      </c>
      <c r="U29" s="181">
        <f>'Indexed REC Activities'!W29*'Indexed REC Calculator'!U42</f>
        <v>2034754.0642039431</v>
      </c>
      <c r="V29" s="181">
        <f>'Indexed REC Activities'!X29*'Indexed REC Calculator'!V42</f>
        <v>679245.48606162984</v>
      </c>
      <c r="W29" s="181">
        <f>'Indexed REC Activities'!Y29*'Indexed REC Calculator'!W42</f>
        <v>-637732.48096997698</v>
      </c>
      <c r="X29" s="181">
        <f>'Indexed REC Activities'!Z29*'Indexed REC Calculator'!X42</f>
        <v>-11244395.848603986</v>
      </c>
    </row>
    <row r="30" spans="1:24" ht="15.5" x14ac:dyDescent="0.35">
      <c r="A30" s="12" t="s">
        <v>88</v>
      </c>
      <c r="B30" s="11">
        <f t="shared" si="2"/>
        <v>2029</v>
      </c>
      <c r="C30" s="181">
        <f>'Indexed REC Activities'!E30*'Indexed REC Calculator'!C43</f>
        <v>0</v>
      </c>
      <c r="D30" s="181">
        <f>'Indexed REC Activities'!F30*'Indexed REC Calculator'!D43</f>
        <v>0</v>
      </c>
      <c r="E30" s="181">
        <f>'Indexed REC Activities'!G30*'Indexed REC Calculator'!E43</f>
        <v>0</v>
      </c>
      <c r="F30" s="181">
        <f>'Indexed REC Activities'!H30*'Indexed REC Calculator'!F43</f>
        <v>0</v>
      </c>
      <c r="G30" s="181">
        <f>'Indexed REC Activities'!I30*'Indexed REC Calculator'!G43</f>
        <v>0</v>
      </c>
      <c r="H30" s="181">
        <f>'Indexed REC Activities'!J30*'Indexed REC Calculator'!H43</f>
        <v>0</v>
      </c>
      <c r="I30" s="181">
        <f>'Indexed REC Activities'!K30*'Indexed REC Calculator'!I43</f>
        <v>0</v>
      </c>
      <c r="J30" s="181">
        <f>'Indexed REC Activities'!L30*'Indexed REC Calculator'!J43</f>
        <v>0</v>
      </c>
      <c r="K30" s="181">
        <f>'Indexed REC Activities'!M30*'Indexed REC Calculator'!K43</f>
        <v>0</v>
      </c>
      <c r="L30" s="181">
        <f>'Indexed REC Activities'!N30*'Indexed REC Calculator'!L43</f>
        <v>0</v>
      </c>
      <c r="M30" s="181">
        <f>'Indexed REC Activities'!O30*'Indexed REC Calculator'!M43</f>
        <v>13369279.859999999</v>
      </c>
      <c r="N30" s="181">
        <f>'Indexed REC Activities'!P30*'Indexed REC Calculator'!N43</f>
        <v>12038482.294099998</v>
      </c>
      <c r="O30" s="181">
        <f>'Indexed REC Activities'!Q30*'Indexed REC Calculator'!O43</f>
        <v>10852478.241360497</v>
      </c>
      <c r="P30" s="181">
        <f>'Indexed REC Activities'!R30*'Indexed REC Calculator'!P43</f>
        <v>9285240.0391936097</v>
      </c>
      <c r="Q30" s="181">
        <f>'Indexed REC Activities'!S30*'Indexed REC Calculator'!Q43</f>
        <v>7747239.53057025</v>
      </c>
      <c r="R30" s="181">
        <f>'Indexed REC Activities'!T30*'Indexed REC Calculator'!R43</f>
        <v>6259506.8909604233</v>
      </c>
      <c r="S30" s="181">
        <f>'Indexed REC Activities'!U30*'Indexed REC Calculator'!S43</f>
        <v>4786665.5467717061</v>
      </c>
      <c r="T30" s="181">
        <f>'Indexed REC Activities'!V30*'Indexed REC Calculator'!T43</f>
        <v>3380851.0981909693</v>
      </c>
      <c r="U30" s="181">
        <f>'Indexed REC Activities'!W30*'Indexed REC Calculator'!U43</f>
        <v>2044978.9589989376</v>
      </c>
      <c r="V30" s="181">
        <f>'Indexed REC Activities'!X30*'Indexed REC Calculator'!V43</f>
        <v>682658.77996143699</v>
      </c>
      <c r="W30" s="181">
        <f>'Indexed REC Activities'!Y30*'Indexed REC Calculator'!W43</f>
        <v>-640937.16680399701</v>
      </c>
      <c r="X30" s="181">
        <f>'Indexed REC Activities'!Z30*'Indexed REC Calculator'!X43</f>
        <v>-11300900.350355765</v>
      </c>
    </row>
    <row r="31" spans="1:24" ht="15.5" x14ac:dyDescent="0.35">
      <c r="A31" s="12" t="s">
        <v>88</v>
      </c>
      <c r="B31" s="11">
        <f t="shared" si="2"/>
        <v>2030</v>
      </c>
      <c r="C31" s="181">
        <f>'Indexed REC Activities'!E31*'Indexed REC Calculator'!C44</f>
        <v>0</v>
      </c>
      <c r="D31" s="181">
        <f>'Indexed REC Activities'!F31*'Indexed REC Calculator'!D44</f>
        <v>0</v>
      </c>
      <c r="E31" s="181">
        <f>'Indexed REC Activities'!G31*'Indexed REC Calculator'!E44</f>
        <v>0</v>
      </c>
      <c r="F31" s="181">
        <f>'Indexed REC Activities'!H31*'Indexed REC Calculator'!F44</f>
        <v>0</v>
      </c>
      <c r="G31" s="181">
        <f>'Indexed REC Activities'!I31*'Indexed REC Calculator'!G44</f>
        <v>0</v>
      </c>
      <c r="H31" s="181">
        <f>'Indexed REC Activities'!J31*'Indexed REC Calculator'!H44</f>
        <v>0</v>
      </c>
      <c r="I31" s="181">
        <f>'Indexed REC Activities'!K31*'Indexed REC Calculator'!I44</f>
        <v>0</v>
      </c>
      <c r="J31" s="181">
        <f>'Indexed REC Activities'!L31*'Indexed REC Calculator'!J44</f>
        <v>0</v>
      </c>
      <c r="K31" s="181">
        <f>'Indexed REC Activities'!M31*'Indexed REC Calculator'!K44</f>
        <v>0</v>
      </c>
      <c r="L31" s="181">
        <f>'Indexed REC Activities'!N31*'Indexed REC Calculator'!L44</f>
        <v>0</v>
      </c>
      <c r="M31" s="181">
        <f>'Indexed REC Activities'!O31*'Indexed REC Calculator'!M44</f>
        <v>0</v>
      </c>
      <c r="N31" s="181">
        <f>'Indexed REC Activities'!P31*'Indexed REC Calculator'!N44</f>
        <v>9074232.8849999998</v>
      </c>
      <c r="O31" s="181">
        <f>'Indexed REC Activities'!Q31*'Indexed REC Calculator'!O44</f>
        <v>8180259.9809249975</v>
      </c>
      <c r="P31" s="181">
        <f>'Indexed REC Activities'!R31*'Indexed REC Calculator'!P44</f>
        <v>6998924.6526584998</v>
      </c>
      <c r="Q31" s="181">
        <f>'Indexed REC Activities'!S31*'Indexed REC Calculator'!Q44</f>
        <v>5839627.7868619971</v>
      </c>
      <c r="R31" s="181">
        <f>'Indexed REC Activities'!T31*'Indexed REC Calculator'!R44</f>
        <v>4718221.2745932834</v>
      </c>
      <c r="S31" s="181">
        <f>'Indexed REC Activities'!U31*'Indexed REC Calculator'!S44</f>
        <v>3608039.3568630954</v>
      </c>
      <c r="T31" s="181">
        <f>'Indexed REC Activities'!V31*'Indexed REC Calculator'!T44</f>
        <v>2548380.2247670623</v>
      </c>
      <c r="U31" s="181">
        <f>'Indexed REC Activities'!W31*'Indexed REC Calculator'!U44</f>
        <v>1541441.4263811088</v>
      </c>
      <c r="V31" s="181">
        <f>'Indexed REC Activities'!X31*'Indexed REC Calculator'!V44</f>
        <v>514566.91956892237</v>
      </c>
      <c r="W31" s="181">
        <f>'Indexed REC Activities'!Y31*'Indexed REC Calculator'!W44</f>
        <v>-483118.46744019876</v>
      </c>
      <c r="X31" s="181">
        <f>'Indexed REC Activities'!Z31*'Indexed REC Calculator'!X44</f>
        <v>-8518266.5957455523</v>
      </c>
    </row>
    <row r="32" spans="1:24" ht="15.5" x14ac:dyDescent="0.35">
      <c r="A32" s="12" t="s">
        <v>88</v>
      </c>
      <c r="B32" s="11">
        <f t="shared" si="2"/>
        <v>2031</v>
      </c>
      <c r="C32" s="181">
        <f>'Indexed REC Activities'!E32*'Indexed REC Calculator'!C45</f>
        <v>0</v>
      </c>
      <c r="D32" s="181">
        <f>'Indexed REC Activities'!F32*'Indexed REC Calculator'!D45</f>
        <v>0</v>
      </c>
      <c r="E32" s="181">
        <f>'Indexed REC Activities'!G32*'Indexed REC Calculator'!E45</f>
        <v>0</v>
      </c>
      <c r="F32" s="181">
        <f>'Indexed REC Activities'!H32*'Indexed REC Calculator'!F45</f>
        <v>0</v>
      </c>
      <c r="G32" s="181">
        <f>'Indexed REC Activities'!I32*'Indexed REC Calculator'!G45</f>
        <v>0</v>
      </c>
      <c r="H32" s="181">
        <f>'Indexed REC Activities'!J32*'Indexed REC Calculator'!H45</f>
        <v>0</v>
      </c>
      <c r="I32" s="181">
        <f>'Indexed REC Activities'!K32*'Indexed REC Calculator'!I45</f>
        <v>0</v>
      </c>
      <c r="J32" s="181">
        <f>'Indexed REC Activities'!L32*'Indexed REC Calculator'!J45</f>
        <v>0</v>
      </c>
      <c r="K32" s="181">
        <f>'Indexed REC Activities'!M32*'Indexed REC Calculator'!K45</f>
        <v>0</v>
      </c>
      <c r="L32" s="181">
        <f>'Indexed REC Activities'!N32*'Indexed REC Calculator'!L45</f>
        <v>0</v>
      </c>
      <c r="M32" s="181">
        <f>'Indexed REC Activities'!O32*'Indexed REC Calculator'!M45</f>
        <v>0</v>
      </c>
      <c r="N32" s="181">
        <f>'Indexed REC Activities'!P32*'Indexed REC Calculator'!N45</f>
        <v>0</v>
      </c>
      <c r="O32" s="181">
        <f>'Indexed REC Activities'!Q32*'Indexed REC Calculator'!O45</f>
        <v>8221366.8149999976</v>
      </c>
      <c r="P32" s="181">
        <f>'Indexed REC Activities'!R32*'Indexed REC Calculator'!P45</f>
        <v>7034095.1283</v>
      </c>
      <c r="Q32" s="181">
        <f>'Indexed REC Activities'!S32*'Indexed REC Calculator'!Q45</f>
        <v>5868972.65011256</v>
      </c>
      <c r="R32" s="181">
        <f>'Indexed REC Activities'!T32*'Indexed REC Calculator'!R45</f>
        <v>4741930.9292394808</v>
      </c>
      <c r="S32" s="181">
        <f>'Indexed REC Activities'!U32*'Indexed REC Calculator'!S45</f>
        <v>3626170.207902608</v>
      </c>
      <c r="T32" s="181">
        <f>'Indexed REC Activities'!V32*'Indexed REC Calculator'!T45</f>
        <v>2561186.1555447862</v>
      </c>
      <c r="U32" s="181">
        <f>'Indexed REC Activities'!W32*'Indexed REC Calculator'!U45</f>
        <v>1549187.3631970943</v>
      </c>
      <c r="V32" s="181">
        <f>'Indexed REC Activities'!X32*'Indexed REC Calculator'!V45</f>
        <v>517152.68298384157</v>
      </c>
      <c r="W32" s="181">
        <f>'Indexed REC Activities'!Y32*'Indexed REC Calculator'!W45</f>
        <v>-485546.1984323606</v>
      </c>
      <c r="X32" s="181">
        <f>'Indexed REC Activities'!Z32*'Indexed REC Calculator'!X45</f>
        <v>-8561071.9555231687</v>
      </c>
    </row>
    <row r="33" spans="1:24" ht="15.5" x14ac:dyDescent="0.35">
      <c r="A33" s="12" t="s">
        <v>88</v>
      </c>
      <c r="B33" s="11">
        <f t="shared" si="2"/>
        <v>2032</v>
      </c>
      <c r="C33" s="181">
        <f>'Indexed REC Activities'!E33*'Indexed REC Calculator'!C46</f>
        <v>0</v>
      </c>
      <c r="D33" s="181">
        <f>'Indexed REC Activities'!F33*'Indexed REC Calculator'!D46</f>
        <v>0</v>
      </c>
      <c r="E33" s="181">
        <f>'Indexed REC Activities'!G33*'Indexed REC Calculator'!E46</f>
        <v>0</v>
      </c>
      <c r="F33" s="181">
        <f>'Indexed REC Activities'!H33*'Indexed REC Calculator'!F46</f>
        <v>0</v>
      </c>
      <c r="G33" s="181">
        <f>'Indexed REC Activities'!I33*'Indexed REC Calculator'!G46</f>
        <v>0</v>
      </c>
      <c r="H33" s="181">
        <f>'Indexed REC Activities'!J33*'Indexed REC Calculator'!H46</f>
        <v>0</v>
      </c>
      <c r="I33" s="181">
        <f>'Indexed REC Activities'!K33*'Indexed REC Calculator'!I46</f>
        <v>0</v>
      </c>
      <c r="J33" s="181">
        <f>'Indexed REC Activities'!L33*'Indexed REC Calculator'!J46</f>
        <v>0</v>
      </c>
      <c r="K33" s="181">
        <f>'Indexed REC Activities'!M33*'Indexed REC Calculator'!K46</f>
        <v>0</v>
      </c>
      <c r="L33" s="181">
        <f>'Indexed REC Activities'!N33*'Indexed REC Calculator'!L46</f>
        <v>0</v>
      </c>
      <c r="M33" s="181">
        <f>'Indexed REC Activities'!O33*'Indexed REC Calculator'!M46</f>
        <v>0</v>
      </c>
      <c r="N33" s="181">
        <f>'Indexed REC Activities'!P33*'Indexed REC Calculator'!N46</f>
        <v>0</v>
      </c>
      <c r="O33" s="181">
        <f>'Indexed REC Activities'!Q33*'Indexed REC Calculator'!O46</f>
        <v>0</v>
      </c>
      <c r="P33" s="181">
        <f>'Indexed REC Activities'!R33*'Indexed REC Calculator'!P46</f>
        <v>7069442.3399999999</v>
      </c>
      <c r="Q33" s="181">
        <f>'Indexed REC Activities'!S33*'Indexed REC Calculator'!Q46</f>
        <v>5898464.9749874976</v>
      </c>
      <c r="R33" s="181">
        <f>'Indexed REC Activities'!T33*'Indexed REC Calculator'!R46</f>
        <v>4765759.7278788751</v>
      </c>
      <c r="S33" s="181">
        <f>'Indexed REC Activities'!U33*'Indexed REC Calculator'!S46</f>
        <v>3644392.1687463396</v>
      </c>
      <c r="T33" s="181">
        <f>'Indexed REC Activities'!V33*'Indexed REC Calculator'!T46</f>
        <v>2574056.4377334537</v>
      </c>
      <c r="U33" s="181">
        <f>'Indexed REC Activities'!W33*'Indexed REC Calculator'!U46</f>
        <v>1556972.2243186878</v>
      </c>
      <c r="V33" s="181">
        <f>'Indexed REC Activities'!X33*'Indexed REC Calculator'!V46</f>
        <v>519751.44018476544</v>
      </c>
      <c r="W33" s="181">
        <f>'Indexed REC Activities'!Y33*'Indexed REC Calculator'!W46</f>
        <v>-487986.12907774933</v>
      </c>
      <c r="X33" s="181">
        <f>'Indexed REC Activities'!Z33*'Indexed REC Calculator'!X46</f>
        <v>-8604092.4176112246</v>
      </c>
    </row>
    <row r="34" spans="1:24" ht="15.5" x14ac:dyDescent="0.35">
      <c r="A34" s="12" t="s">
        <v>88</v>
      </c>
      <c r="B34" s="11">
        <f t="shared" si="2"/>
        <v>2033</v>
      </c>
      <c r="C34" s="181">
        <f>'Indexed REC Activities'!E34*'Indexed REC Calculator'!C47</f>
        <v>0</v>
      </c>
      <c r="D34" s="181">
        <f>'Indexed REC Activities'!F34*'Indexed REC Calculator'!D47</f>
        <v>0</v>
      </c>
      <c r="E34" s="181">
        <f>'Indexed REC Activities'!G34*'Indexed REC Calculator'!E47</f>
        <v>0</v>
      </c>
      <c r="F34" s="181">
        <f>'Indexed REC Activities'!H34*'Indexed REC Calculator'!F47</f>
        <v>0</v>
      </c>
      <c r="G34" s="181">
        <f>'Indexed REC Activities'!I34*'Indexed REC Calculator'!G47</f>
        <v>0</v>
      </c>
      <c r="H34" s="181">
        <f>'Indexed REC Activities'!J34*'Indexed REC Calculator'!H47</f>
        <v>0</v>
      </c>
      <c r="I34" s="181">
        <f>'Indexed REC Activities'!K34*'Indexed REC Calculator'!I47</f>
        <v>0</v>
      </c>
      <c r="J34" s="181">
        <f>'Indexed REC Activities'!L34*'Indexed REC Calculator'!J47</f>
        <v>0</v>
      </c>
      <c r="K34" s="181">
        <f>'Indexed REC Activities'!M34*'Indexed REC Calculator'!K47</f>
        <v>0</v>
      </c>
      <c r="L34" s="181">
        <f>'Indexed REC Activities'!N34*'Indexed REC Calculator'!L47</f>
        <v>0</v>
      </c>
      <c r="M34" s="181">
        <f>'Indexed REC Activities'!O34*'Indexed REC Calculator'!M47</f>
        <v>0</v>
      </c>
      <c r="N34" s="181">
        <f>'Indexed REC Activities'!P34*'Indexed REC Calculator'!N47</f>
        <v>0</v>
      </c>
      <c r="O34" s="181">
        <f>'Indexed REC Activities'!Q34*'Indexed REC Calculator'!O47</f>
        <v>0</v>
      </c>
      <c r="P34" s="181">
        <f>'Indexed REC Activities'!R34*'Indexed REC Calculator'!P47</f>
        <v>0</v>
      </c>
      <c r="Q34" s="181">
        <f>'Indexed REC Activities'!S34*'Indexed REC Calculator'!Q47</f>
        <v>5928105.5024999976</v>
      </c>
      <c r="R34" s="181">
        <f>'Indexed REC Activities'!T34*'Indexed REC Calculator'!R47</f>
        <v>4789708.2692250004</v>
      </c>
      <c r="S34" s="181">
        <f>'Indexed REC Activities'!U34*'Indexed REC Calculator'!S47</f>
        <v>3662705.6972325025</v>
      </c>
      <c r="T34" s="181">
        <f>'Indexed REC Activities'!V34*'Indexed REC Calculator'!T47</f>
        <v>2586991.3947069882</v>
      </c>
      <c r="U34" s="181">
        <f>'Indexed REC Activities'!W34*'Indexed REC Calculator'!U47</f>
        <v>1564796.2053454148</v>
      </c>
      <c r="V34" s="181">
        <f>'Indexed REC Activities'!X34*'Indexed REC Calculator'!V47</f>
        <v>522363.25646710093</v>
      </c>
      <c r="W34" s="181">
        <f>'Indexed REC Activities'!Y34*'Indexed REC Calculator'!W47</f>
        <v>-490438.32068115514</v>
      </c>
      <c r="X34" s="181">
        <f>'Indexed REC Activities'!Z34*'Indexed REC Calculator'!X47</f>
        <v>-8647329.0629258528</v>
      </c>
    </row>
    <row r="35" spans="1:24" ht="15.5" x14ac:dyDescent="0.35">
      <c r="A35" s="12" t="s">
        <v>88</v>
      </c>
      <c r="B35" s="11">
        <f t="shared" si="2"/>
        <v>2034</v>
      </c>
      <c r="C35" s="181">
        <f>'Indexed REC Activities'!E35*'Indexed REC Calculator'!C48</f>
        <v>0</v>
      </c>
      <c r="D35" s="181">
        <f>'Indexed REC Activities'!F35*'Indexed REC Calculator'!D48</f>
        <v>0</v>
      </c>
      <c r="E35" s="181">
        <f>'Indexed REC Activities'!G35*'Indexed REC Calculator'!E48</f>
        <v>0</v>
      </c>
      <c r="F35" s="181">
        <f>'Indexed REC Activities'!H35*'Indexed REC Calculator'!F48</f>
        <v>0</v>
      </c>
      <c r="G35" s="181">
        <f>'Indexed REC Activities'!I35*'Indexed REC Calculator'!G48</f>
        <v>0</v>
      </c>
      <c r="H35" s="181">
        <f>'Indexed REC Activities'!J35*'Indexed REC Calculator'!H48</f>
        <v>0</v>
      </c>
      <c r="I35" s="181">
        <f>'Indexed REC Activities'!K35*'Indexed REC Calculator'!I48</f>
        <v>0</v>
      </c>
      <c r="J35" s="181">
        <f>'Indexed REC Activities'!L35*'Indexed REC Calculator'!J48</f>
        <v>0</v>
      </c>
      <c r="K35" s="181">
        <f>'Indexed REC Activities'!M35*'Indexed REC Calculator'!K48</f>
        <v>0</v>
      </c>
      <c r="L35" s="181">
        <f>'Indexed REC Activities'!N35*'Indexed REC Calculator'!L48</f>
        <v>0</v>
      </c>
      <c r="M35" s="181">
        <f>'Indexed REC Activities'!O35*'Indexed REC Calculator'!M48</f>
        <v>0</v>
      </c>
      <c r="N35" s="181">
        <f>'Indexed REC Activities'!P35*'Indexed REC Calculator'!N48</f>
        <v>0</v>
      </c>
      <c r="O35" s="181">
        <f>'Indexed REC Activities'!Q35*'Indexed REC Calculator'!O48</f>
        <v>0</v>
      </c>
      <c r="P35" s="181">
        <f>'Indexed REC Activities'!R35*'Indexed REC Calculator'!P48</f>
        <v>0</v>
      </c>
      <c r="Q35" s="181">
        <f>'Indexed REC Activities'!S35*'Indexed REC Calculator'!Q48</f>
        <v>0</v>
      </c>
      <c r="R35" s="181">
        <f>'Indexed REC Activities'!T35*'Indexed REC Calculator'!R48</f>
        <v>4813777.1550000003</v>
      </c>
      <c r="S35" s="181">
        <f>'Indexed REC Activities'!U35*'Indexed REC Calculator'!S48</f>
        <v>3681111.2535000024</v>
      </c>
      <c r="T35" s="181">
        <f>'Indexed REC Activities'!V35*'Indexed REC Calculator'!T48</f>
        <v>2599991.3514643102</v>
      </c>
      <c r="U35" s="181">
        <f>'Indexed REC Activities'!W35*'Indexed REC Calculator'!U48</f>
        <v>1572659.5028597133</v>
      </c>
      <c r="V35" s="181">
        <f>'Indexed REC Activities'!X35*'Indexed REC Calculator'!V48</f>
        <v>524988.19745437277</v>
      </c>
      <c r="W35" s="181">
        <f>'Indexed REC Activities'!Y35*'Indexed REC Calculator'!W48</f>
        <v>-492902.83485543227</v>
      </c>
      <c r="X35" s="181">
        <f>'Indexed REC Activities'!Z35*'Indexed REC Calculator'!X48</f>
        <v>-8690782.9778149277</v>
      </c>
    </row>
    <row r="36" spans="1:24" ht="15.5" x14ac:dyDescent="0.35">
      <c r="A36" s="12" t="s">
        <v>88</v>
      </c>
      <c r="B36" s="11">
        <f t="shared" si="2"/>
        <v>2035</v>
      </c>
      <c r="C36" s="181">
        <f>'Indexed REC Activities'!E36*'Indexed REC Calculator'!C49</f>
        <v>0</v>
      </c>
      <c r="D36" s="181">
        <f>'Indexed REC Activities'!F36*'Indexed REC Calculator'!D49</f>
        <v>0</v>
      </c>
      <c r="E36" s="181">
        <f>'Indexed REC Activities'!G36*'Indexed REC Calculator'!E49</f>
        <v>0</v>
      </c>
      <c r="F36" s="181">
        <f>'Indexed REC Activities'!H36*'Indexed REC Calculator'!F49</f>
        <v>0</v>
      </c>
      <c r="G36" s="181">
        <f>'Indexed REC Activities'!I36*'Indexed REC Calculator'!G49</f>
        <v>0</v>
      </c>
      <c r="H36" s="181">
        <f>'Indexed REC Activities'!J36*'Indexed REC Calculator'!H49</f>
        <v>0</v>
      </c>
      <c r="I36" s="181">
        <f>'Indexed REC Activities'!K36*'Indexed REC Calculator'!I49</f>
        <v>0</v>
      </c>
      <c r="J36" s="181">
        <f>'Indexed REC Activities'!L36*'Indexed REC Calculator'!J49</f>
        <v>0</v>
      </c>
      <c r="K36" s="181">
        <f>'Indexed REC Activities'!M36*'Indexed REC Calculator'!K49</f>
        <v>0</v>
      </c>
      <c r="L36" s="181">
        <f>'Indexed REC Activities'!N36*'Indexed REC Calculator'!L49</f>
        <v>0</v>
      </c>
      <c r="M36" s="181">
        <f>'Indexed REC Activities'!O36*'Indexed REC Calculator'!M49</f>
        <v>0</v>
      </c>
      <c r="N36" s="181">
        <f>'Indexed REC Activities'!P36*'Indexed REC Calculator'!N49</f>
        <v>0</v>
      </c>
      <c r="O36" s="181">
        <f>'Indexed REC Activities'!Q36*'Indexed REC Calculator'!O49</f>
        <v>0</v>
      </c>
      <c r="P36" s="181">
        <f>'Indexed REC Activities'!R36*'Indexed REC Calculator'!P49</f>
        <v>0</v>
      </c>
      <c r="Q36" s="181">
        <f>'Indexed REC Activities'!S36*'Indexed REC Calculator'!Q49</f>
        <v>0</v>
      </c>
      <c r="R36" s="181">
        <f>'Indexed REC Activities'!T36*'Indexed REC Calculator'!R49</f>
        <v>0</v>
      </c>
      <c r="S36" s="181">
        <f>'Indexed REC Activities'!U36*'Indexed REC Calculator'!S49</f>
        <v>3699609.3000000021</v>
      </c>
      <c r="T36" s="181">
        <f>'Indexed REC Activities'!V36*'Indexed REC Calculator'!T49</f>
        <v>2613056.6346374974</v>
      </c>
      <c r="U36" s="181">
        <f>'Indexed REC Activities'!W36*'Indexed REC Calculator'!U49</f>
        <v>1580562.3144318727</v>
      </c>
      <c r="V36" s="181">
        <f>'Indexed REC Activities'!X36*'Indexed REC Calculator'!V49</f>
        <v>527626.32909987215</v>
      </c>
      <c r="W36" s="181">
        <f>'Indexed REC Activities'!Y36*'Indexed REC Calculator'!W49</f>
        <v>-495379.73352304747</v>
      </c>
      <c r="X36" s="181">
        <f>'Indexed REC Activities'!Z36*'Indexed REC Calculator'!X49</f>
        <v>-8734455.2540853545</v>
      </c>
    </row>
    <row r="37" spans="1:24" ht="15.5" x14ac:dyDescent="0.35">
      <c r="A37" s="12" t="s">
        <v>88</v>
      </c>
      <c r="B37" s="11">
        <f t="shared" si="2"/>
        <v>2036</v>
      </c>
      <c r="C37" s="181">
        <f>'Indexed REC Activities'!E37*'Indexed REC Calculator'!C50</f>
        <v>0</v>
      </c>
      <c r="D37" s="181">
        <f>'Indexed REC Activities'!F37*'Indexed REC Calculator'!D50</f>
        <v>0</v>
      </c>
      <c r="E37" s="181">
        <f>'Indexed REC Activities'!G37*'Indexed REC Calculator'!E50</f>
        <v>0</v>
      </c>
      <c r="F37" s="181">
        <f>'Indexed REC Activities'!H37*'Indexed REC Calculator'!F50</f>
        <v>0</v>
      </c>
      <c r="G37" s="181">
        <f>'Indexed REC Activities'!I37*'Indexed REC Calculator'!G50</f>
        <v>0</v>
      </c>
      <c r="H37" s="181">
        <f>'Indexed REC Activities'!J37*'Indexed REC Calculator'!H50</f>
        <v>0</v>
      </c>
      <c r="I37" s="181">
        <f>'Indexed REC Activities'!K37*'Indexed REC Calculator'!I50</f>
        <v>0</v>
      </c>
      <c r="J37" s="181">
        <f>'Indexed REC Activities'!L37*'Indexed REC Calculator'!J50</f>
        <v>0</v>
      </c>
      <c r="K37" s="181">
        <f>'Indexed REC Activities'!M37*'Indexed REC Calculator'!K50</f>
        <v>0</v>
      </c>
      <c r="L37" s="181">
        <f>'Indexed REC Activities'!N37*'Indexed REC Calculator'!L50</f>
        <v>0</v>
      </c>
      <c r="M37" s="181">
        <f>'Indexed REC Activities'!O37*'Indexed REC Calculator'!M50</f>
        <v>0</v>
      </c>
      <c r="N37" s="181">
        <f>'Indexed REC Activities'!P37*'Indexed REC Calculator'!N50</f>
        <v>0</v>
      </c>
      <c r="O37" s="181">
        <f>'Indexed REC Activities'!Q37*'Indexed REC Calculator'!O50</f>
        <v>0</v>
      </c>
      <c r="P37" s="181">
        <f>'Indexed REC Activities'!R37*'Indexed REC Calculator'!P50</f>
        <v>0</v>
      </c>
      <c r="Q37" s="181">
        <f>'Indexed REC Activities'!S37*'Indexed REC Calculator'!Q50</f>
        <v>0</v>
      </c>
      <c r="R37" s="181">
        <f>'Indexed REC Activities'!T37*'Indexed REC Calculator'!R50</f>
        <v>0</v>
      </c>
      <c r="S37" s="181">
        <f>'Indexed REC Activities'!U37*'Indexed REC Calculator'!S50</f>
        <v>0</v>
      </c>
      <c r="T37" s="181">
        <f>'Indexed REC Activities'!V37*'Indexed REC Calculator'!T50</f>
        <v>2626187.5724999974</v>
      </c>
      <c r="U37" s="181">
        <f>'Indexed REC Activities'!W37*'Indexed REC Calculator'!U50</f>
        <v>1588504.8386249978</v>
      </c>
      <c r="V37" s="181">
        <f>'Indexed REC Activities'!X37*'Indexed REC Calculator'!V50</f>
        <v>530277.71768831369</v>
      </c>
      <c r="W37" s="181">
        <f>'Indexed REC Activities'!Y37*'Indexed REC Calculator'!W50</f>
        <v>-497869.0789176356</v>
      </c>
      <c r="X37" s="181">
        <f>'Indexed REC Activities'!Z37*'Indexed REC Calculator'!X50</f>
        <v>-8778346.9890305065</v>
      </c>
    </row>
    <row r="38" spans="1:24" ht="15.5" x14ac:dyDescent="0.35">
      <c r="A38" s="12" t="s">
        <v>88</v>
      </c>
      <c r="B38" s="11">
        <f t="shared" si="2"/>
        <v>2037</v>
      </c>
      <c r="C38" s="181">
        <f>'Indexed REC Activities'!E38*'Indexed REC Calculator'!C51</f>
        <v>0</v>
      </c>
      <c r="D38" s="181">
        <f>'Indexed REC Activities'!F38*'Indexed REC Calculator'!D51</f>
        <v>0</v>
      </c>
      <c r="E38" s="181">
        <f>'Indexed REC Activities'!G38*'Indexed REC Calculator'!E51</f>
        <v>0</v>
      </c>
      <c r="F38" s="181">
        <f>'Indexed REC Activities'!H38*'Indexed REC Calculator'!F51</f>
        <v>0</v>
      </c>
      <c r="G38" s="181">
        <f>'Indexed REC Activities'!I38*'Indexed REC Calculator'!G51</f>
        <v>0</v>
      </c>
      <c r="H38" s="181">
        <f>'Indexed REC Activities'!J38*'Indexed REC Calculator'!H51</f>
        <v>0</v>
      </c>
      <c r="I38" s="181">
        <f>'Indexed REC Activities'!K38*'Indexed REC Calculator'!I51</f>
        <v>0</v>
      </c>
      <c r="J38" s="181">
        <f>'Indexed REC Activities'!L38*'Indexed REC Calculator'!J51</f>
        <v>0</v>
      </c>
      <c r="K38" s="181">
        <f>'Indexed REC Activities'!M38*'Indexed REC Calculator'!K51</f>
        <v>0</v>
      </c>
      <c r="L38" s="181">
        <f>'Indexed REC Activities'!N38*'Indexed REC Calculator'!L51</f>
        <v>0</v>
      </c>
      <c r="M38" s="181">
        <f>'Indexed REC Activities'!O38*'Indexed REC Calculator'!M51</f>
        <v>0</v>
      </c>
      <c r="N38" s="181">
        <f>'Indexed REC Activities'!P38*'Indexed REC Calculator'!N51</f>
        <v>0</v>
      </c>
      <c r="O38" s="181">
        <f>'Indexed REC Activities'!Q38*'Indexed REC Calculator'!O51</f>
        <v>0</v>
      </c>
      <c r="P38" s="181">
        <f>'Indexed REC Activities'!R38*'Indexed REC Calculator'!P51</f>
        <v>0</v>
      </c>
      <c r="Q38" s="181">
        <f>'Indexed REC Activities'!S38*'Indexed REC Calculator'!Q51</f>
        <v>0</v>
      </c>
      <c r="R38" s="181">
        <f>'Indexed REC Activities'!T38*'Indexed REC Calculator'!R51</f>
        <v>0</v>
      </c>
      <c r="S38" s="181">
        <f>'Indexed REC Activities'!U38*'Indexed REC Calculator'!S51</f>
        <v>0</v>
      </c>
      <c r="T38" s="181">
        <f>'Indexed REC Activities'!V38*'Indexed REC Calculator'!T51</f>
        <v>0</v>
      </c>
      <c r="U38" s="181">
        <f>'Indexed REC Activities'!W38*'Indexed REC Calculator'!U51</f>
        <v>1596487.2749999976</v>
      </c>
      <c r="V38" s="181">
        <f>'Indexed REC Activities'!X38*'Indexed REC Calculator'!V51</f>
        <v>532942.42983750114</v>
      </c>
      <c r="W38" s="181">
        <f>'Indexed REC Activities'!Y38*'Indexed REC Calculator'!W51</f>
        <v>-500370.93358556344</v>
      </c>
      <c r="X38" s="181">
        <f>'Indexed REC Activities'!Z38*'Indexed REC Calculator'!X51</f>
        <v>-8822459.2854577955</v>
      </c>
    </row>
    <row r="39" spans="1:24" ht="15.5" x14ac:dyDescent="0.35">
      <c r="A39" s="12" t="s">
        <v>88</v>
      </c>
      <c r="B39" s="11">
        <f t="shared" si="2"/>
        <v>2038</v>
      </c>
      <c r="C39" s="181">
        <f>'Indexed REC Activities'!E39*'Indexed REC Calculator'!C52</f>
        <v>0</v>
      </c>
      <c r="D39" s="181">
        <f>'Indexed REC Activities'!F39*'Indexed REC Calculator'!D52</f>
        <v>0</v>
      </c>
      <c r="E39" s="181">
        <f>'Indexed REC Activities'!G39*'Indexed REC Calculator'!E52</f>
        <v>0</v>
      </c>
      <c r="F39" s="181">
        <f>'Indexed REC Activities'!H39*'Indexed REC Calculator'!F52</f>
        <v>0</v>
      </c>
      <c r="G39" s="181">
        <f>'Indexed REC Activities'!I39*'Indexed REC Calculator'!G52</f>
        <v>0</v>
      </c>
      <c r="H39" s="181">
        <f>'Indexed REC Activities'!J39*'Indexed REC Calculator'!H52</f>
        <v>0</v>
      </c>
      <c r="I39" s="181">
        <f>'Indexed REC Activities'!K39*'Indexed REC Calculator'!I52</f>
        <v>0</v>
      </c>
      <c r="J39" s="181">
        <f>'Indexed REC Activities'!L39*'Indexed REC Calculator'!J52</f>
        <v>0</v>
      </c>
      <c r="K39" s="181">
        <f>'Indexed REC Activities'!M39*'Indexed REC Calculator'!K52</f>
        <v>0</v>
      </c>
      <c r="L39" s="181">
        <f>'Indexed REC Activities'!N39*'Indexed REC Calculator'!L52</f>
        <v>0</v>
      </c>
      <c r="M39" s="181">
        <f>'Indexed REC Activities'!O39*'Indexed REC Calculator'!M52</f>
        <v>0</v>
      </c>
      <c r="N39" s="181">
        <f>'Indexed REC Activities'!P39*'Indexed REC Calculator'!N52</f>
        <v>0</v>
      </c>
      <c r="O39" s="181">
        <f>'Indexed REC Activities'!Q39*'Indexed REC Calculator'!O52</f>
        <v>0</v>
      </c>
      <c r="P39" s="181">
        <f>'Indexed REC Activities'!R39*'Indexed REC Calculator'!P52</f>
        <v>0</v>
      </c>
      <c r="Q39" s="181">
        <f>'Indexed REC Activities'!S39*'Indexed REC Calculator'!Q52</f>
        <v>0</v>
      </c>
      <c r="R39" s="181">
        <f>'Indexed REC Activities'!T39*'Indexed REC Calculator'!R52</f>
        <v>0</v>
      </c>
      <c r="S39" s="181">
        <f>'Indexed REC Activities'!U39*'Indexed REC Calculator'!S52</f>
        <v>0</v>
      </c>
      <c r="T39" s="181">
        <f>'Indexed REC Activities'!V39*'Indexed REC Calculator'!T52</f>
        <v>0</v>
      </c>
      <c r="U39" s="181">
        <f>'Indexed REC Activities'!W39*'Indexed REC Calculator'!U52</f>
        <v>0</v>
      </c>
      <c r="V39" s="181">
        <f>'Indexed REC Activities'!X39*'Indexed REC Calculator'!V52</f>
        <v>535620.53250000114</v>
      </c>
      <c r="W39" s="181">
        <f>'Indexed REC Activities'!Y39*'Indexed REC Calculator'!W52</f>
        <v>-502885.36038750096</v>
      </c>
      <c r="X39" s="181">
        <f>'Indexed REC Activities'!Z39*'Indexed REC Calculator'!X52</f>
        <v>-8866793.2517163772</v>
      </c>
    </row>
    <row r="40" spans="1:24" ht="15.5" x14ac:dyDescent="0.35">
      <c r="A40" s="12" t="s">
        <v>88</v>
      </c>
      <c r="B40" s="11">
        <f t="shared" si="2"/>
        <v>2039</v>
      </c>
      <c r="C40" s="181">
        <f>'Indexed REC Activities'!E40*'Indexed REC Calculator'!C53</f>
        <v>0</v>
      </c>
      <c r="D40" s="181">
        <f>'Indexed REC Activities'!F40*'Indexed REC Calculator'!D53</f>
        <v>0</v>
      </c>
      <c r="E40" s="181">
        <f>'Indexed REC Activities'!G40*'Indexed REC Calculator'!E53</f>
        <v>0</v>
      </c>
      <c r="F40" s="181">
        <f>'Indexed REC Activities'!H40*'Indexed REC Calculator'!F53</f>
        <v>0</v>
      </c>
      <c r="G40" s="181">
        <f>'Indexed REC Activities'!I40*'Indexed REC Calculator'!G53</f>
        <v>0</v>
      </c>
      <c r="H40" s="181">
        <f>'Indexed REC Activities'!J40*'Indexed REC Calculator'!H53</f>
        <v>0</v>
      </c>
      <c r="I40" s="181">
        <f>'Indexed REC Activities'!K40*'Indexed REC Calculator'!I53</f>
        <v>0</v>
      </c>
      <c r="J40" s="181">
        <f>'Indexed REC Activities'!L40*'Indexed REC Calculator'!J53</f>
        <v>0</v>
      </c>
      <c r="K40" s="181">
        <f>'Indexed REC Activities'!M40*'Indexed REC Calculator'!K53</f>
        <v>0</v>
      </c>
      <c r="L40" s="181">
        <f>'Indexed REC Activities'!N40*'Indexed REC Calculator'!L53</f>
        <v>0</v>
      </c>
      <c r="M40" s="181">
        <f>'Indexed REC Activities'!O40*'Indexed REC Calculator'!M53</f>
        <v>0</v>
      </c>
      <c r="N40" s="181">
        <f>'Indexed REC Activities'!P40*'Indexed REC Calculator'!N53</f>
        <v>0</v>
      </c>
      <c r="O40" s="181">
        <f>'Indexed REC Activities'!Q40*'Indexed REC Calculator'!O53</f>
        <v>0</v>
      </c>
      <c r="P40" s="181">
        <f>'Indexed REC Activities'!R40*'Indexed REC Calculator'!P53</f>
        <v>0</v>
      </c>
      <c r="Q40" s="181">
        <f>'Indexed REC Activities'!S40*'Indexed REC Calculator'!Q53</f>
        <v>0</v>
      </c>
      <c r="R40" s="181">
        <f>'Indexed REC Activities'!T40*'Indexed REC Calculator'!R53</f>
        <v>0</v>
      </c>
      <c r="S40" s="181">
        <f>'Indexed REC Activities'!U40*'Indexed REC Calculator'!S53</f>
        <v>0</v>
      </c>
      <c r="T40" s="181">
        <f>'Indexed REC Activities'!V40*'Indexed REC Calculator'!T53</f>
        <v>0</v>
      </c>
      <c r="U40" s="181">
        <f>'Indexed REC Activities'!W40*'Indexed REC Calculator'!U53</f>
        <v>0</v>
      </c>
      <c r="V40" s="181">
        <f>'Indexed REC Activities'!X40*'Indexed REC Calculator'!V53</f>
        <v>0</v>
      </c>
      <c r="W40" s="181">
        <f>'Indexed REC Activities'!Y40*'Indexed REC Calculator'!W53</f>
        <v>-505412.42250000098</v>
      </c>
      <c r="X40" s="181">
        <f>'Indexed REC Activities'!Z40*'Indexed REC Calculator'!X53</f>
        <v>-8956142.5965075418</v>
      </c>
    </row>
    <row r="41" spans="1:24" ht="15.5" x14ac:dyDescent="0.35">
      <c r="A41" s="12" t="s">
        <v>88</v>
      </c>
      <c r="B41" s="11">
        <f t="shared" si="2"/>
        <v>2040</v>
      </c>
      <c r="C41" s="181">
        <f>'Indexed REC Activities'!E41*'Indexed REC Calculator'!C54</f>
        <v>0</v>
      </c>
      <c r="D41" s="181">
        <f>'Indexed REC Activities'!F41*'Indexed REC Calculator'!D54</f>
        <v>0</v>
      </c>
      <c r="E41" s="181">
        <f>'Indexed REC Activities'!G41*'Indexed REC Calculator'!E54</f>
        <v>0</v>
      </c>
      <c r="F41" s="181">
        <f>'Indexed REC Activities'!H41*'Indexed REC Calculator'!F54</f>
        <v>0</v>
      </c>
      <c r="G41" s="181">
        <f>'Indexed REC Activities'!I41*'Indexed REC Calculator'!G54</f>
        <v>0</v>
      </c>
      <c r="H41" s="181">
        <f>'Indexed REC Activities'!J41*'Indexed REC Calculator'!H54</f>
        <v>0</v>
      </c>
      <c r="I41" s="181">
        <f>'Indexed REC Activities'!K41*'Indexed REC Calculator'!I54</f>
        <v>0</v>
      </c>
      <c r="J41" s="181">
        <f>'Indexed REC Activities'!L41*'Indexed REC Calculator'!J54</f>
        <v>0</v>
      </c>
      <c r="K41" s="181">
        <f>'Indexed REC Activities'!M41*'Indexed REC Calculator'!K54</f>
        <v>0</v>
      </c>
      <c r="L41" s="181">
        <f>'Indexed REC Activities'!N41*'Indexed REC Calculator'!L54</f>
        <v>0</v>
      </c>
      <c r="M41" s="181">
        <f>'Indexed REC Activities'!O41*'Indexed REC Calculator'!M54</f>
        <v>0</v>
      </c>
      <c r="N41" s="181">
        <f>'Indexed REC Activities'!P41*'Indexed REC Calculator'!N54</f>
        <v>0</v>
      </c>
      <c r="O41" s="181">
        <f>'Indexed REC Activities'!Q41*'Indexed REC Calculator'!O54</f>
        <v>0</v>
      </c>
      <c r="P41" s="181">
        <f>'Indexed REC Activities'!R41*'Indexed REC Calculator'!P54</f>
        <v>0</v>
      </c>
      <c r="Q41" s="181">
        <f>'Indexed REC Activities'!S41*'Indexed REC Calculator'!Q54</f>
        <v>0</v>
      </c>
      <c r="R41" s="181">
        <f>'Indexed REC Activities'!T41*'Indexed REC Calculator'!R54</f>
        <v>0</v>
      </c>
      <c r="S41" s="181">
        <f>'Indexed REC Activities'!U41*'Indexed REC Calculator'!S54</f>
        <v>0</v>
      </c>
      <c r="T41" s="181">
        <f>'Indexed REC Activities'!V41*'Indexed REC Calculator'!T54</f>
        <v>0</v>
      </c>
      <c r="U41" s="181">
        <f>'Indexed REC Activities'!W41*'Indexed REC Calculator'!U54</f>
        <v>0</v>
      </c>
      <c r="V41" s="181">
        <f>'Indexed REC Activities'!X41*'Indexed REC Calculator'!V54</f>
        <v>0</v>
      </c>
      <c r="W41" s="181">
        <f>'Indexed REC Activities'!Y41*'Indexed REC Calculator'!W54</f>
        <v>0</v>
      </c>
      <c r="X41" s="181">
        <f>'Indexed REC Activities'!Z41*'Indexed REC Calculator'!X54</f>
        <v>-8956130.6550000031</v>
      </c>
    </row>
    <row r="42" spans="1:24" ht="15.5" x14ac:dyDescent="0.35">
      <c r="A42" s="12" t="s">
        <v>88</v>
      </c>
      <c r="B42" s="11">
        <f t="shared" si="2"/>
        <v>2041</v>
      </c>
      <c r="C42" s="181">
        <f>'Indexed REC Activities'!E42*'Indexed REC Calculator'!C55</f>
        <v>0</v>
      </c>
      <c r="D42" s="181">
        <f>'Indexed REC Activities'!F42*'Indexed REC Calculator'!D55</f>
        <v>0</v>
      </c>
      <c r="E42" s="181">
        <f>'Indexed REC Activities'!G42*'Indexed REC Calculator'!E55</f>
        <v>0</v>
      </c>
      <c r="F42" s="181">
        <f>'Indexed REC Activities'!H42*'Indexed REC Calculator'!F55</f>
        <v>0</v>
      </c>
      <c r="G42" s="181">
        <f>'Indexed REC Activities'!I42*'Indexed REC Calculator'!G55</f>
        <v>0</v>
      </c>
      <c r="H42" s="181">
        <f>'Indexed REC Activities'!J42*'Indexed REC Calculator'!H55</f>
        <v>0</v>
      </c>
      <c r="I42" s="181">
        <f>'Indexed REC Activities'!K42*'Indexed REC Calculator'!I55</f>
        <v>0</v>
      </c>
      <c r="J42" s="181">
        <f>'Indexed REC Activities'!L42*'Indexed REC Calculator'!J55</f>
        <v>0</v>
      </c>
      <c r="K42" s="181">
        <f>'Indexed REC Activities'!M42*'Indexed REC Calculator'!K55</f>
        <v>0</v>
      </c>
      <c r="L42" s="181">
        <f>'Indexed REC Activities'!N42*'Indexed REC Calculator'!L55</f>
        <v>0</v>
      </c>
      <c r="M42" s="181">
        <f>'Indexed REC Activities'!O42*'Indexed REC Calculator'!M55</f>
        <v>0</v>
      </c>
      <c r="N42" s="181">
        <f>'Indexed REC Activities'!P42*'Indexed REC Calculator'!N55</f>
        <v>0</v>
      </c>
      <c r="O42" s="181">
        <f>'Indexed REC Activities'!Q42*'Indexed REC Calculator'!O55</f>
        <v>0</v>
      </c>
      <c r="P42" s="181">
        <f>'Indexed REC Activities'!R42*'Indexed REC Calculator'!P55</f>
        <v>0</v>
      </c>
      <c r="Q42" s="181">
        <f>'Indexed REC Activities'!S42*'Indexed REC Calculator'!Q55</f>
        <v>0</v>
      </c>
      <c r="R42" s="181">
        <f>'Indexed REC Activities'!T42*'Indexed REC Calculator'!R55</f>
        <v>0</v>
      </c>
      <c r="S42" s="181">
        <f>'Indexed REC Activities'!U42*'Indexed REC Calculator'!S55</f>
        <v>0</v>
      </c>
      <c r="T42" s="181">
        <f>'Indexed REC Activities'!V42*'Indexed REC Calculator'!T55</f>
        <v>0</v>
      </c>
      <c r="U42" s="181">
        <f>'Indexed REC Activities'!W42*'Indexed REC Calculator'!U55</f>
        <v>0</v>
      </c>
      <c r="V42" s="181">
        <f>'Indexed REC Activities'!X42*'Indexed REC Calculator'!V55</f>
        <v>0</v>
      </c>
      <c r="W42" s="181">
        <f>'Indexed REC Activities'!Y42*'Indexed REC Calculator'!W55</f>
        <v>0</v>
      </c>
      <c r="X42" s="181">
        <f>'Indexed REC Activities'!Z42*'Indexed REC Calculator'!X55</f>
        <v>0</v>
      </c>
    </row>
    <row r="43" spans="1:24" ht="15.5" x14ac:dyDescent="0.35">
      <c r="A43" s="12" t="s">
        <v>88</v>
      </c>
      <c r="B43" s="11">
        <f t="shared" si="2"/>
        <v>2042</v>
      </c>
      <c r="C43" s="181">
        <f>'Indexed REC Activities'!E43*'Indexed REC Calculator'!C56</f>
        <v>0</v>
      </c>
      <c r="D43" s="181">
        <f>'Indexed REC Activities'!F43*'Indexed REC Calculator'!D56</f>
        <v>0</v>
      </c>
      <c r="E43" s="181">
        <f>'Indexed REC Activities'!G43*'Indexed REC Calculator'!E56</f>
        <v>0</v>
      </c>
      <c r="F43" s="181">
        <f>'Indexed REC Activities'!H43*'Indexed REC Calculator'!F56</f>
        <v>0</v>
      </c>
      <c r="G43" s="181">
        <f>'Indexed REC Activities'!I43*'Indexed REC Calculator'!G56</f>
        <v>0</v>
      </c>
      <c r="H43" s="181">
        <f>'Indexed REC Activities'!J43*'Indexed REC Calculator'!H56</f>
        <v>0</v>
      </c>
      <c r="I43" s="181">
        <f>'Indexed REC Activities'!K43*'Indexed REC Calculator'!I56</f>
        <v>0</v>
      </c>
      <c r="J43" s="181">
        <f>'Indexed REC Activities'!L43*'Indexed REC Calculator'!J56</f>
        <v>0</v>
      </c>
      <c r="K43" s="181">
        <f>'Indexed REC Activities'!M43*'Indexed REC Calculator'!K56</f>
        <v>0</v>
      </c>
      <c r="L43" s="181">
        <f>'Indexed REC Activities'!N43*'Indexed REC Calculator'!L56</f>
        <v>0</v>
      </c>
      <c r="M43" s="181">
        <f>'Indexed REC Activities'!O43*'Indexed REC Calculator'!M56</f>
        <v>0</v>
      </c>
      <c r="N43" s="181">
        <f>'Indexed REC Activities'!P43*'Indexed REC Calculator'!N56</f>
        <v>0</v>
      </c>
      <c r="O43" s="181">
        <f>'Indexed REC Activities'!Q43*'Indexed REC Calculator'!O56</f>
        <v>0</v>
      </c>
      <c r="P43" s="181">
        <f>'Indexed REC Activities'!R43*'Indexed REC Calculator'!P56</f>
        <v>0</v>
      </c>
      <c r="Q43" s="181">
        <f>'Indexed REC Activities'!S43*'Indexed REC Calculator'!Q56</f>
        <v>0</v>
      </c>
      <c r="R43" s="181">
        <f>'Indexed REC Activities'!T43*'Indexed REC Calculator'!R56</f>
        <v>0</v>
      </c>
      <c r="S43" s="181">
        <f>'Indexed REC Activities'!U43*'Indexed REC Calculator'!S56</f>
        <v>0</v>
      </c>
      <c r="T43" s="181">
        <f>'Indexed REC Activities'!V43*'Indexed REC Calculator'!T56</f>
        <v>0</v>
      </c>
      <c r="U43" s="181">
        <f>'Indexed REC Activities'!W43*'Indexed REC Calculator'!U56</f>
        <v>0</v>
      </c>
      <c r="V43" s="181">
        <f>'Indexed REC Activities'!X43*'Indexed REC Calculator'!V56</f>
        <v>0</v>
      </c>
      <c r="W43" s="181">
        <f>'Indexed REC Activities'!Y43*'Indexed REC Calculator'!W56</f>
        <v>0</v>
      </c>
      <c r="X43" s="181">
        <f>'Indexed REC Activities'!Z43*'Indexed REC Calculator'!X56</f>
        <v>0</v>
      </c>
    </row>
    <row r="44" spans="1:24" ht="15.5" x14ac:dyDescent="0.35">
      <c r="A44" s="12" t="s">
        <v>83</v>
      </c>
      <c r="B44" s="11">
        <v>2022</v>
      </c>
      <c r="C44" s="181">
        <f>'Indexed REC Activities'!E44*'Indexed REC Calculator'!C57</f>
        <v>0</v>
      </c>
      <c r="D44" s="181">
        <f>'Indexed REC Activities'!F44*'Indexed REC Calculator'!D57</f>
        <v>0</v>
      </c>
      <c r="E44" s="181">
        <f>'Indexed REC Activities'!G44*'Indexed REC Calculator'!E57</f>
        <v>0</v>
      </c>
      <c r="F44" s="181">
        <f>'Indexed REC Activities'!H44*'Indexed REC Calculator'!F63</f>
        <v>2887592.2652403</v>
      </c>
      <c r="G44" s="181">
        <f>'Indexed REC Activities'!I44*'Indexed REC Calculator'!G63</f>
        <v>2856480.1701112976</v>
      </c>
      <c r="H44" s="181">
        <f>'Indexed REC Activities'!J44*'Indexed REC Calculator'!H63</f>
        <v>2829999.2457003244</v>
      </c>
      <c r="I44" s="181">
        <f>'Indexed REC Activities'!K44*'Indexed REC Calculator'!I63</f>
        <v>2820338.8220454804</v>
      </c>
      <c r="J44" s="181">
        <f>'Indexed REC Activities'!L44*'Indexed REC Calculator'!J63</f>
        <v>2688527.7742533428</v>
      </c>
      <c r="K44" s="181">
        <f>'Indexed REC Activities'!M44*'Indexed REC Calculator'!K63</f>
        <v>2537549.2360913428</v>
      </c>
      <c r="L44" s="181">
        <f>'Indexed REC Activities'!N44*'Indexed REC Calculator'!L63</f>
        <v>2504562.105855864</v>
      </c>
      <c r="M44" s="181">
        <f>'Indexed REC Activities'!O44*'Indexed REC Calculator'!M63</f>
        <v>2449505.7261931817</v>
      </c>
      <c r="N44" s="181">
        <f>'Indexed REC Activities'!P44*'Indexed REC Calculator'!N63</f>
        <v>2366635.3308065925</v>
      </c>
      <c r="O44" s="181">
        <f>'Indexed REC Activities'!Q44*'Indexed REC Calculator'!O63</f>
        <v>2291897.7891467935</v>
      </c>
      <c r="P44" s="181">
        <f>'Indexed REC Activities'!R44*'Indexed REC Calculator'!P63</f>
        <v>2195901.261171822</v>
      </c>
      <c r="Q44" s="181">
        <f>'Indexed REC Activities'!S44*'Indexed REC Calculator'!Q63</f>
        <v>2101580.5179386386</v>
      </c>
      <c r="R44" s="181">
        <f>'Indexed REC Activities'!T44*'Indexed REC Calculator'!R63</f>
        <v>2010110.4030785372</v>
      </c>
      <c r="S44" s="181">
        <f>'Indexed REC Activities'!U44*'Indexed REC Calculator'!S63</f>
        <v>1919514.0522320967</v>
      </c>
      <c r="T44" s="181">
        <f>'Indexed REC Activities'!V44*'Indexed REC Calculator'!T63</f>
        <v>1832704.3167793001</v>
      </c>
      <c r="U44" s="181">
        <f>'Indexed REC Activities'!W44*'Indexed REC Calculator'!U63</f>
        <v>1749843.8869864128</v>
      </c>
      <c r="V44" s="181">
        <f>'Indexed REC Activities'!X44*'Indexed REC Calculator'!V63</f>
        <v>1665546.7764436083</v>
      </c>
      <c r="W44" s="181">
        <f>'Indexed REC Activities'!Y44*'Indexed REC Calculator'!W63</f>
        <v>1583454.2595142617</v>
      </c>
      <c r="X44" s="181">
        <f>'Indexed REC Activities'!Z44*'Indexed REC Calculator'!X63</f>
        <v>-634619.16650918499</v>
      </c>
    </row>
    <row r="45" spans="1:24" ht="15.5" x14ac:dyDescent="0.35">
      <c r="A45" s="12" t="s">
        <v>83</v>
      </c>
      <c r="B45" s="11">
        <f t="shared" ref="B45:B64" si="3">B44+1</f>
        <v>2023</v>
      </c>
      <c r="C45" s="181">
        <f>'Indexed REC Activities'!E45*'Indexed REC Calculator'!C64</f>
        <v>0</v>
      </c>
      <c r="D45" s="181">
        <f>'Indexed REC Activities'!F45*'Indexed REC Calculator'!D64</f>
        <v>0</v>
      </c>
      <c r="E45" s="181">
        <f>'Indexed REC Activities'!G45*'Indexed REC Calculator'!E64</f>
        <v>0</v>
      </c>
      <c r="F45" s="181">
        <f>'Indexed REC Activities'!H45*'Indexed REC Calculator'!F64</f>
        <v>0</v>
      </c>
      <c r="G45" s="181">
        <f>'Indexed REC Activities'!I45*'Indexed REC Calculator'!G64</f>
        <v>4216708.4682</v>
      </c>
      <c r="H45" s="181">
        <f>'Indexed REC Activities'!J45*'Indexed REC Calculator'!H64</f>
        <v>4177617.5830687499</v>
      </c>
      <c r="I45" s="181">
        <f>'Indexed REC Activities'!K45*'Indexed REC Calculator'!I64</f>
        <v>4163356.9588718745</v>
      </c>
      <c r="J45" s="181">
        <f>'Indexed REC Activities'!L45*'Indexed REC Calculator'!J64</f>
        <v>3968778.7618155428</v>
      </c>
      <c r="K45" s="181">
        <f>'Indexed REC Activities'!M45*'Indexed REC Calculator'!K64</f>
        <v>3745905.700400467</v>
      </c>
      <c r="L45" s="181">
        <f>'Indexed REC Activities'!N45*'Indexed REC Calculator'!L64</f>
        <v>3697210.4170020386</v>
      </c>
      <c r="M45" s="181">
        <f>'Indexed REC Activities'!O45*'Indexed REC Calculator'!M64</f>
        <v>3615936.7205201825</v>
      </c>
      <c r="N45" s="181">
        <f>'Indexed REC Activities'!P45*'Indexed REC Calculator'!N64</f>
        <v>3493604.2423724006</v>
      </c>
      <c r="O45" s="181">
        <f>'Indexed REC Activities'!Q45*'Indexed REC Calculator'!O64</f>
        <v>3383277.4044314791</v>
      </c>
      <c r="P45" s="181">
        <f>'Indexed REC Activities'!R45*'Indexed REC Calculator'!P64</f>
        <v>3241568.2559958049</v>
      </c>
      <c r="Q45" s="181">
        <f>'Indexed REC Activities'!S45*'Indexed REC Calculator'!Q64</f>
        <v>3102332.8848282238</v>
      </c>
      <c r="R45" s="181">
        <f>'Indexed REC Activities'!T45*'Indexed REC Calculator'!R64</f>
        <v>2967305.5837625246</v>
      </c>
      <c r="S45" s="181">
        <f>'Indexed REC Activities'!U45*'Indexed REC Calculator'!S64</f>
        <v>2833568.1247038408</v>
      </c>
      <c r="T45" s="181">
        <f>'Indexed REC Activities'!V45*'Indexed REC Calculator'!T64</f>
        <v>2705420.4307565214</v>
      </c>
      <c r="U45" s="181">
        <f>'Indexed REC Activities'!W45*'Indexed REC Calculator'!U64</f>
        <v>2583102.6637220155</v>
      </c>
      <c r="V45" s="181">
        <f>'Indexed REC Activities'!X45*'Indexed REC Calculator'!V64</f>
        <v>2458664.0824253755</v>
      </c>
      <c r="W45" s="181">
        <f>'Indexed REC Activities'!Y45*'Indexed REC Calculator'!W64</f>
        <v>2337479.9009513133</v>
      </c>
      <c r="X45" s="181">
        <f>'Indexed REC Activities'!Z45*'Indexed REC Calculator'!X64</f>
        <v>-932117.05763158516</v>
      </c>
    </row>
    <row r="46" spans="1:24" ht="15.5" x14ac:dyDescent="0.35">
      <c r="A46" s="12" t="s">
        <v>83</v>
      </c>
      <c r="B46" s="11">
        <f t="shared" si="3"/>
        <v>2024</v>
      </c>
      <c r="C46" s="181">
        <f>'Indexed REC Activities'!E46*'Indexed REC Calculator'!C65</f>
        <v>0</v>
      </c>
      <c r="D46" s="181">
        <f>'Indexed REC Activities'!F46*'Indexed REC Calculator'!D65</f>
        <v>0</v>
      </c>
      <c r="E46" s="181">
        <f>'Indexed REC Activities'!G46*'Indexed REC Calculator'!E65</f>
        <v>0</v>
      </c>
      <c r="F46" s="181">
        <f>'Indexed REC Activities'!H46*'Indexed REC Calculator'!F65</f>
        <v>0</v>
      </c>
      <c r="G46" s="181">
        <f>'Indexed REC Activities'!I46*'Indexed REC Calculator'!G65</f>
        <v>0</v>
      </c>
      <c r="H46" s="181">
        <f>'Indexed REC Activities'!J46*'Indexed REC Calculator'!H65</f>
        <v>4198610.6362499995</v>
      </c>
      <c r="I46" s="181">
        <f>'Indexed REC Activities'!K46*'Indexed REC Calculator'!I65</f>
        <v>4184278.3506249995</v>
      </c>
      <c r="J46" s="181">
        <f>'Indexed REC Activities'!L46*'Indexed REC Calculator'!J65</f>
        <v>3988722.3736839625</v>
      </c>
      <c r="K46" s="181">
        <f>'Indexed REC Activities'!M46*'Indexed REC Calculator'!K65</f>
        <v>3764729.3471361478</v>
      </c>
      <c r="L46" s="181">
        <f>'Indexed REC Activities'!N46*'Indexed REC Calculator'!L65</f>
        <v>3715789.3638211442</v>
      </c>
      <c r="M46" s="181">
        <f>'Indexed REC Activities'!O46*'Indexed REC Calculator'!M65</f>
        <v>3634107.2568042036</v>
      </c>
      <c r="N46" s="181">
        <f>'Indexed REC Activities'!P46*'Indexed REC Calculator'!N65</f>
        <v>3511160.0425853273</v>
      </c>
      <c r="O46" s="181">
        <f>'Indexed REC Activities'!Q46*'Indexed REC Calculator'!O65</f>
        <v>3400278.7984235971</v>
      </c>
      <c r="P46" s="181">
        <f>'Indexed REC Activities'!R46*'Indexed REC Calculator'!P65</f>
        <v>3257857.5437143766</v>
      </c>
      <c r="Q46" s="181">
        <f>'Indexed REC Activities'!S46*'Indexed REC Calculator'!Q65</f>
        <v>3117922.4973147977</v>
      </c>
      <c r="R46" s="181">
        <f>'Indexed REC Activities'!T46*'Indexed REC Calculator'!R65</f>
        <v>2982216.6670980151</v>
      </c>
      <c r="S46" s="181">
        <f>'Indexed REC Activities'!U46*'Indexed REC Calculator'!S65</f>
        <v>2847807.1605063723</v>
      </c>
      <c r="T46" s="181">
        <f>'Indexed REC Activities'!V46*'Indexed REC Calculator'!T65</f>
        <v>2719015.5082980115</v>
      </c>
      <c r="U46" s="181">
        <f>'Indexed REC Activities'!W46*'Indexed REC Calculator'!U65</f>
        <v>2596083.0791176031</v>
      </c>
      <c r="V46" s="181">
        <f>'Indexed REC Activities'!X46*'Indexed REC Calculator'!V65</f>
        <v>2471019.1783169606</v>
      </c>
      <c r="W46" s="181">
        <f>'Indexed REC Activities'!Y46*'Indexed REC Calculator'!W65</f>
        <v>2349226.0311068473</v>
      </c>
      <c r="X46" s="181">
        <f>'Indexed REC Activities'!Z46*'Indexed REC Calculator'!X65</f>
        <v>-936801.06294631667</v>
      </c>
    </row>
    <row r="47" spans="1:24" ht="15.5" x14ac:dyDescent="0.35">
      <c r="A47" s="12" t="s">
        <v>83</v>
      </c>
      <c r="B47" s="11">
        <f t="shared" si="3"/>
        <v>2025</v>
      </c>
      <c r="C47" s="181">
        <f>'Indexed REC Activities'!E47*'Indexed REC Calculator'!C66</f>
        <v>0</v>
      </c>
      <c r="D47" s="181">
        <f>'Indexed REC Activities'!F47*'Indexed REC Calculator'!D66</f>
        <v>0</v>
      </c>
      <c r="E47" s="181">
        <f>'Indexed REC Activities'!G47*'Indexed REC Calculator'!E66</f>
        <v>0</v>
      </c>
      <c r="F47" s="181">
        <f>'Indexed REC Activities'!H47*'Indexed REC Calculator'!F66</f>
        <v>0</v>
      </c>
      <c r="G47" s="181">
        <f>'Indexed REC Activities'!I47*'Indexed REC Calculator'!G66</f>
        <v>0</v>
      </c>
      <c r="H47" s="181">
        <f>'Indexed REC Activities'!J47*'Indexed REC Calculator'!H66</f>
        <v>0</v>
      </c>
      <c r="I47" s="181">
        <f>'Indexed REC Activities'!K47*'Indexed REC Calculator'!I66</f>
        <v>4205304.875</v>
      </c>
      <c r="J47" s="181">
        <f>'Indexed REC Activities'!L47*'Indexed REC Calculator'!J66</f>
        <v>4008766.2047075001</v>
      </c>
      <c r="K47" s="181">
        <f>'Indexed REC Activities'!M47*'Indexed REC Calculator'!K66</f>
        <v>3783647.5850614547</v>
      </c>
      <c r="L47" s="181">
        <f>'Indexed REC Activities'!N47*'Indexed REC Calculator'!L66</f>
        <v>3734461.6721820547</v>
      </c>
      <c r="M47" s="181">
        <f>'Indexed REC Activities'!O47*'Indexed REC Calculator'!M66</f>
        <v>3652369.1023157826</v>
      </c>
      <c r="N47" s="181">
        <f>'Indexed REC Activities'!P47*'Indexed REC Calculator'!N66</f>
        <v>3528804.0628998266</v>
      </c>
      <c r="O47" s="181">
        <f>'Indexed REC Activities'!Q47*'Indexed REC Calculator'!O66</f>
        <v>3417365.6265563793</v>
      </c>
      <c r="P47" s="181">
        <f>'Indexed REC Activities'!R47*'Indexed REC Calculator'!P66</f>
        <v>3274228.6871501277</v>
      </c>
      <c r="Q47" s="181">
        <f>'Indexed REC Activities'!S47*'Indexed REC Calculator'!Q66</f>
        <v>3133590.4495626106</v>
      </c>
      <c r="R47" s="181">
        <f>'Indexed REC Activities'!T47*'Indexed REC Calculator'!R66</f>
        <v>2997202.6805005176</v>
      </c>
      <c r="S47" s="181">
        <f>'Indexed REC Activities'!U47*'Indexed REC Calculator'!S66</f>
        <v>2862117.749252636</v>
      </c>
      <c r="T47" s="181">
        <f>'Indexed REC Activities'!V47*'Indexed REC Calculator'!T66</f>
        <v>2732678.9028120721</v>
      </c>
      <c r="U47" s="181">
        <f>'Indexed REC Activities'!W47*'Indexed REC Calculator'!U66</f>
        <v>2609128.7227312597</v>
      </c>
      <c r="V47" s="181">
        <f>'Indexed REC Activities'!X47*'Indexed REC Calculator'!V66</f>
        <v>2483436.3601175481</v>
      </c>
      <c r="W47" s="181">
        <f>'Indexed REC Activities'!Y47*'Indexed REC Calculator'!W66</f>
        <v>2361031.1870420575</v>
      </c>
      <c r="X47" s="181">
        <f>'Indexed REC Activities'!Z47*'Indexed REC Calculator'!X66</f>
        <v>-941508.60597619764</v>
      </c>
    </row>
    <row r="48" spans="1:24" ht="15.5" x14ac:dyDescent="0.35">
      <c r="A48" s="12" t="s">
        <v>83</v>
      </c>
      <c r="B48" s="11">
        <f t="shared" si="3"/>
        <v>2026</v>
      </c>
      <c r="C48" s="181">
        <f>'Indexed REC Activities'!E48*'Indexed REC Calculator'!C67</f>
        <v>0</v>
      </c>
      <c r="D48" s="181">
        <f>'Indexed REC Activities'!F48*'Indexed REC Calculator'!D67</f>
        <v>0</v>
      </c>
      <c r="E48" s="181">
        <f>'Indexed REC Activities'!G48*'Indexed REC Calculator'!E67</f>
        <v>0</v>
      </c>
      <c r="F48" s="181">
        <f>'Indexed REC Activities'!H48*'Indexed REC Calculator'!F67</f>
        <v>0</v>
      </c>
      <c r="G48" s="181">
        <f>'Indexed REC Activities'!I48*'Indexed REC Calculator'!G67</f>
        <v>0</v>
      </c>
      <c r="H48" s="181">
        <f>'Indexed REC Activities'!J48*'Indexed REC Calculator'!H67</f>
        <v>0</v>
      </c>
      <c r="I48" s="181">
        <f>'Indexed REC Activities'!K48*'Indexed REC Calculator'!I67</f>
        <v>0</v>
      </c>
      <c r="J48" s="181">
        <f>'Indexed REC Activities'!L48*'Indexed REC Calculator'!J67</f>
        <v>4028910.7585</v>
      </c>
      <c r="K48" s="181">
        <f>'Indexed REC Activities'!M48*'Indexed REC Calculator'!K67</f>
        <v>3802660.8895089999</v>
      </c>
      <c r="L48" s="181">
        <f>'Indexed REC Activities'!N48*'Indexed REC Calculator'!L67</f>
        <v>3753227.811238246</v>
      </c>
      <c r="M48" s="181">
        <f>'Indexed REC Activities'!O48*'Indexed REC Calculator'!M67</f>
        <v>3670722.7158952588</v>
      </c>
      <c r="N48" s="181">
        <f>'Indexed REC Activities'!P48*'Indexed REC Calculator'!N67</f>
        <v>3546536.7466329918</v>
      </c>
      <c r="O48" s="181">
        <f>'Indexed REC Activities'!Q48*'Indexed REC Calculator'!O67</f>
        <v>3434538.3181471149</v>
      </c>
      <c r="P48" s="181">
        <f>'Indexed REC Activities'!R48*'Indexed REC Calculator'!P67</f>
        <v>3290682.0976383192</v>
      </c>
      <c r="Q48" s="181">
        <f>'Indexed REC Activities'!S48*'Indexed REC Calculator'!Q67</f>
        <v>3149337.1352388049</v>
      </c>
      <c r="R48" s="181">
        <f>'Indexed REC Activities'!T48*'Indexed REC Calculator'!R67</f>
        <v>3012264.0005030329</v>
      </c>
      <c r="S48" s="181">
        <f>'Indexed REC Activities'!U48*'Indexed REC Calculator'!S67</f>
        <v>2876500.2505051615</v>
      </c>
      <c r="T48" s="181">
        <f>'Indexed REC Activities'!V48*'Indexed REC Calculator'!T67</f>
        <v>2746410.9576000725</v>
      </c>
      <c r="U48" s="181">
        <f>'Indexed REC Activities'!W48*'Indexed REC Calculator'!U67</f>
        <v>2622239.9223429742</v>
      </c>
      <c r="V48" s="181">
        <f>'Indexed REC Activities'!X48*'Indexed REC Calculator'!V67</f>
        <v>2495915.9398166314</v>
      </c>
      <c r="W48" s="181">
        <f>'Indexed REC Activities'!Y48*'Indexed REC Calculator'!W67</f>
        <v>2372895.665368902</v>
      </c>
      <c r="X48" s="181">
        <f>'Indexed REC Activities'!Z48*'Indexed REC Calculator'!X67</f>
        <v>-946239.80500120355</v>
      </c>
    </row>
    <row r="49" spans="1:24" ht="15.5" x14ac:dyDescent="0.35">
      <c r="A49" s="12" t="s">
        <v>83</v>
      </c>
      <c r="B49" s="11">
        <f t="shared" si="3"/>
        <v>2027</v>
      </c>
      <c r="C49" s="181">
        <f>'Indexed REC Activities'!E49*'Indexed REC Calculator'!C68</f>
        <v>0</v>
      </c>
      <c r="D49" s="181">
        <f>'Indexed REC Activities'!F49*'Indexed REC Calculator'!D68</f>
        <v>0</v>
      </c>
      <c r="E49" s="181">
        <f>'Indexed REC Activities'!G49*'Indexed REC Calculator'!E68</f>
        <v>0</v>
      </c>
      <c r="F49" s="181">
        <f>'Indexed REC Activities'!H49*'Indexed REC Calculator'!F68</f>
        <v>0</v>
      </c>
      <c r="G49" s="181">
        <f>'Indexed REC Activities'!I49*'Indexed REC Calculator'!G68</f>
        <v>0</v>
      </c>
      <c r="H49" s="181">
        <f>'Indexed REC Activities'!J49*'Indexed REC Calculator'!H68</f>
        <v>0</v>
      </c>
      <c r="I49" s="181">
        <f>'Indexed REC Activities'!K49*'Indexed REC Calculator'!I68</f>
        <v>0</v>
      </c>
      <c r="J49" s="181">
        <f>'Indexed REC Activities'!L49*'Indexed REC Calculator'!J68</f>
        <v>0</v>
      </c>
      <c r="K49" s="181">
        <f>'Indexed REC Activities'!M49*'Indexed REC Calculator'!K68</f>
        <v>3821769.7381999996</v>
      </c>
      <c r="L49" s="181">
        <f>'Indexed REC Activities'!N49*'Indexed REC Calculator'!L68</f>
        <v>3772088.2525007497</v>
      </c>
      <c r="M49" s="181">
        <f>'Indexed REC Activities'!O49*'Indexed REC Calculator'!M68</f>
        <v>3689168.5586887025</v>
      </c>
      <c r="N49" s="181">
        <f>'Indexed REC Activities'!P49*'Indexed REC Calculator'!N68</f>
        <v>3564358.5393296401</v>
      </c>
      <c r="O49" s="181">
        <f>'Indexed REC Activities'!Q49*'Indexed REC Calculator'!O68</f>
        <v>3451797.3046704675</v>
      </c>
      <c r="P49" s="181">
        <f>'Indexed REC Activities'!R49*'Indexed REC Calculator'!P68</f>
        <v>3307218.1885812255</v>
      </c>
      <c r="Q49" s="181">
        <f>'Indexed REC Activities'!S49*'Indexed REC Calculator'!Q68</f>
        <v>3165162.9499887489</v>
      </c>
      <c r="R49" s="181">
        <f>'Indexed REC Activities'!T49*'Indexed REC Calculator'!R68</f>
        <v>3027401.0055306866</v>
      </c>
      <c r="S49" s="181">
        <f>'Indexed REC Activities'!U49*'Indexed REC Calculator'!S68</f>
        <v>2890955.0256333281</v>
      </c>
      <c r="T49" s="181">
        <f>'Indexed REC Activities'!V49*'Indexed REC Calculator'!T68</f>
        <v>2760212.0176885151</v>
      </c>
      <c r="U49" s="181">
        <f>'Indexed REC Activities'!W49*'Indexed REC Calculator'!U68</f>
        <v>2635417.0073798741</v>
      </c>
      <c r="V49" s="181">
        <f>'Indexed REC Activities'!X49*'Indexed REC Calculator'!V68</f>
        <v>2508458.2309714886</v>
      </c>
      <c r="W49" s="181">
        <f>'Indexed REC Activities'!Y49*'Indexed REC Calculator'!W68</f>
        <v>2384819.7641898515</v>
      </c>
      <c r="X49" s="181">
        <f>'Indexed REC Activities'!Z49*'Indexed REC Calculator'!X68</f>
        <v>-950994.77889568196</v>
      </c>
    </row>
    <row r="50" spans="1:24" ht="15.5" x14ac:dyDescent="0.35">
      <c r="A50" s="12" t="s">
        <v>83</v>
      </c>
      <c r="B50" s="11">
        <f t="shared" si="3"/>
        <v>2028</v>
      </c>
      <c r="C50" s="181">
        <f>'Indexed REC Activities'!E50*'Indexed REC Calculator'!C69</f>
        <v>0</v>
      </c>
      <c r="D50" s="181">
        <f>'Indexed REC Activities'!F50*'Indexed REC Calculator'!D69</f>
        <v>0</v>
      </c>
      <c r="E50" s="181">
        <f>'Indexed REC Activities'!G50*'Indexed REC Calculator'!E69</f>
        <v>0</v>
      </c>
      <c r="F50" s="181">
        <f>'Indexed REC Activities'!H50*'Indexed REC Calculator'!F69</f>
        <v>0</v>
      </c>
      <c r="G50" s="181">
        <f>'Indexed REC Activities'!I50*'Indexed REC Calculator'!G69</f>
        <v>0</v>
      </c>
      <c r="H50" s="181">
        <f>'Indexed REC Activities'!J50*'Indexed REC Calculator'!H69</f>
        <v>0</v>
      </c>
      <c r="I50" s="181">
        <f>'Indexed REC Activities'!K50*'Indexed REC Calculator'!I69</f>
        <v>0</v>
      </c>
      <c r="J50" s="181">
        <f>'Indexed REC Activities'!L50*'Indexed REC Calculator'!J69</f>
        <v>0</v>
      </c>
      <c r="K50" s="181">
        <f>'Indexed REC Activities'!M50*'Indexed REC Calculator'!K69</f>
        <v>0</v>
      </c>
      <c r="L50" s="181">
        <f>'Indexed REC Activities'!N50*'Indexed REC Calculator'!L69</f>
        <v>3791043.4698499995</v>
      </c>
      <c r="M50" s="181">
        <f>'Indexed REC Activities'!O50*'Indexed REC Calculator'!M69</f>
        <v>3707707.0941594997</v>
      </c>
      <c r="N50" s="181">
        <f>'Indexed REC Activities'!P50*'Indexed REC Calculator'!N69</f>
        <v>3582269.8887735074</v>
      </c>
      <c r="O50" s="181">
        <f>'Indexed REC Activities'!Q50*'Indexed REC Calculator'!O69</f>
        <v>3469143.0197693142</v>
      </c>
      <c r="P50" s="181">
        <f>'Indexed REC Activities'!R50*'Indexed REC Calculator'!P69</f>
        <v>3323837.3754585185</v>
      </c>
      <c r="Q50" s="181">
        <f>'Indexed REC Activities'!S50*'Indexed REC Calculator'!Q69</f>
        <v>3181068.2914459789</v>
      </c>
      <c r="R50" s="181">
        <f>'Indexed REC Activities'!T50*'Indexed REC Calculator'!R69</f>
        <v>3042614.0759102376</v>
      </c>
      <c r="S50" s="181">
        <f>'Indexed REC Activities'!U50*'Indexed REC Calculator'!S69</f>
        <v>2905482.4378224406</v>
      </c>
      <c r="T50" s="181">
        <f>'Indexed REC Activities'!V50*'Indexed REC Calculator'!T69</f>
        <v>2774082.4298377032</v>
      </c>
      <c r="U50" s="181">
        <f>'Indexed REC Activities'!W50*'Indexed REC Calculator'!U69</f>
        <v>2648660.3089244966</v>
      </c>
      <c r="V50" s="181">
        <f>'Indexed REC Activities'!X50*'Indexed REC Calculator'!V69</f>
        <v>2521063.5487150643</v>
      </c>
      <c r="W50" s="181">
        <f>'Indexed REC Activities'!Y50*'Indexed REC Calculator'!W69</f>
        <v>2396803.783105378</v>
      </c>
      <c r="X50" s="181">
        <f>'Indexed REC Activities'!Z50*'Indexed REC Calculator'!X69</f>
        <v>-955773.64713133872</v>
      </c>
    </row>
    <row r="51" spans="1:24" ht="15.5" x14ac:dyDescent="0.35">
      <c r="A51" s="12" t="s">
        <v>83</v>
      </c>
      <c r="B51" s="11">
        <f t="shared" si="3"/>
        <v>2029</v>
      </c>
      <c r="C51" s="181">
        <f>'Indexed REC Activities'!E51*'Indexed REC Calculator'!C70</f>
        <v>0</v>
      </c>
      <c r="D51" s="181">
        <f>'Indexed REC Activities'!F51*'Indexed REC Calculator'!D70</f>
        <v>0</v>
      </c>
      <c r="E51" s="181">
        <f>'Indexed REC Activities'!G51*'Indexed REC Calculator'!E70</f>
        <v>0</v>
      </c>
      <c r="F51" s="181">
        <f>'Indexed REC Activities'!H51*'Indexed REC Calculator'!F70</f>
        <v>0</v>
      </c>
      <c r="G51" s="181">
        <f>'Indexed REC Activities'!I51*'Indexed REC Calculator'!G70</f>
        <v>0</v>
      </c>
      <c r="H51" s="181">
        <f>'Indexed REC Activities'!J51*'Indexed REC Calculator'!H70</f>
        <v>0</v>
      </c>
      <c r="I51" s="181">
        <f>'Indexed REC Activities'!K51*'Indexed REC Calculator'!I70</f>
        <v>0</v>
      </c>
      <c r="J51" s="181">
        <f>'Indexed REC Activities'!L51*'Indexed REC Calculator'!J70</f>
        <v>0</v>
      </c>
      <c r="K51" s="181">
        <f>'Indexed REC Activities'!M51*'Indexed REC Calculator'!K70</f>
        <v>0</v>
      </c>
      <c r="L51" s="181">
        <f>'Indexed REC Activities'!N51*'Indexed REC Calculator'!L70</f>
        <v>0</v>
      </c>
      <c r="M51" s="181">
        <f>'Indexed REC Activities'!O51*'Indexed REC Calculator'!M70</f>
        <v>3726338.7881</v>
      </c>
      <c r="N51" s="181">
        <f>'Indexed REC Activities'!P51*'Indexed REC Calculator'!N70</f>
        <v>3600271.2449984998</v>
      </c>
      <c r="O51" s="181">
        <f>'Indexed REC Activities'!Q51*'Indexed REC Calculator'!O70</f>
        <v>3486575.8992656423</v>
      </c>
      <c r="P51" s="181">
        <f>'Indexed REC Activities'!R51*'Indexed REC Calculator'!P70</f>
        <v>3340540.0758377071</v>
      </c>
      <c r="Q51" s="181">
        <f>'Indexed REC Activities'!S51*'Indexed REC Calculator'!Q70</f>
        <v>3197053.5592421899</v>
      </c>
      <c r="R51" s="181">
        <f>'Indexed REC Activities'!T51*'Indexed REC Calculator'!R70</f>
        <v>3057903.5938796359</v>
      </c>
      <c r="S51" s="181">
        <f>'Indexed REC Activities'!U51*'Indexed REC Calculator'!S70</f>
        <v>2920082.8520828551</v>
      </c>
      <c r="T51" s="181">
        <f>'Indexed REC Activities'!V51*'Indexed REC Calculator'!T70</f>
        <v>2788022.5425504558</v>
      </c>
      <c r="U51" s="181">
        <f>'Indexed REC Activities'!W51*'Indexed REC Calculator'!U70</f>
        <v>2661970.1597231119</v>
      </c>
      <c r="V51" s="181">
        <f>'Indexed REC Activities'!X51*'Indexed REC Calculator'!V70</f>
        <v>2533732.2097638836</v>
      </c>
      <c r="W51" s="181">
        <f>'Indexed REC Activities'!Y51*'Indexed REC Calculator'!W70</f>
        <v>2408848.0232214858</v>
      </c>
      <c r="X51" s="181">
        <f>'Indexed REC Activities'!Z51*'Indexed REC Calculator'!X70</f>
        <v>-960576.5297802398</v>
      </c>
    </row>
    <row r="52" spans="1:24" ht="15.5" x14ac:dyDescent="0.35">
      <c r="A52" s="12" t="s">
        <v>83</v>
      </c>
      <c r="B52" s="11">
        <f t="shared" si="3"/>
        <v>2030</v>
      </c>
      <c r="C52" s="181">
        <f>'Indexed REC Activities'!E52*'Indexed REC Calculator'!C71</f>
        <v>0</v>
      </c>
      <c r="D52" s="181">
        <f>'Indexed REC Activities'!F52*'Indexed REC Calculator'!D71</f>
        <v>0</v>
      </c>
      <c r="E52" s="181">
        <f>'Indexed REC Activities'!G52*'Indexed REC Calculator'!E71</f>
        <v>0</v>
      </c>
      <c r="F52" s="181">
        <f>'Indexed REC Activities'!H52*'Indexed REC Calculator'!F71</f>
        <v>0</v>
      </c>
      <c r="G52" s="181">
        <f>'Indexed REC Activities'!I52*'Indexed REC Calculator'!G71</f>
        <v>0</v>
      </c>
      <c r="H52" s="181">
        <f>'Indexed REC Activities'!J52*'Indexed REC Calculator'!H71</f>
        <v>0</v>
      </c>
      <c r="I52" s="181">
        <f>'Indexed REC Activities'!K52*'Indexed REC Calculator'!I71</f>
        <v>0</v>
      </c>
      <c r="J52" s="181">
        <f>'Indexed REC Activities'!L52*'Indexed REC Calculator'!J71</f>
        <v>0</v>
      </c>
      <c r="K52" s="181">
        <f>'Indexed REC Activities'!M52*'Indexed REC Calculator'!K71</f>
        <v>0</v>
      </c>
      <c r="L52" s="181">
        <f>'Indexed REC Activities'!N52*'Indexed REC Calculator'!L71</f>
        <v>0</v>
      </c>
      <c r="M52" s="181">
        <f>'Indexed REC Activities'!O52*'Indexed REC Calculator'!M71</f>
        <v>0</v>
      </c>
      <c r="N52" s="181">
        <f>'Indexed REC Activities'!P52*'Indexed REC Calculator'!N71</f>
        <v>2128448.8589999997</v>
      </c>
      <c r="O52" s="181">
        <f>'Indexed REC Activities'!Q52*'Indexed REC Calculator'!O71</f>
        <v>2061233.1653949998</v>
      </c>
      <c r="P52" s="181">
        <f>'Indexed REC Activities'!R52*'Indexed REC Calculator'!P71</f>
        <v>1974898.0643439</v>
      </c>
      <c r="Q52" s="181">
        <f>'Indexed REC Activities'!S52*'Indexed REC Calculator'!Q71</f>
        <v>1890070.0911866331</v>
      </c>
      <c r="R52" s="181">
        <f>'Indexed REC Activities'!T52*'Indexed REC Calculator'!R71</f>
        <v>1807805.8491750732</v>
      </c>
      <c r="S52" s="181">
        <f>'Indexed REC Activities'!U52*'Indexed REC Calculator'!S71</f>
        <v>1726327.4325053829</v>
      </c>
      <c r="T52" s="181">
        <f>'Indexed REC Activities'!V52*'Indexed REC Calculator'!T71</f>
        <v>1648254.5329887415</v>
      </c>
      <c r="U52" s="181">
        <f>'Indexed REC Activities'!W52*'Indexed REC Calculator'!U71</f>
        <v>1573733.4671729899</v>
      </c>
      <c r="V52" s="181">
        <f>'Indexed REC Activities'!X52*'Indexed REC Calculator'!V71</f>
        <v>1497920.3131917729</v>
      </c>
      <c r="W52" s="181">
        <f>'Indexed REC Activities'!Y52*'Indexed REC Calculator'!W71</f>
        <v>1424089.8747983954</v>
      </c>
      <c r="X52" s="181">
        <f>'Indexed REC Activities'!Z52*'Indexed REC Calculator'!X71</f>
        <v>-567884.43971637008</v>
      </c>
    </row>
    <row r="53" spans="1:24" ht="15.5" x14ac:dyDescent="0.35">
      <c r="A53" s="12" t="s">
        <v>83</v>
      </c>
      <c r="B53" s="11">
        <f t="shared" si="3"/>
        <v>2031</v>
      </c>
      <c r="C53" s="181">
        <f>'Indexed REC Activities'!E53*'Indexed REC Calculator'!C72</f>
        <v>0</v>
      </c>
      <c r="D53" s="181">
        <f>'Indexed REC Activities'!F53*'Indexed REC Calculator'!D72</f>
        <v>0</v>
      </c>
      <c r="E53" s="181">
        <f>'Indexed REC Activities'!G53*'Indexed REC Calculator'!E72</f>
        <v>0</v>
      </c>
      <c r="F53" s="181">
        <f>'Indexed REC Activities'!H53*'Indexed REC Calculator'!F72</f>
        <v>0</v>
      </c>
      <c r="G53" s="181">
        <f>'Indexed REC Activities'!I53*'Indexed REC Calculator'!G72</f>
        <v>0</v>
      </c>
      <c r="H53" s="181">
        <f>'Indexed REC Activities'!J53*'Indexed REC Calculator'!H72</f>
        <v>0</v>
      </c>
      <c r="I53" s="181">
        <f>'Indexed REC Activities'!K53*'Indexed REC Calculator'!I72</f>
        <v>0</v>
      </c>
      <c r="J53" s="181">
        <f>'Indexed REC Activities'!L53*'Indexed REC Calculator'!J72</f>
        <v>0</v>
      </c>
      <c r="K53" s="181">
        <f>'Indexed REC Activities'!M53*'Indexed REC Calculator'!K72</f>
        <v>0</v>
      </c>
      <c r="L53" s="181">
        <f>'Indexed REC Activities'!N53*'Indexed REC Calculator'!L72</f>
        <v>0</v>
      </c>
      <c r="M53" s="181">
        <f>'Indexed REC Activities'!O53*'Indexed REC Calculator'!M72</f>
        <v>0</v>
      </c>
      <c r="N53" s="181">
        <f>'Indexed REC Activities'!P53*'Indexed REC Calculator'!N72</f>
        <v>0</v>
      </c>
      <c r="O53" s="181">
        <f>'Indexed REC Activities'!Q53*'Indexed REC Calculator'!O72</f>
        <v>2071591.1209999998</v>
      </c>
      <c r="P53" s="181">
        <f>'Indexed REC Activities'!R53*'Indexed REC Calculator'!P72</f>
        <v>1984822.1752199999</v>
      </c>
      <c r="Q53" s="181">
        <f>'Indexed REC Activities'!S53*'Indexed REC Calculator'!Q72</f>
        <v>1899567.9308408373</v>
      </c>
      <c r="R53" s="181">
        <f>'Indexed REC Activities'!T53*'Indexed REC Calculator'!R72</f>
        <v>1816890.3006784653</v>
      </c>
      <c r="S53" s="181">
        <f>'Indexed REC Activities'!U53*'Indexed REC Calculator'!S72</f>
        <v>1735002.444729028</v>
      </c>
      <c r="T53" s="181">
        <f>'Indexed REC Activities'!V53*'Indexed REC Calculator'!T72</f>
        <v>1656537.2190841623</v>
      </c>
      <c r="U53" s="181">
        <f>'Indexed REC Activities'!W53*'Indexed REC Calculator'!U72</f>
        <v>1581641.6755507437</v>
      </c>
      <c r="V53" s="181">
        <f>'Indexed REC Activities'!X53*'Indexed REC Calculator'!V72</f>
        <v>1505447.5509465055</v>
      </c>
      <c r="W53" s="181">
        <f>'Indexed REC Activities'!Y53*'Indexed REC Calculator'!W72</f>
        <v>1431246.1053250206</v>
      </c>
      <c r="X53" s="181">
        <f>'Indexed REC Activities'!Z53*'Indexed REC Calculator'!X72</f>
        <v>-570738.13036821119</v>
      </c>
    </row>
    <row r="54" spans="1:24" ht="15.5" x14ac:dyDescent="0.35">
      <c r="A54" s="12" t="s">
        <v>83</v>
      </c>
      <c r="B54" s="11">
        <f t="shared" si="3"/>
        <v>2032</v>
      </c>
      <c r="C54" s="181">
        <f>'Indexed REC Activities'!E54*'Indexed REC Calculator'!C73</f>
        <v>0</v>
      </c>
      <c r="D54" s="181">
        <f>'Indexed REC Activities'!F54*'Indexed REC Calculator'!D73</f>
        <v>0</v>
      </c>
      <c r="E54" s="181">
        <f>'Indexed REC Activities'!G54*'Indexed REC Calculator'!E73</f>
        <v>0</v>
      </c>
      <c r="F54" s="181">
        <f>'Indexed REC Activities'!H54*'Indexed REC Calculator'!F73</f>
        <v>0</v>
      </c>
      <c r="G54" s="181">
        <f>'Indexed REC Activities'!I54*'Indexed REC Calculator'!G73</f>
        <v>0</v>
      </c>
      <c r="H54" s="181">
        <f>'Indexed REC Activities'!J54*'Indexed REC Calculator'!H73</f>
        <v>0</v>
      </c>
      <c r="I54" s="181">
        <f>'Indexed REC Activities'!K54*'Indexed REC Calculator'!I73</f>
        <v>0</v>
      </c>
      <c r="J54" s="181">
        <f>'Indexed REC Activities'!L54*'Indexed REC Calculator'!J73</f>
        <v>0</v>
      </c>
      <c r="K54" s="181">
        <f>'Indexed REC Activities'!M54*'Indexed REC Calculator'!K73</f>
        <v>0</v>
      </c>
      <c r="L54" s="181">
        <f>'Indexed REC Activities'!N54*'Indexed REC Calculator'!L73</f>
        <v>0</v>
      </c>
      <c r="M54" s="181">
        <f>'Indexed REC Activities'!O54*'Indexed REC Calculator'!M73</f>
        <v>0</v>
      </c>
      <c r="N54" s="181">
        <f>'Indexed REC Activities'!P54*'Indexed REC Calculator'!N73</f>
        <v>0</v>
      </c>
      <c r="O54" s="181">
        <f>'Indexed REC Activities'!Q54*'Indexed REC Calculator'!O73</f>
        <v>0</v>
      </c>
      <c r="P54" s="181">
        <f>'Indexed REC Activities'!R54*'Indexed REC Calculator'!P73</f>
        <v>1994796.156</v>
      </c>
      <c r="Q54" s="181">
        <f>'Indexed REC Activities'!S54*'Indexed REC Calculator'!Q73</f>
        <v>1909113.4983324998</v>
      </c>
      <c r="R54" s="181">
        <f>'Indexed REC Activities'!T54*'Indexed REC Calculator'!R73</f>
        <v>1826020.4026919249</v>
      </c>
      <c r="S54" s="181">
        <f>'Indexed REC Activities'!U54*'Indexed REC Calculator'!S73</f>
        <v>1743721.0499789226</v>
      </c>
      <c r="T54" s="181">
        <f>'Indexed REC Activities'!V54*'Indexed REC Calculator'!T73</f>
        <v>1664861.5267177511</v>
      </c>
      <c r="U54" s="181">
        <f>'Indexed REC Activities'!W54*'Indexed REC Calculator'!U73</f>
        <v>1589589.6236690891</v>
      </c>
      <c r="V54" s="181">
        <f>'Indexed REC Activities'!X54*'Indexed REC Calculator'!V73</f>
        <v>1513012.6140165883</v>
      </c>
      <c r="W54" s="181">
        <f>'Indexed REC Activities'!Y54*'Indexed REC Calculator'!W73</f>
        <v>1438438.2968090661</v>
      </c>
      <c r="X54" s="181">
        <f>'Indexed REC Activities'!Z54*'Indexed REC Calculator'!X73</f>
        <v>-573606.16117408162</v>
      </c>
    </row>
    <row r="55" spans="1:24" ht="15.5" x14ac:dyDescent="0.35">
      <c r="A55" s="12" t="s">
        <v>83</v>
      </c>
      <c r="B55" s="11">
        <f t="shared" si="3"/>
        <v>2033</v>
      </c>
      <c r="C55" s="181">
        <f>'Indexed REC Activities'!E55*'Indexed REC Calculator'!C74</f>
        <v>0</v>
      </c>
      <c r="D55" s="181">
        <f>'Indexed REC Activities'!F55*'Indexed REC Calculator'!D74</f>
        <v>0</v>
      </c>
      <c r="E55" s="181">
        <f>'Indexed REC Activities'!G55*'Indexed REC Calculator'!E74</f>
        <v>0</v>
      </c>
      <c r="F55" s="181">
        <f>'Indexed REC Activities'!H55*'Indexed REC Calculator'!F74</f>
        <v>0</v>
      </c>
      <c r="G55" s="181">
        <f>'Indexed REC Activities'!I55*'Indexed REC Calculator'!G74</f>
        <v>0</v>
      </c>
      <c r="H55" s="181">
        <f>'Indexed REC Activities'!J55*'Indexed REC Calculator'!H74</f>
        <v>0</v>
      </c>
      <c r="I55" s="181">
        <f>'Indexed REC Activities'!K55*'Indexed REC Calculator'!I74</f>
        <v>0</v>
      </c>
      <c r="J55" s="181">
        <f>'Indexed REC Activities'!L55*'Indexed REC Calculator'!J74</f>
        <v>0</v>
      </c>
      <c r="K55" s="181">
        <f>'Indexed REC Activities'!M55*'Indexed REC Calculator'!K74</f>
        <v>0</v>
      </c>
      <c r="L55" s="181">
        <f>'Indexed REC Activities'!N55*'Indexed REC Calculator'!L74</f>
        <v>0</v>
      </c>
      <c r="M55" s="181">
        <f>'Indexed REC Activities'!O55*'Indexed REC Calculator'!M74</f>
        <v>0</v>
      </c>
      <c r="N55" s="181">
        <f>'Indexed REC Activities'!P55*'Indexed REC Calculator'!N74</f>
        <v>0</v>
      </c>
      <c r="O55" s="181">
        <f>'Indexed REC Activities'!Q55*'Indexed REC Calculator'!O74</f>
        <v>0</v>
      </c>
      <c r="P55" s="181">
        <f>'Indexed REC Activities'!R55*'Indexed REC Calculator'!P74</f>
        <v>0</v>
      </c>
      <c r="Q55" s="181">
        <f>'Indexed REC Activities'!S55*'Indexed REC Calculator'!Q74</f>
        <v>1918707.0334999997</v>
      </c>
      <c r="R55" s="181">
        <f>'Indexed REC Activities'!T55*'Indexed REC Calculator'!R74</f>
        <v>1835196.3846149999</v>
      </c>
      <c r="S55" s="181">
        <f>'Indexed REC Activities'!U55*'Indexed REC Calculator'!S74</f>
        <v>1752483.4673155001</v>
      </c>
      <c r="T55" s="181">
        <f>'Indexed REC Activities'!V55*'Indexed REC Calculator'!T74</f>
        <v>1673227.6650429659</v>
      </c>
      <c r="U55" s="181">
        <f>'Indexed REC Activities'!W55*'Indexed REC Calculator'!U74</f>
        <v>1597577.5112252152</v>
      </c>
      <c r="V55" s="181">
        <f>'Indexed REC Activities'!X55*'Indexed REC Calculator'!V74</f>
        <v>1520615.6924789832</v>
      </c>
      <c r="W55" s="181">
        <f>'Indexed REC Activities'!Y55*'Indexed REC Calculator'!W74</f>
        <v>1445666.6299588603</v>
      </c>
      <c r="X55" s="181">
        <f>'Indexed REC Activities'!Z55*'Indexed REC Calculator'!X74</f>
        <v>-576488.60419505683</v>
      </c>
    </row>
    <row r="56" spans="1:24" ht="15.5" x14ac:dyDescent="0.35">
      <c r="A56" s="12" t="s">
        <v>83</v>
      </c>
      <c r="B56" s="11">
        <f t="shared" si="3"/>
        <v>2034</v>
      </c>
      <c r="C56" s="181">
        <f>'Indexed REC Activities'!E56*'Indexed REC Calculator'!C75</f>
        <v>0</v>
      </c>
      <c r="D56" s="181">
        <f>'Indexed REC Activities'!F56*'Indexed REC Calculator'!D75</f>
        <v>0</v>
      </c>
      <c r="E56" s="181">
        <f>'Indexed REC Activities'!G56*'Indexed REC Calculator'!E75</f>
        <v>0</v>
      </c>
      <c r="F56" s="181">
        <f>'Indexed REC Activities'!H56*'Indexed REC Calculator'!F75</f>
        <v>0</v>
      </c>
      <c r="G56" s="181">
        <f>'Indexed REC Activities'!I56*'Indexed REC Calculator'!G75</f>
        <v>0</v>
      </c>
      <c r="H56" s="181">
        <f>'Indexed REC Activities'!J56*'Indexed REC Calculator'!H75</f>
        <v>0</v>
      </c>
      <c r="I56" s="181">
        <f>'Indexed REC Activities'!K56*'Indexed REC Calculator'!I75</f>
        <v>0</v>
      </c>
      <c r="J56" s="181">
        <f>'Indexed REC Activities'!L56*'Indexed REC Calculator'!J75</f>
        <v>0</v>
      </c>
      <c r="K56" s="181">
        <f>'Indexed REC Activities'!M56*'Indexed REC Calculator'!K75</f>
        <v>0</v>
      </c>
      <c r="L56" s="181">
        <f>'Indexed REC Activities'!N56*'Indexed REC Calculator'!L75</f>
        <v>0</v>
      </c>
      <c r="M56" s="181">
        <f>'Indexed REC Activities'!O56*'Indexed REC Calculator'!M75</f>
        <v>0</v>
      </c>
      <c r="N56" s="181">
        <f>'Indexed REC Activities'!P56*'Indexed REC Calculator'!N75</f>
        <v>0</v>
      </c>
      <c r="O56" s="181">
        <f>'Indexed REC Activities'!Q56*'Indexed REC Calculator'!O75</f>
        <v>0</v>
      </c>
      <c r="P56" s="181">
        <f>'Indexed REC Activities'!R56*'Indexed REC Calculator'!P75</f>
        <v>0</v>
      </c>
      <c r="Q56" s="181">
        <f>'Indexed REC Activities'!S56*'Indexed REC Calculator'!Q75</f>
        <v>0</v>
      </c>
      <c r="R56" s="181">
        <f>'Indexed REC Activities'!T56*'Indexed REC Calculator'!R75</f>
        <v>1844418.477</v>
      </c>
      <c r="S56" s="181">
        <f>'Indexed REC Activities'!U56*'Indexed REC Calculator'!S75</f>
        <v>1761289.9169000001</v>
      </c>
      <c r="T56" s="181">
        <f>'Indexed REC Activities'!V56*'Indexed REC Calculator'!T75</f>
        <v>1681635.8442642873</v>
      </c>
      <c r="U56" s="181">
        <f>'Indexed REC Activities'!W56*'Indexed REC Calculator'!U75</f>
        <v>1605605.5389198142</v>
      </c>
      <c r="V56" s="181">
        <f>'Indexed REC Activities'!X56*'Indexed REC Calculator'!V75</f>
        <v>1528256.9773658125</v>
      </c>
      <c r="W56" s="181">
        <f>'Indexed REC Activities'!Y56*'Indexed REC Calculator'!W75</f>
        <v>1452931.2863908145</v>
      </c>
      <c r="X56" s="181">
        <f>'Indexed REC Activities'!Z56*'Indexed REC Calculator'!X75</f>
        <v>-579385.53185432847</v>
      </c>
    </row>
    <row r="57" spans="1:24" ht="15.5" x14ac:dyDescent="0.35">
      <c r="A57" s="12" t="s">
        <v>83</v>
      </c>
      <c r="B57" s="11">
        <f t="shared" si="3"/>
        <v>2035</v>
      </c>
      <c r="C57" s="181">
        <f>'Indexed REC Activities'!E57*'Indexed REC Calculator'!C76</f>
        <v>0</v>
      </c>
      <c r="D57" s="181">
        <f>'Indexed REC Activities'!F57*'Indexed REC Calculator'!D76</f>
        <v>0</v>
      </c>
      <c r="E57" s="181">
        <f>'Indexed REC Activities'!G57*'Indexed REC Calculator'!E76</f>
        <v>0</v>
      </c>
      <c r="F57" s="181">
        <f>'Indexed REC Activities'!H57*'Indexed REC Calculator'!F76</f>
        <v>0</v>
      </c>
      <c r="G57" s="181">
        <f>'Indexed REC Activities'!I57*'Indexed REC Calculator'!G76</f>
        <v>0</v>
      </c>
      <c r="H57" s="181">
        <f>'Indexed REC Activities'!J57*'Indexed REC Calculator'!H76</f>
        <v>0</v>
      </c>
      <c r="I57" s="181">
        <f>'Indexed REC Activities'!K57*'Indexed REC Calculator'!I76</f>
        <v>0</v>
      </c>
      <c r="J57" s="181">
        <f>'Indexed REC Activities'!L57*'Indexed REC Calculator'!J76</f>
        <v>0</v>
      </c>
      <c r="K57" s="181">
        <f>'Indexed REC Activities'!M57*'Indexed REC Calculator'!K76</f>
        <v>0</v>
      </c>
      <c r="L57" s="181">
        <f>'Indexed REC Activities'!N57*'Indexed REC Calculator'!L76</f>
        <v>0</v>
      </c>
      <c r="M57" s="181">
        <f>'Indexed REC Activities'!O57*'Indexed REC Calculator'!M76</f>
        <v>0</v>
      </c>
      <c r="N57" s="181">
        <f>'Indexed REC Activities'!P57*'Indexed REC Calculator'!N76</f>
        <v>0</v>
      </c>
      <c r="O57" s="181">
        <f>'Indexed REC Activities'!Q57*'Indexed REC Calculator'!O76</f>
        <v>0</v>
      </c>
      <c r="P57" s="181">
        <f>'Indexed REC Activities'!R57*'Indexed REC Calculator'!P76</f>
        <v>0</v>
      </c>
      <c r="Q57" s="181">
        <f>'Indexed REC Activities'!S57*'Indexed REC Calculator'!Q76</f>
        <v>0</v>
      </c>
      <c r="R57" s="181">
        <f>'Indexed REC Activities'!T57*'Indexed REC Calculator'!R76</f>
        <v>0</v>
      </c>
      <c r="S57" s="181">
        <f>'Indexed REC Activities'!U57*'Indexed REC Calculator'!S76</f>
        <v>1770140.62</v>
      </c>
      <c r="T57" s="181">
        <f>'Indexed REC Activities'!V57*'Indexed REC Calculator'!T76</f>
        <v>1690086.2756424998</v>
      </c>
      <c r="U57" s="181">
        <f>'Indexed REC Activities'!W57*'Indexed REC Calculator'!U76</f>
        <v>1613673.9084621249</v>
      </c>
      <c r="V57" s="181">
        <f>'Indexed REC Activities'!X57*'Indexed REC Calculator'!V76</f>
        <v>1535936.6606691582</v>
      </c>
      <c r="W57" s="181">
        <f>'Indexed REC Activities'!Y57*'Indexed REC Calculator'!W76</f>
        <v>1460232.4486339844</v>
      </c>
      <c r="X57" s="181">
        <f>'Indexed REC Activities'!Z57*'Indexed REC Calculator'!X76</f>
        <v>-582297.01693902363</v>
      </c>
    </row>
    <row r="58" spans="1:24" ht="15.5" x14ac:dyDescent="0.35">
      <c r="A58" s="12" t="s">
        <v>83</v>
      </c>
      <c r="B58" s="11">
        <f t="shared" si="3"/>
        <v>2036</v>
      </c>
      <c r="C58" s="181">
        <f>'Indexed REC Activities'!E58*'Indexed REC Calculator'!C77</f>
        <v>0</v>
      </c>
      <c r="D58" s="181">
        <f>'Indexed REC Activities'!F58*'Indexed REC Calculator'!D77</f>
        <v>0</v>
      </c>
      <c r="E58" s="181">
        <f>'Indexed REC Activities'!G58*'Indexed REC Calculator'!E77</f>
        <v>0</v>
      </c>
      <c r="F58" s="181">
        <f>'Indexed REC Activities'!H58*'Indexed REC Calculator'!F77</f>
        <v>0</v>
      </c>
      <c r="G58" s="181">
        <f>'Indexed REC Activities'!I58*'Indexed REC Calculator'!G77</f>
        <v>0</v>
      </c>
      <c r="H58" s="181">
        <f>'Indexed REC Activities'!J58*'Indexed REC Calculator'!H77</f>
        <v>0</v>
      </c>
      <c r="I58" s="181">
        <f>'Indexed REC Activities'!K58*'Indexed REC Calculator'!I77</f>
        <v>0</v>
      </c>
      <c r="J58" s="181">
        <f>'Indexed REC Activities'!L58*'Indexed REC Calculator'!J77</f>
        <v>0</v>
      </c>
      <c r="K58" s="181">
        <f>'Indexed REC Activities'!M58*'Indexed REC Calculator'!K77</f>
        <v>0</v>
      </c>
      <c r="L58" s="181">
        <f>'Indexed REC Activities'!N58*'Indexed REC Calculator'!L77</f>
        <v>0</v>
      </c>
      <c r="M58" s="181">
        <f>'Indexed REC Activities'!O58*'Indexed REC Calculator'!M77</f>
        <v>0</v>
      </c>
      <c r="N58" s="181">
        <f>'Indexed REC Activities'!P58*'Indexed REC Calculator'!N77</f>
        <v>0</v>
      </c>
      <c r="O58" s="181">
        <f>'Indexed REC Activities'!Q58*'Indexed REC Calculator'!O77</f>
        <v>0</v>
      </c>
      <c r="P58" s="181">
        <f>'Indexed REC Activities'!R58*'Indexed REC Calculator'!P77</f>
        <v>0</v>
      </c>
      <c r="Q58" s="181">
        <f>'Indexed REC Activities'!S58*'Indexed REC Calculator'!Q77</f>
        <v>0</v>
      </c>
      <c r="R58" s="181">
        <f>'Indexed REC Activities'!T58*'Indexed REC Calculator'!R77</f>
        <v>0</v>
      </c>
      <c r="S58" s="181">
        <f>'Indexed REC Activities'!U58*'Indexed REC Calculator'!S77</f>
        <v>0</v>
      </c>
      <c r="T58" s="181">
        <f>'Indexed REC Activities'!V58*'Indexed REC Calculator'!T77</f>
        <v>1698579.1714999997</v>
      </c>
      <c r="U58" s="181">
        <f>'Indexed REC Activities'!W58*'Indexed REC Calculator'!U77</f>
        <v>1621782.8225749999</v>
      </c>
      <c r="V58" s="181">
        <f>'Indexed REC Activities'!X58*'Indexed REC Calculator'!V77</f>
        <v>1543654.9353458874</v>
      </c>
      <c r="W58" s="181">
        <f>'Indexed REC Activities'!Y58*'Indexed REC Calculator'!W77</f>
        <v>1467570.3001346576</v>
      </c>
      <c r="X58" s="181">
        <f>'Indexed REC Activities'!Z58*'Indexed REC Calculator'!X77</f>
        <v>-585223.13260203379</v>
      </c>
    </row>
    <row r="59" spans="1:24" ht="15.5" x14ac:dyDescent="0.35">
      <c r="A59" s="12" t="s">
        <v>83</v>
      </c>
      <c r="B59" s="11">
        <f t="shared" si="3"/>
        <v>2037</v>
      </c>
      <c r="C59" s="181">
        <f>'Indexed REC Activities'!E59*'Indexed REC Calculator'!C78</f>
        <v>0</v>
      </c>
      <c r="D59" s="181">
        <f>'Indexed REC Activities'!F59*'Indexed REC Calculator'!D78</f>
        <v>0</v>
      </c>
      <c r="E59" s="181">
        <f>'Indexed REC Activities'!G59*'Indexed REC Calculator'!E78</f>
        <v>0</v>
      </c>
      <c r="F59" s="181">
        <f>'Indexed REC Activities'!H59*'Indexed REC Calculator'!F78</f>
        <v>0</v>
      </c>
      <c r="G59" s="181">
        <f>'Indexed REC Activities'!I59*'Indexed REC Calculator'!G78</f>
        <v>0</v>
      </c>
      <c r="H59" s="181">
        <f>'Indexed REC Activities'!J59*'Indexed REC Calculator'!H78</f>
        <v>0</v>
      </c>
      <c r="I59" s="181">
        <f>'Indexed REC Activities'!K59*'Indexed REC Calculator'!I78</f>
        <v>0</v>
      </c>
      <c r="J59" s="181">
        <f>'Indexed REC Activities'!L59*'Indexed REC Calculator'!J78</f>
        <v>0</v>
      </c>
      <c r="K59" s="181">
        <f>'Indexed REC Activities'!M59*'Indexed REC Calculator'!K78</f>
        <v>0</v>
      </c>
      <c r="L59" s="181">
        <f>'Indexed REC Activities'!N59*'Indexed REC Calculator'!L78</f>
        <v>0</v>
      </c>
      <c r="M59" s="181">
        <f>'Indexed REC Activities'!O59*'Indexed REC Calculator'!M78</f>
        <v>0</v>
      </c>
      <c r="N59" s="181">
        <f>'Indexed REC Activities'!P59*'Indexed REC Calculator'!N78</f>
        <v>0</v>
      </c>
      <c r="O59" s="181">
        <f>'Indexed REC Activities'!Q59*'Indexed REC Calculator'!O78</f>
        <v>0</v>
      </c>
      <c r="P59" s="181">
        <f>'Indexed REC Activities'!R59*'Indexed REC Calculator'!P78</f>
        <v>0</v>
      </c>
      <c r="Q59" s="181">
        <f>'Indexed REC Activities'!S59*'Indexed REC Calculator'!Q78</f>
        <v>0</v>
      </c>
      <c r="R59" s="181">
        <f>'Indexed REC Activities'!T59*'Indexed REC Calculator'!R78</f>
        <v>0</v>
      </c>
      <c r="S59" s="181">
        <f>'Indexed REC Activities'!U59*'Indexed REC Calculator'!S78</f>
        <v>0</v>
      </c>
      <c r="T59" s="181">
        <f>'Indexed REC Activities'!V59*'Indexed REC Calculator'!T78</f>
        <v>0</v>
      </c>
      <c r="U59" s="181">
        <f>'Indexed REC Activities'!W59*'Indexed REC Calculator'!U78</f>
        <v>1629932.4849999999</v>
      </c>
      <c r="V59" s="181">
        <f>'Indexed REC Activities'!X59*'Indexed REC Calculator'!V78</f>
        <v>1551411.9953225001</v>
      </c>
      <c r="W59" s="181">
        <f>'Indexed REC Activities'!Y59*'Indexed REC Calculator'!W78</f>
        <v>1474945.0252609623</v>
      </c>
      <c r="X59" s="181">
        <f>'Indexed REC Activities'!Z59*'Indexed REC Calculator'!X78</f>
        <v>-588163.95236385311</v>
      </c>
    </row>
    <row r="60" spans="1:24" ht="15.5" x14ac:dyDescent="0.35">
      <c r="A60" s="12" t="s">
        <v>83</v>
      </c>
      <c r="B60" s="11">
        <f t="shared" si="3"/>
        <v>2038</v>
      </c>
      <c r="C60" s="181">
        <f>'Indexed REC Activities'!E60*'Indexed REC Calculator'!C79</f>
        <v>0</v>
      </c>
      <c r="D60" s="181">
        <f>'Indexed REC Activities'!F60*'Indexed REC Calculator'!D79</f>
        <v>0</v>
      </c>
      <c r="E60" s="181">
        <f>'Indexed REC Activities'!G60*'Indexed REC Calculator'!E79</f>
        <v>0</v>
      </c>
      <c r="F60" s="181">
        <f>'Indexed REC Activities'!H60*'Indexed REC Calculator'!F79</f>
        <v>0</v>
      </c>
      <c r="G60" s="181">
        <f>'Indexed REC Activities'!I60*'Indexed REC Calculator'!G79</f>
        <v>0</v>
      </c>
      <c r="H60" s="181">
        <f>'Indexed REC Activities'!J60*'Indexed REC Calculator'!H79</f>
        <v>0</v>
      </c>
      <c r="I60" s="181">
        <f>'Indexed REC Activities'!K60*'Indexed REC Calculator'!I79</f>
        <v>0</v>
      </c>
      <c r="J60" s="181">
        <f>'Indexed REC Activities'!L60*'Indexed REC Calculator'!J79</f>
        <v>0</v>
      </c>
      <c r="K60" s="181">
        <f>'Indexed REC Activities'!M60*'Indexed REC Calculator'!K79</f>
        <v>0</v>
      </c>
      <c r="L60" s="181">
        <f>'Indexed REC Activities'!N60*'Indexed REC Calculator'!L79</f>
        <v>0</v>
      </c>
      <c r="M60" s="181">
        <f>'Indexed REC Activities'!O60*'Indexed REC Calculator'!M79</f>
        <v>0</v>
      </c>
      <c r="N60" s="181">
        <f>'Indexed REC Activities'!P60*'Indexed REC Calculator'!N79</f>
        <v>0</v>
      </c>
      <c r="O60" s="181">
        <f>'Indexed REC Activities'!Q60*'Indexed REC Calculator'!O79</f>
        <v>0</v>
      </c>
      <c r="P60" s="181">
        <f>'Indexed REC Activities'!R60*'Indexed REC Calculator'!P79</f>
        <v>0</v>
      </c>
      <c r="Q60" s="181">
        <f>'Indexed REC Activities'!S60*'Indexed REC Calculator'!Q79</f>
        <v>0</v>
      </c>
      <c r="R60" s="181">
        <f>'Indexed REC Activities'!T60*'Indexed REC Calculator'!R79</f>
        <v>0</v>
      </c>
      <c r="S60" s="181">
        <f>'Indexed REC Activities'!U60*'Indexed REC Calculator'!S79</f>
        <v>0</v>
      </c>
      <c r="T60" s="181">
        <f>'Indexed REC Activities'!V60*'Indexed REC Calculator'!T79</f>
        <v>0</v>
      </c>
      <c r="U60" s="181">
        <f>'Indexed REC Activities'!W60*'Indexed REC Calculator'!U79</f>
        <v>0</v>
      </c>
      <c r="V60" s="181">
        <f>'Indexed REC Activities'!X60*'Indexed REC Calculator'!V79</f>
        <v>1559208.0355</v>
      </c>
      <c r="W60" s="181">
        <f>'Indexed REC Activities'!Y60*'Indexed REC Calculator'!W79</f>
        <v>1482356.8093074998</v>
      </c>
      <c r="X60" s="181">
        <f>'Indexed REC Activities'!Z60*'Indexed REC Calculator'!X79</f>
        <v>-591119.55011442513</v>
      </c>
    </row>
    <row r="61" spans="1:24" ht="15.5" x14ac:dyDescent="0.35">
      <c r="A61" s="12" t="s">
        <v>83</v>
      </c>
      <c r="B61" s="11">
        <f t="shared" si="3"/>
        <v>2039</v>
      </c>
      <c r="C61" s="181">
        <f>'Indexed REC Activities'!E61*'Indexed REC Calculator'!C80</f>
        <v>0</v>
      </c>
      <c r="D61" s="181">
        <f>'Indexed REC Activities'!F61*'Indexed REC Calculator'!D80</f>
        <v>0</v>
      </c>
      <c r="E61" s="181">
        <f>'Indexed REC Activities'!G61*'Indexed REC Calculator'!E80</f>
        <v>0</v>
      </c>
      <c r="F61" s="181">
        <f>'Indexed REC Activities'!H61*'Indexed REC Calculator'!F80</f>
        <v>0</v>
      </c>
      <c r="G61" s="181">
        <f>'Indexed REC Activities'!I61*'Indexed REC Calculator'!G80</f>
        <v>0</v>
      </c>
      <c r="H61" s="181">
        <f>'Indexed REC Activities'!J61*'Indexed REC Calculator'!H80</f>
        <v>0</v>
      </c>
      <c r="I61" s="181">
        <f>'Indexed REC Activities'!K61*'Indexed REC Calculator'!I80</f>
        <v>0</v>
      </c>
      <c r="J61" s="181">
        <f>'Indexed REC Activities'!L61*'Indexed REC Calculator'!J80</f>
        <v>0</v>
      </c>
      <c r="K61" s="181">
        <f>'Indexed REC Activities'!M61*'Indexed REC Calculator'!K80</f>
        <v>0</v>
      </c>
      <c r="L61" s="181">
        <f>'Indexed REC Activities'!N61*'Indexed REC Calculator'!L80</f>
        <v>0</v>
      </c>
      <c r="M61" s="181">
        <f>'Indexed REC Activities'!O61*'Indexed REC Calculator'!M80</f>
        <v>0</v>
      </c>
      <c r="N61" s="181">
        <f>'Indexed REC Activities'!P61*'Indexed REC Calculator'!N80</f>
        <v>0</v>
      </c>
      <c r="O61" s="181">
        <f>'Indexed REC Activities'!Q61*'Indexed REC Calculator'!O80</f>
        <v>0</v>
      </c>
      <c r="P61" s="181">
        <f>'Indexed REC Activities'!R61*'Indexed REC Calculator'!P80</f>
        <v>0</v>
      </c>
      <c r="Q61" s="181">
        <f>'Indexed REC Activities'!S61*'Indexed REC Calculator'!Q80</f>
        <v>0</v>
      </c>
      <c r="R61" s="181">
        <f>'Indexed REC Activities'!T61*'Indexed REC Calculator'!R80</f>
        <v>0</v>
      </c>
      <c r="S61" s="181">
        <f>'Indexed REC Activities'!U61*'Indexed REC Calculator'!S80</f>
        <v>0</v>
      </c>
      <c r="T61" s="181">
        <f>'Indexed REC Activities'!V61*'Indexed REC Calculator'!T80</f>
        <v>0</v>
      </c>
      <c r="U61" s="181">
        <f>'Indexed REC Activities'!W61*'Indexed REC Calculator'!U80</f>
        <v>0</v>
      </c>
      <c r="V61" s="181">
        <f>'Indexed REC Activities'!X61*'Indexed REC Calculator'!V80</f>
        <v>0</v>
      </c>
      <c r="W61" s="181">
        <f>'Indexed REC Activities'!Y61*'Indexed REC Calculator'!W80</f>
        <v>1489805.8384999998</v>
      </c>
      <c r="X61" s="181">
        <f>'Indexed REC Activities'!Z61*'Indexed REC Calculator'!X80</f>
        <v>-594090.00011500018</v>
      </c>
    </row>
    <row r="62" spans="1:24" ht="15.5" x14ac:dyDescent="0.35">
      <c r="A62" s="12" t="s">
        <v>83</v>
      </c>
      <c r="B62" s="11">
        <f t="shared" si="3"/>
        <v>2040</v>
      </c>
      <c r="C62" s="181">
        <f>'Indexed REC Activities'!E62*'Indexed REC Calculator'!C81</f>
        <v>0</v>
      </c>
      <c r="D62" s="181">
        <f>'Indexed REC Activities'!F62*'Indexed REC Calculator'!D81</f>
        <v>0</v>
      </c>
      <c r="E62" s="181">
        <f>'Indexed REC Activities'!G62*'Indexed REC Calculator'!E81</f>
        <v>0</v>
      </c>
      <c r="F62" s="181">
        <f>'Indexed REC Activities'!H62*'Indexed REC Calculator'!F81</f>
        <v>0</v>
      </c>
      <c r="G62" s="181">
        <f>'Indexed REC Activities'!I62*'Indexed REC Calculator'!G81</f>
        <v>0</v>
      </c>
      <c r="H62" s="181">
        <f>'Indexed REC Activities'!J62*'Indexed REC Calculator'!H81</f>
        <v>0</v>
      </c>
      <c r="I62" s="181">
        <f>'Indexed REC Activities'!K62*'Indexed REC Calculator'!I81</f>
        <v>0</v>
      </c>
      <c r="J62" s="181">
        <f>'Indexed REC Activities'!L62*'Indexed REC Calculator'!J81</f>
        <v>0</v>
      </c>
      <c r="K62" s="181">
        <f>'Indexed REC Activities'!M62*'Indexed REC Calculator'!K81</f>
        <v>0</v>
      </c>
      <c r="L62" s="181">
        <f>'Indexed REC Activities'!N62*'Indexed REC Calculator'!L81</f>
        <v>0</v>
      </c>
      <c r="M62" s="181">
        <f>'Indexed REC Activities'!O62*'Indexed REC Calculator'!M81</f>
        <v>0</v>
      </c>
      <c r="N62" s="181">
        <f>'Indexed REC Activities'!P62*'Indexed REC Calculator'!N81</f>
        <v>0</v>
      </c>
      <c r="O62" s="181">
        <f>'Indexed REC Activities'!Q62*'Indexed REC Calculator'!O81</f>
        <v>0</v>
      </c>
      <c r="P62" s="181">
        <f>'Indexed REC Activities'!R62*'Indexed REC Calculator'!P81</f>
        <v>0</v>
      </c>
      <c r="Q62" s="181">
        <f>'Indexed REC Activities'!S62*'Indexed REC Calculator'!Q81</f>
        <v>0</v>
      </c>
      <c r="R62" s="181">
        <f>'Indexed REC Activities'!T62*'Indexed REC Calculator'!R81</f>
        <v>0</v>
      </c>
      <c r="S62" s="181">
        <f>'Indexed REC Activities'!U62*'Indexed REC Calculator'!S81</f>
        <v>0</v>
      </c>
      <c r="T62" s="181">
        <f>'Indexed REC Activities'!V62*'Indexed REC Calculator'!T81</f>
        <v>0</v>
      </c>
      <c r="U62" s="181">
        <f>'Indexed REC Activities'!W62*'Indexed REC Calculator'!U81</f>
        <v>0</v>
      </c>
      <c r="V62" s="181">
        <f>'Indexed REC Activities'!X62*'Indexed REC Calculator'!V81</f>
        <v>0</v>
      </c>
      <c r="W62" s="181">
        <f>'Indexed REC Activities'!Y62*'Indexed REC Calculator'!W81</f>
        <v>0</v>
      </c>
      <c r="X62" s="181">
        <f>'Indexed REC Activities'!Z62*'Indexed REC Calculator'!X81</f>
        <v>-597075.37700000021</v>
      </c>
    </row>
    <row r="63" spans="1:24" ht="15.5" x14ac:dyDescent="0.35">
      <c r="A63" s="12" t="s">
        <v>83</v>
      </c>
      <c r="B63" s="11">
        <f t="shared" si="3"/>
        <v>2041</v>
      </c>
      <c r="C63" s="181">
        <f>'Indexed REC Activities'!E63*'Indexed REC Calculator'!C82</f>
        <v>0</v>
      </c>
      <c r="D63" s="181">
        <f>'Indexed REC Activities'!F63*'Indexed REC Calculator'!D82</f>
        <v>0</v>
      </c>
      <c r="E63" s="181">
        <f>'Indexed REC Activities'!G63*'Indexed REC Calculator'!E82</f>
        <v>0</v>
      </c>
      <c r="F63" s="181">
        <f>'Indexed REC Activities'!H63*'Indexed REC Calculator'!F82</f>
        <v>0</v>
      </c>
      <c r="G63" s="181">
        <f>'Indexed REC Activities'!I63*'Indexed REC Calculator'!G82</f>
        <v>0</v>
      </c>
      <c r="H63" s="181">
        <f>'Indexed REC Activities'!J63*'Indexed REC Calculator'!H82</f>
        <v>0</v>
      </c>
      <c r="I63" s="181">
        <f>'Indexed REC Activities'!K63*'Indexed REC Calculator'!I82</f>
        <v>0</v>
      </c>
      <c r="J63" s="181">
        <f>'Indexed REC Activities'!L63*'Indexed REC Calculator'!J82</f>
        <v>0</v>
      </c>
      <c r="K63" s="181">
        <f>'Indexed REC Activities'!M63*'Indexed REC Calculator'!K82</f>
        <v>0</v>
      </c>
      <c r="L63" s="181">
        <f>'Indexed REC Activities'!N63*'Indexed REC Calculator'!L82</f>
        <v>0</v>
      </c>
      <c r="M63" s="181">
        <f>'Indexed REC Activities'!O63*'Indexed REC Calculator'!M82</f>
        <v>0</v>
      </c>
      <c r="N63" s="181">
        <f>'Indexed REC Activities'!P63*'Indexed REC Calculator'!N82</f>
        <v>0</v>
      </c>
      <c r="O63" s="181">
        <f>'Indexed REC Activities'!Q63*'Indexed REC Calculator'!O82</f>
        <v>0</v>
      </c>
      <c r="P63" s="181">
        <f>'Indexed REC Activities'!R63*'Indexed REC Calculator'!P82</f>
        <v>0</v>
      </c>
      <c r="Q63" s="181">
        <f>'Indexed REC Activities'!S63*'Indexed REC Calculator'!Q82</f>
        <v>0</v>
      </c>
      <c r="R63" s="181">
        <f>'Indexed REC Activities'!T63*'Indexed REC Calculator'!R82</f>
        <v>0</v>
      </c>
      <c r="S63" s="181">
        <f>'Indexed REC Activities'!U63*'Indexed REC Calculator'!S82</f>
        <v>0</v>
      </c>
      <c r="T63" s="181">
        <f>'Indexed REC Activities'!V63*'Indexed REC Calculator'!T82</f>
        <v>0</v>
      </c>
      <c r="U63" s="181">
        <f>'Indexed REC Activities'!W63*'Indexed REC Calculator'!U82</f>
        <v>0</v>
      </c>
      <c r="V63" s="181">
        <f>'Indexed REC Activities'!X63*'Indexed REC Calculator'!V82</f>
        <v>0</v>
      </c>
      <c r="W63" s="181">
        <f>'Indexed REC Activities'!Y63*'Indexed REC Calculator'!W82</f>
        <v>0</v>
      </c>
      <c r="X63" s="181">
        <f>'Indexed REC Activities'!Z63*'Indexed REC Calculator'!X82</f>
        <v>0</v>
      </c>
    </row>
    <row r="64" spans="1:24" ht="15.5" x14ac:dyDescent="0.35">
      <c r="A64" s="12" t="s">
        <v>83</v>
      </c>
      <c r="B64" s="11">
        <f t="shared" si="3"/>
        <v>2042</v>
      </c>
      <c r="C64" s="181">
        <f>'Indexed REC Activities'!E64*'Indexed REC Calculator'!C83</f>
        <v>0</v>
      </c>
      <c r="D64" s="181">
        <f>'Indexed REC Activities'!F64*'Indexed REC Calculator'!D83</f>
        <v>0</v>
      </c>
      <c r="E64" s="181">
        <f>'Indexed REC Activities'!G64*'Indexed REC Calculator'!E83</f>
        <v>0</v>
      </c>
      <c r="F64" s="181">
        <f>'Indexed REC Activities'!H64*'Indexed REC Calculator'!F83</f>
        <v>0</v>
      </c>
      <c r="G64" s="181">
        <f>'Indexed REC Activities'!I64*'Indexed REC Calculator'!G83</f>
        <v>0</v>
      </c>
      <c r="H64" s="181">
        <f>'Indexed REC Activities'!J64*'Indexed REC Calculator'!H83</f>
        <v>0</v>
      </c>
      <c r="I64" s="181">
        <f>'Indexed REC Activities'!K64*'Indexed REC Calculator'!I83</f>
        <v>0</v>
      </c>
      <c r="J64" s="181">
        <f>'Indexed REC Activities'!L64*'Indexed REC Calculator'!J83</f>
        <v>0</v>
      </c>
      <c r="K64" s="181">
        <f>'Indexed REC Activities'!M64*'Indexed REC Calculator'!K83</f>
        <v>0</v>
      </c>
      <c r="L64" s="181">
        <f>'Indexed REC Activities'!N64*'Indexed REC Calculator'!L83</f>
        <v>0</v>
      </c>
      <c r="M64" s="181">
        <f>'Indexed REC Activities'!O64*'Indexed REC Calculator'!M83</f>
        <v>0</v>
      </c>
      <c r="N64" s="181">
        <f>'Indexed REC Activities'!P64*'Indexed REC Calculator'!N83</f>
        <v>0</v>
      </c>
      <c r="O64" s="181">
        <f>'Indexed REC Activities'!Q64*'Indexed REC Calculator'!O83</f>
        <v>0</v>
      </c>
      <c r="P64" s="181">
        <f>'Indexed REC Activities'!R64*'Indexed REC Calculator'!P83</f>
        <v>0</v>
      </c>
      <c r="Q64" s="181">
        <f>'Indexed REC Activities'!S64*'Indexed REC Calculator'!Q83</f>
        <v>0</v>
      </c>
      <c r="R64" s="181">
        <f>'Indexed REC Activities'!T64*'Indexed REC Calculator'!R83</f>
        <v>0</v>
      </c>
      <c r="S64" s="181">
        <f>'Indexed REC Activities'!U64*'Indexed REC Calculator'!S83</f>
        <v>0</v>
      </c>
      <c r="T64" s="181">
        <f>'Indexed REC Activities'!V64*'Indexed REC Calculator'!T83</f>
        <v>0</v>
      </c>
      <c r="U64" s="181">
        <f>'Indexed REC Activities'!W64*'Indexed REC Calculator'!U83</f>
        <v>0</v>
      </c>
      <c r="V64" s="181">
        <f>'Indexed REC Activities'!X64*'Indexed REC Calculator'!V83</f>
        <v>0</v>
      </c>
      <c r="W64" s="181">
        <f>'Indexed REC Activities'!Y64*'Indexed REC Calculator'!W83</f>
        <v>0</v>
      </c>
      <c r="X64" s="181">
        <f>'Indexed REC Activities'!Z64*'Indexed REC Calculator'!X83</f>
        <v>0</v>
      </c>
    </row>
    <row r="67" spans="1:24" ht="15.5" x14ac:dyDescent="0.35">
      <c r="A67" s="177" t="s">
        <v>103</v>
      </c>
      <c r="C67" s="220">
        <v>2022</v>
      </c>
      <c r="D67" s="220">
        <f t="shared" ref="D67:W67" si="4">C67+1</f>
        <v>2023</v>
      </c>
      <c r="E67" s="220">
        <f t="shared" si="4"/>
        <v>2024</v>
      </c>
      <c r="F67" s="220">
        <f t="shared" si="4"/>
        <v>2025</v>
      </c>
      <c r="G67" s="220">
        <f t="shared" si="4"/>
        <v>2026</v>
      </c>
      <c r="H67" s="220">
        <f t="shared" si="4"/>
        <v>2027</v>
      </c>
      <c r="I67" s="220">
        <f t="shared" si="4"/>
        <v>2028</v>
      </c>
      <c r="J67" s="220">
        <f t="shared" si="4"/>
        <v>2029</v>
      </c>
      <c r="K67" s="220">
        <f t="shared" si="4"/>
        <v>2030</v>
      </c>
      <c r="L67" s="220">
        <f t="shared" si="4"/>
        <v>2031</v>
      </c>
      <c r="M67" s="220">
        <f t="shared" si="4"/>
        <v>2032</v>
      </c>
      <c r="N67" s="220">
        <f t="shared" si="4"/>
        <v>2033</v>
      </c>
      <c r="O67" s="220">
        <f t="shared" si="4"/>
        <v>2034</v>
      </c>
      <c r="P67" s="220">
        <f t="shared" si="4"/>
        <v>2035</v>
      </c>
      <c r="Q67" s="220">
        <f t="shared" si="4"/>
        <v>2036</v>
      </c>
      <c r="R67" s="220">
        <f t="shared" si="4"/>
        <v>2037</v>
      </c>
      <c r="S67" s="220">
        <f t="shared" si="4"/>
        <v>2038</v>
      </c>
      <c r="T67" s="220">
        <f t="shared" si="4"/>
        <v>2039</v>
      </c>
      <c r="U67" s="220">
        <f t="shared" si="4"/>
        <v>2040</v>
      </c>
      <c r="V67" s="220">
        <f t="shared" si="4"/>
        <v>2041</v>
      </c>
      <c r="W67" s="220">
        <f t="shared" si="4"/>
        <v>2042</v>
      </c>
      <c r="X67" s="220">
        <f t="shared" ref="X67" si="5">W67+1</f>
        <v>2043</v>
      </c>
    </row>
    <row r="68" spans="1:24" x14ac:dyDescent="0.35">
      <c r="A68" s="12" t="s">
        <v>87</v>
      </c>
      <c r="C68" s="181">
        <f t="shared" ref="C68:X68" si="6">IFERROR(SUMIF($A$2:$A$64,$A$68, C2:C64),"error")</f>
        <v>0</v>
      </c>
      <c r="D68" s="181">
        <f t="shared" si="6"/>
        <v>0</v>
      </c>
      <c r="E68" s="181">
        <f t="shared" si="6"/>
        <v>0</v>
      </c>
      <c r="F68" s="181">
        <f t="shared" si="6"/>
        <v>4415040.2973999996</v>
      </c>
      <c r="G68" s="181">
        <f t="shared" si="6"/>
        <v>4281834.0631999997</v>
      </c>
      <c r="H68" s="181">
        <f t="shared" si="6"/>
        <v>72399537.229999989</v>
      </c>
      <c r="I68" s="181">
        <f t="shared" si="6"/>
        <v>95961870.499999985</v>
      </c>
      <c r="J68" s="181">
        <f t="shared" si="6"/>
        <v>92002393.296000034</v>
      </c>
      <c r="K68" s="181">
        <f t="shared" si="6"/>
        <v>72074472.38319999</v>
      </c>
      <c r="L68" s="181">
        <f t="shared" si="6"/>
        <v>77237184.923599973</v>
      </c>
      <c r="M68" s="181">
        <f t="shared" si="6"/>
        <v>72413665.935600027</v>
      </c>
      <c r="N68" s="181">
        <f t="shared" si="6"/>
        <v>45288784.512800001</v>
      </c>
      <c r="O68" s="181">
        <f t="shared" si="6"/>
        <v>23722997.923199974</v>
      </c>
      <c r="P68" s="181">
        <f t="shared" si="6"/>
        <v>-9479643.6047999561</v>
      </c>
      <c r="Q68" s="181">
        <f t="shared" si="6"/>
        <v>-44217730.216800019</v>
      </c>
      <c r="R68" s="181">
        <f t="shared" si="6"/>
        <v>-81742665.821599931</v>
      </c>
      <c r="S68" s="181">
        <f t="shared" si="6"/>
        <v>-122233802.49599986</v>
      </c>
      <c r="T68" s="181">
        <f t="shared" si="6"/>
        <v>-164285694.15720004</v>
      </c>
      <c r="U68" s="181">
        <f t="shared" si="6"/>
        <v>-207628404.08800012</v>
      </c>
      <c r="V68" s="181">
        <f t="shared" si="6"/>
        <v>-268552625.48339987</v>
      </c>
      <c r="W68" s="181">
        <f t="shared" si="6"/>
        <v>-304192458.34079999</v>
      </c>
      <c r="X68" s="181">
        <f t="shared" si="6"/>
        <v>-357767565.89840025</v>
      </c>
    </row>
    <row r="69" spans="1:24" x14ac:dyDescent="0.35">
      <c r="A69" s="12" t="s">
        <v>88</v>
      </c>
      <c r="C69" s="181">
        <f t="shared" ref="C69:X69" si="7">IFERROR(SUMIF($A$2:$A$64,$A$69, C2:C64),"error")</f>
        <v>0</v>
      </c>
      <c r="D69" s="181">
        <f t="shared" si="7"/>
        <v>0</v>
      </c>
      <c r="E69" s="181">
        <f t="shared" si="7"/>
        <v>0</v>
      </c>
      <c r="F69" s="181">
        <f t="shared" si="7"/>
        <v>36748306.730822481</v>
      </c>
      <c r="G69" s="181">
        <f t="shared" si="7"/>
        <v>56240550.120606646</v>
      </c>
      <c r="H69" s="181">
        <f t="shared" si="7"/>
        <v>83724923.552313715</v>
      </c>
      <c r="I69" s="181">
        <f t="shared" si="7"/>
        <v>112159230.11151236</v>
      </c>
      <c r="J69" s="181">
        <f t="shared" si="7"/>
        <v>124805492.22279581</v>
      </c>
      <c r="K69" s="181">
        <f t="shared" si="7"/>
        <v>128043312.26125075</v>
      </c>
      <c r="L69" s="181">
        <f t="shared" si="7"/>
        <v>138355689.44415233</v>
      </c>
      <c r="M69" s="181">
        <f t="shared" si="7"/>
        <v>143617032.35377264</v>
      </c>
      <c r="N69" s="181">
        <f t="shared" si="7"/>
        <v>138395416.91488376</v>
      </c>
      <c r="O69" s="181">
        <f t="shared" si="7"/>
        <v>132982380.2119197</v>
      </c>
      <c r="P69" s="181">
        <f t="shared" si="7"/>
        <v>120847447.12282185</v>
      </c>
      <c r="Q69" s="181">
        <f t="shared" si="7"/>
        <v>106758468.05279675</v>
      </c>
      <c r="R69" s="181">
        <f t="shared" si="7"/>
        <v>91070999.97713615</v>
      </c>
      <c r="S69" s="181">
        <f t="shared" si="7"/>
        <v>73341903.093164653</v>
      </c>
      <c r="T69" s="181">
        <f t="shared" si="7"/>
        <v>54428021.478186786</v>
      </c>
      <c r="U69" s="181">
        <f t="shared" si="7"/>
        <v>34518421.86194203</v>
      </c>
      <c r="V69" s="181">
        <f t="shared" si="7"/>
        <v>12058626.014181234</v>
      </c>
      <c r="W69" s="181">
        <f t="shared" si="7"/>
        <v>-11827059.224603524</v>
      </c>
      <c r="X69" s="181">
        <f t="shared" si="7"/>
        <v>-217637441.39105338</v>
      </c>
    </row>
    <row r="70" spans="1:24" x14ac:dyDescent="0.35">
      <c r="A70" s="12" t="s">
        <v>83</v>
      </c>
      <c r="C70" s="181">
        <f t="shared" ref="C70:X70" si="8">IFERROR(SUMIF($A$2:$A$64,$A$70, C2:C64),"error")</f>
        <v>0</v>
      </c>
      <c r="D70" s="181">
        <f t="shared" si="8"/>
        <v>0</v>
      </c>
      <c r="E70" s="181">
        <f t="shared" si="8"/>
        <v>0</v>
      </c>
      <c r="F70" s="181">
        <f t="shared" si="8"/>
        <v>2887592.2652403</v>
      </c>
      <c r="G70" s="181">
        <f t="shared" si="8"/>
        <v>7073188.6383112976</v>
      </c>
      <c r="H70" s="181">
        <f t="shared" si="8"/>
        <v>11206227.465019073</v>
      </c>
      <c r="I70" s="181">
        <f t="shared" si="8"/>
        <v>15373279.006542355</v>
      </c>
      <c r="J70" s="181">
        <f t="shared" si="8"/>
        <v>18683705.872960348</v>
      </c>
      <c r="K70" s="181">
        <f t="shared" si="8"/>
        <v>21456262.496398412</v>
      </c>
      <c r="L70" s="181">
        <f t="shared" si="8"/>
        <v>24968383.092450097</v>
      </c>
      <c r="M70" s="181">
        <f t="shared" si="8"/>
        <v>28145855.962676812</v>
      </c>
      <c r="N70" s="181">
        <f t="shared" si="8"/>
        <v>29322088.957398787</v>
      </c>
      <c r="O70" s="181">
        <f t="shared" si="8"/>
        <v>30467698.44680579</v>
      </c>
      <c r="P70" s="181">
        <f t="shared" si="8"/>
        <v>31186349.881111801</v>
      </c>
      <c r="Q70" s="181">
        <f t="shared" si="8"/>
        <v>31765506.839419965</v>
      </c>
      <c r="R70" s="181">
        <f t="shared" si="8"/>
        <v>32227349.42442365</v>
      </c>
      <c r="S70" s="181">
        <f t="shared" si="8"/>
        <v>32544992.584167562</v>
      </c>
      <c r="T70" s="181">
        <f t="shared" si="8"/>
        <v>32771729.341563061</v>
      </c>
      <c r="U70" s="181">
        <f t="shared" si="8"/>
        <v>32919982.783502724</v>
      </c>
      <c r="V70" s="181">
        <f t="shared" si="8"/>
        <v>32893301.10140777</v>
      </c>
      <c r="W70" s="181">
        <f t="shared" si="8"/>
        <v>32761841.229619358</v>
      </c>
      <c r="X70" s="181">
        <f t="shared" si="8"/>
        <v>-13664702.55031413</v>
      </c>
    </row>
    <row r="71" spans="1:24" x14ac:dyDescent="0.35">
      <c r="A71" s="14" t="s">
        <v>104</v>
      </c>
      <c r="C71" s="181">
        <f t="shared" ref="C71:X71" si="9">SUM(C68:C70)</f>
        <v>0</v>
      </c>
      <c r="D71" s="181">
        <f t="shared" si="9"/>
        <v>0</v>
      </c>
      <c r="E71" s="181">
        <f t="shared" si="9"/>
        <v>0</v>
      </c>
      <c r="F71" s="181">
        <f t="shared" si="9"/>
        <v>44050939.293462776</v>
      </c>
      <c r="G71" s="181">
        <f t="shared" si="9"/>
        <v>67595572.82211794</v>
      </c>
      <c r="H71" s="181">
        <f t="shared" si="9"/>
        <v>167330688.24733278</v>
      </c>
      <c r="I71" s="181">
        <f t="shared" si="9"/>
        <v>223494379.61805472</v>
      </c>
      <c r="J71" s="181">
        <f t="shared" si="9"/>
        <v>235491591.39175621</v>
      </c>
      <c r="K71" s="181">
        <f t="shared" si="9"/>
        <v>221574047.14084914</v>
      </c>
      <c r="L71" s="181">
        <f t="shared" si="9"/>
        <v>240561257.4602024</v>
      </c>
      <c r="M71" s="181">
        <f t="shared" si="9"/>
        <v>244176554.25204951</v>
      </c>
      <c r="N71" s="181">
        <f t="shared" si="9"/>
        <v>213006290.38508254</v>
      </c>
      <c r="O71" s="181">
        <f t="shared" si="9"/>
        <v>187173076.58192545</v>
      </c>
      <c r="P71" s="181">
        <f t="shared" si="9"/>
        <v>142554153.39913368</v>
      </c>
      <c r="Q71" s="181">
        <f t="shared" si="9"/>
        <v>94306244.675416693</v>
      </c>
      <c r="R71" s="181">
        <f t="shared" si="9"/>
        <v>41555683.579959869</v>
      </c>
      <c r="S71" s="181">
        <f t="shared" si="9"/>
        <v>-16346906.818667643</v>
      </c>
      <c r="T71" s="181">
        <f t="shared" si="9"/>
        <v>-77085943.337450191</v>
      </c>
      <c r="U71" s="181">
        <f t="shared" si="9"/>
        <v>-140189999.44255537</v>
      </c>
      <c r="V71" s="181">
        <f t="shared" si="9"/>
        <v>-223600698.36781088</v>
      </c>
      <c r="W71" s="181">
        <f t="shared" si="9"/>
        <v>-283257676.33578414</v>
      </c>
      <c r="X71" s="181">
        <f t="shared" si="9"/>
        <v>-589069709.83976781</v>
      </c>
    </row>
    <row r="73" spans="1:24" ht="15.5" x14ac:dyDescent="0.35">
      <c r="A73" s="177" t="s">
        <v>91</v>
      </c>
      <c r="C73" s="220">
        <v>2022</v>
      </c>
      <c r="D73" s="220">
        <f>C73+1</f>
        <v>2023</v>
      </c>
      <c r="E73" s="220">
        <f t="shared" ref="E73:W73" si="10">D73+1</f>
        <v>2024</v>
      </c>
      <c r="F73" s="220">
        <f t="shared" si="10"/>
        <v>2025</v>
      </c>
      <c r="G73" s="220">
        <f t="shared" si="10"/>
        <v>2026</v>
      </c>
      <c r="H73" s="220">
        <f t="shared" si="10"/>
        <v>2027</v>
      </c>
      <c r="I73" s="220">
        <f t="shared" si="10"/>
        <v>2028</v>
      </c>
      <c r="J73" s="220">
        <f t="shared" si="10"/>
        <v>2029</v>
      </c>
      <c r="K73" s="220">
        <f t="shared" si="10"/>
        <v>2030</v>
      </c>
      <c r="L73" s="220">
        <f t="shared" si="10"/>
        <v>2031</v>
      </c>
      <c r="M73" s="220">
        <f t="shared" si="10"/>
        <v>2032</v>
      </c>
      <c r="N73" s="220">
        <f t="shared" si="10"/>
        <v>2033</v>
      </c>
      <c r="O73" s="220">
        <f t="shared" si="10"/>
        <v>2034</v>
      </c>
      <c r="P73" s="220">
        <f t="shared" si="10"/>
        <v>2035</v>
      </c>
      <c r="Q73" s="220">
        <f t="shared" si="10"/>
        <v>2036</v>
      </c>
      <c r="R73" s="220">
        <f t="shared" si="10"/>
        <v>2037</v>
      </c>
      <c r="S73" s="220">
        <f t="shared" si="10"/>
        <v>2038</v>
      </c>
      <c r="T73" s="220">
        <f t="shared" si="10"/>
        <v>2039</v>
      </c>
      <c r="U73" s="220">
        <f t="shared" si="10"/>
        <v>2040</v>
      </c>
      <c r="V73" s="220">
        <f t="shared" si="10"/>
        <v>2041</v>
      </c>
      <c r="W73" s="220">
        <f t="shared" si="10"/>
        <v>2042</v>
      </c>
      <c r="X73" s="220">
        <f t="shared" ref="X73" si="11">W73+1</f>
        <v>2043</v>
      </c>
    </row>
    <row r="74" spans="1:24" x14ac:dyDescent="0.35">
      <c r="A74" s="12" t="s">
        <v>87</v>
      </c>
      <c r="C74" s="181">
        <f>SUMIFS(C2:C64,$A$2:$A$64,$A$74,$B$2:$B$64,"&lt;=2023")</f>
        <v>0</v>
      </c>
      <c r="D74" s="181">
        <f>SUMIFS(D2:D64,$A$2:$A$64,$A$74,$B$2:$B$64,"&lt;=2023")</f>
        <v>0</v>
      </c>
      <c r="E74" s="181">
        <f t="shared" ref="E74:X74" si="12">SUMIFS(E2:E64,$A$2:$A$64,$A$74,$B$2:$B$64,"&lt;=2023")</f>
        <v>0</v>
      </c>
      <c r="F74" s="181">
        <f>SUMIFS(F2:F64,$A$2:$A$64,$A$74,$B$2:$B$64,"&lt;=2023")</f>
        <v>4415040.2973999996</v>
      </c>
      <c r="G74" s="181">
        <f t="shared" si="12"/>
        <v>4281834.0631999997</v>
      </c>
      <c r="H74" s="181">
        <f t="shared" si="12"/>
        <v>49660989.104999989</v>
      </c>
      <c r="I74" s="181">
        <f t="shared" si="12"/>
        <v>50090995.499999993</v>
      </c>
      <c r="J74" s="181">
        <f t="shared" si="12"/>
        <v>38760267.546000019</v>
      </c>
      <c r="K74" s="181">
        <f t="shared" si="12"/>
        <v>25454503.183200002</v>
      </c>
      <c r="L74" s="181">
        <f t="shared" si="12"/>
        <v>23480792.298599992</v>
      </c>
      <c r="M74" s="181">
        <f t="shared" si="12"/>
        <v>19324468.035600007</v>
      </c>
      <c r="N74" s="181">
        <f t="shared" si="12"/>
        <v>12388615.402800001</v>
      </c>
      <c r="O74" s="181">
        <f t="shared" si="12"/>
        <v>6179750.4131999938</v>
      </c>
      <c r="P74" s="181">
        <f t="shared" si="12"/>
        <v>-2206259.7647999893</v>
      </c>
      <c r="Q74" s="181">
        <f t="shared" si="12"/>
        <v>-10515191.941800009</v>
      </c>
      <c r="R74" s="181">
        <f t="shared" si="12"/>
        <v>-18627502.311599988</v>
      </c>
      <c r="S74" s="181">
        <f t="shared" si="12"/>
        <v>-26738644.295999974</v>
      </c>
      <c r="T74" s="181">
        <f t="shared" si="12"/>
        <v>-34553154.472200006</v>
      </c>
      <c r="U74" s="181">
        <f t="shared" si="12"/>
        <v>-42049372.638000011</v>
      </c>
      <c r="V74" s="181">
        <f t="shared" si="12"/>
        <v>-49772482.523399979</v>
      </c>
      <c r="W74" s="181">
        <f t="shared" si="12"/>
        <v>-57351202.435800001</v>
      </c>
      <c r="X74" s="181">
        <f t="shared" si="12"/>
        <v>-65200631.168400019</v>
      </c>
    </row>
    <row r="75" spans="1:24" x14ac:dyDescent="0.35">
      <c r="A75" s="12" t="s">
        <v>88</v>
      </c>
      <c r="C75" s="181">
        <f>SUMIFS(C3:C65,$A$2:$A$64,$A$75,$B$2:$B$64,"&lt;=2023")</f>
        <v>0</v>
      </c>
      <c r="D75" s="181">
        <f>SUMIFS(D3:D65,$A$2:$A$64,$A$75,$B$2:$B$64,"&lt;=2023")</f>
        <v>0</v>
      </c>
      <c r="E75" s="181">
        <f t="shared" ref="E75:X75" si="13">SUMIFS(E3:E65,$A$2:$A$64,$A$75,$B$2:$B$64,"&lt;=2023")</f>
        <v>0</v>
      </c>
      <c r="F75" s="181">
        <f t="shared" si="13"/>
        <v>0</v>
      </c>
      <c r="G75" s="181">
        <f t="shared" si="13"/>
        <v>20220990.526424397</v>
      </c>
      <c r="H75" s="181">
        <f t="shared" si="13"/>
        <v>48284178.94088763</v>
      </c>
      <c r="I75" s="181">
        <f t="shared" si="13"/>
        <v>48242681.936481982</v>
      </c>
      <c r="J75" s="181">
        <f t="shared" si="13"/>
        <v>42759786.489911333</v>
      </c>
      <c r="K75" s="181">
        <f t="shared" si="13"/>
        <v>36421415.208796337</v>
      </c>
      <c r="L75" s="181">
        <f t="shared" si="13"/>
        <v>35335361.985459417</v>
      </c>
      <c r="M75" s="181">
        <f t="shared" si="13"/>
        <v>33264634.802154139</v>
      </c>
      <c r="N75" s="181">
        <f t="shared" si="13"/>
        <v>29953424.663027085</v>
      </c>
      <c r="O75" s="181">
        <f t="shared" si="13"/>
        <v>27002480.999539863</v>
      </c>
      <c r="P75" s="181">
        <f t="shared" si="13"/>
        <v>23102973.547455892</v>
      </c>
      <c r="Q75" s="181">
        <f t="shared" si="13"/>
        <v>19276213.558837976</v>
      </c>
      <c r="R75" s="181">
        <f t="shared" si="13"/>
        <v>15574527.046318091</v>
      </c>
      <c r="S75" s="181">
        <f t="shared" si="13"/>
        <v>11909892.155807881</v>
      </c>
      <c r="T75" s="181">
        <f t="shared" si="13"/>
        <v>8412029.5393221267</v>
      </c>
      <c r="U75" s="181">
        <f t="shared" si="13"/>
        <v>5088193.1533737089</v>
      </c>
      <c r="V75" s="181">
        <f t="shared" si="13"/>
        <v>1698550.3518288459</v>
      </c>
      <c r="W75" s="181">
        <f t="shared" si="13"/>
        <v>-1594741.1534597282</v>
      </c>
      <c r="X75" s="181">
        <f t="shared" si="13"/>
        <v>-28118217.811779752</v>
      </c>
    </row>
    <row r="76" spans="1:24" x14ac:dyDescent="0.35">
      <c r="A76" s="12" t="s">
        <v>83</v>
      </c>
      <c r="C76" s="181">
        <f>SUMIFS(C4:C66,$A$2:$A$64,$A$76,$B$2:$B$64,"&lt;=2023")</f>
        <v>0</v>
      </c>
      <c r="D76" s="181">
        <f t="shared" ref="D76:X76" si="14">SUMIFS(D4:D66,$A$2:$A$64,$A$76,$B$2:$B$64,"&lt;=2023")</f>
        <v>0</v>
      </c>
      <c r="E76" s="181">
        <f t="shared" si="14"/>
        <v>0</v>
      </c>
      <c r="F76" s="181">
        <f t="shared" si="14"/>
        <v>0</v>
      </c>
      <c r="G76" s="181">
        <f t="shared" si="14"/>
        <v>0</v>
      </c>
      <c r="H76" s="181">
        <f t="shared" si="14"/>
        <v>4198610.6362499995</v>
      </c>
      <c r="I76" s="181">
        <f t="shared" si="14"/>
        <v>8389583.225624999</v>
      </c>
      <c r="J76" s="181">
        <f t="shared" si="14"/>
        <v>7997488.5783914626</v>
      </c>
      <c r="K76" s="181">
        <f t="shared" si="14"/>
        <v>7548376.9321976025</v>
      </c>
      <c r="L76" s="181">
        <f t="shared" si="14"/>
        <v>7450251.0360031985</v>
      </c>
      <c r="M76" s="181">
        <f t="shared" si="14"/>
        <v>7286476.3591199862</v>
      </c>
      <c r="N76" s="181">
        <f t="shared" si="14"/>
        <v>7039964.1054851543</v>
      </c>
      <c r="O76" s="181">
        <f t="shared" si="14"/>
        <v>6817644.4249799764</v>
      </c>
      <c r="P76" s="181">
        <f t="shared" si="14"/>
        <v>6532086.2308645044</v>
      </c>
      <c r="Q76" s="181">
        <f t="shared" si="14"/>
        <v>6251512.9468774088</v>
      </c>
      <c r="R76" s="181">
        <f t="shared" si="14"/>
        <v>5979419.3475985322</v>
      </c>
      <c r="S76" s="181">
        <f t="shared" si="14"/>
        <v>5709924.9097590083</v>
      </c>
      <c r="T76" s="181">
        <f t="shared" si="14"/>
        <v>5451694.4111100836</v>
      </c>
      <c r="U76" s="181">
        <f t="shared" si="14"/>
        <v>5205211.8018488623</v>
      </c>
      <c r="V76" s="181">
        <f t="shared" si="14"/>
        <v>4954455.5384345092</v>
      </c>
      <c r="W76" s="181">
        <f t="shared" si="14"/>
        <v>4710257.2181489049</v>
      </c>
      <c r="X76" s="181">
        <f t="shared" si="14"/>
        <v>-1878309.6689225142</v>
      </c>
    </row>
    <row r="77" spans="1:24" x14ac:dyDescent="0.35">
      <c r="A77" s="14" t="s">
        <v>90</v>
      </c>
      <c r="C77" s="181">
        <f t="shared" ref="C77:W77" si="15">SUM(C74:C76)</f>
        <v>0</v>
      </c>
      <c r="D77" s="181">
        <f t="shared" si="15"/>
        <v>0</v>
      </c>
      <c r="E77" s="181">
        <f t="shared" si="15"/>
        <v>0</v>
      </c>
      <c r="F77" s="181">
        <f t="shared" si="15"/>
        <v>4415040.2973999996</v>
      </c>
      <c r="G77" s="181">
        <f t="shared" si="15"/>
        <v>24502824.589624397</v>
      </c>
      <c r="H77" s="181">
        <f t="shared" si="15"/>
        <v>102143778.68213762</v>
      </c>
      <c r="I77" s="181">
        <f t="shared" si="15"/>
        <v>106723260.66210698</v>
      </c>
      <c r="J77" s="181">
        <f t="shared" si="15"/>
        <v>89517542.614302814</v>
      </c>
      <c r="K77" s="181">
        <f t="shared" si="15"/>
        <v>69424295.32419394</v>
      </c>
      <c r="L77" s="181">
        <f t="shared" si="15"/>
        <v>66266405.320062608</v>
      </c>
      <c r="M77" s="181">
        <f t="shared" si="15"/>
        <v>59875579.196874134</v>
      </c>
      <c r="N77" s="181">
        <f t="shared" si="15"/>
        <v>49382004.171312243</v>
      </c>
      <c r="O77" s="181">
        <f t="shared" si="15"/>
        <v>39999875.837719835</v>
      </c>
      <c r="P77" s="181">
        <f t="shared" si="15"/>
        <v>27428800.013520405</v>
      </c>
      <c r="Q77" s="181">
        <f t="shared" si="15"/>
        <v>15012534.563915376</v>
      </c>
      <c r="R77" s="181">
        <f t="shared" si="15"/>
        <v>2926444.0823166352</v>
      </c>
      <c r="S77" s="181">
        <f t="shared" si="15"/>
        <v>-9118827.2304330841</v>
      </c>
      <c r="T77" s="181">
        <f t="shared" si="15"/>
        <v>-20689430.521767795</v>
      </c>
      <c r="U77" s="181">
        <f t="shared" si="15"/>
        <v>-31755967.682777438</v>
      </c>
      <c r="V77" s="181">
        <f t="shared" si="15"/>
        <v>-43119476.63313663</v>
      </c>
      <c r="W77" s="181">
        <f t="shared" si="15"/>
        <v>-54235686.371110827</v>
      </c>
      <c r="X77" s="181">
        <f t="shared" ref="X77" si="16">SUM(X74:X76)</f>
        <v>-95197158.649102286</v>
      </c>
    </row>
    <row r="79" spans="1:24" ht="15.5" x14ac:dyDescent="0.35">
      <c r="A79" s="177" t="s">
        <v>92</v>
      </c>
      <c r="C79" s="220">
        <v>2022</v>
      </c>
      <c r="D79" s="220">
        <f t="shared" ref="D79:W79" si="17">C67+1</f>
        <v>2023</v>
      </c>
      <c r="E79" s="220">
        <f>D67+1</f>
        <v>2024</v>
      </c>
      <c r="F79" s="220">
        <f t="shared" si="17"/>
        <v>2025</v>
      </c>
      <c r="G79" s="220">
        <f t="shared" si="17"/>
        <v>2026</v>
      </c>
      <c r="H79" s="220">
        <f t="shared" si="17"/>
        <v>2027</v>
      </c>
      <c r="I79" s="220">
        <f t="shared" si="17"/>
        <v>2028</v>
      </c>
      <c r="J79" s="220">
        <f t="shared" si="17"/>
        <v>2029</v>
      </c>
      <c r="K79" s="220">
        <f t="shared" si="17"/>
        <v>2030</v>
      </c>
      <c r="L79" s="220">
        <f t="shared" si="17"/>
        <v>2031</v>
      </c>
      <c r="M79" s="220">
        <f t="shared" si="17"/>
        <v>2032</v>
      </c>
      <c r="N79" s="220">
        <f t="shared" si="17"/>
        <v>2033</v>
      </c>
      <c r="O79" s="220">
        <f t="shared" si="17"/>
        <v>2034</v>
      </c>
      <c r="P79" s="220">
        <f t="shared" si="17"/>
        <v>2035</v>
      </c>
      <c r="Q79" s="220">
        <f t="shared" si="17"/>
        <v>2036</v>
      </c>
      <c r="R79" s="220">
        <f t="shared" si="17"/>
        <v>2037</v>
      </c>
      <c r="S79" s="220">
        <f t="shared" si="17"/>
        <v>2038</v>
      </c>
      <c r="T79" s="220">
        <f t="shared" si="17"/>
        <v>2039</v>
      </c>
      <c r="U79" s="220">
        <f t="shared" si="17"/>
        <v>2040</v>
      </c>
      <c r="V79" s="220">
        <f t="shared" si="17"/>
        <v>2041</v>
      </c>
      <c r="W79" s="220">
        <f t="shared" si="17"/>
        <v>2042</v>
      </c>
      <c r="X79" s="220">
        <f t="shared" ref="X79" si="18">W67+1</f>
        <v>2043</v>
      </c>
    </row>
    <row r="80" spans="1:24" x14ac:dyDescent="0.35">
      <c r="A80" s="12" t="s">
        <v>87</v>
      </c>
      <c r="C80" s="181">
        <f>SUMIFS(C2:C64,$A$2:$A$64,$A$80,$B$2:$B$64,"&gt;=2023")</f>
        <v>0</v>
      </c>
      <c r="D80" s="181">
        <f t="shared" ref="D80:X80" si="19">SUMIFS(D2:D64,$A$2:$A$64,$A$80,$B$2:$B$64,"&gt;=2023")</f>
        <v>0</v>
      </c>
      <c r="E80" s="181">
        <f t="shared" si="19"/>
        <v>0</v>
      </c>
      <c r="F80" s="181">
        <f t="shared" si="19"/>
        <v>0</v>
      </c>
      <c r="G80" s="181">
        <f t="shared" si="19"/>
        <v>0</v>
      </c>
      <c r="H80" s="181">
        <f t="shared" si="19"/>
        <v>68215644.374999985</v>
      </c>
      <c r="I80" s="181">
        <f t="shared" si="19"/>
        <v>91741749.999999985</v>
      </c>
      <c r="J80" s="181">
        <f t="shared" si="19"/>
        <v>88736876.25000003</v>
      </c>
      <c r="K80" s="181">
        <f t="shared" si="19"/>
        <v>69929953.799999997</v>
      </c>
      <c r="L80" s="181">
        <f t="shared" si="19"/>
        <v>75258949.674999982</v>
      </c>
      <c r="M80" s="181">
        <f t="shared" si="19"/>
        <v>70785597.200000033</v>
      </c>
      <c r="N80" s="181">
        <f t="shared" si="19"/>
        <v>44245055.010000005</v>
      </c>
      <c r="O80" s="181">
        <f t="shared" si="19"/>
        <v>23202359.609999973</v>
      </c>
      <c r="P80" s="181">
        <f t="shared" si="19"/>
        <v>-9293768.2399999574</v>
      </c>
      <c r="Q80" s="181">
        <f t="shared" si="19"/>
        <v>-43331834.925000019</v>
      </c>
      <c r="R80" s="181">
        <f t="shared" si="19"/>
        <v>-80173315.809999928</v>
      </c>
      <c r="S80" s="181">
        <f t="shared" si="19"/>
        <v>-119981096.19999987</v>
      </c>
      <c r="T80" s="181">
        <f t="shared" si="19"/>
        <v>-161374622.53500006</v>
      </c>
      <c r="U80" s="181">
        <f t="shared" si="19"/>
        <v>-204085782.95000014</v>
      </c>
      <c r="V80" s="181">
        <f t="shared" si="19"/>
        <v>-264359339.40999985</v>
      </c>
      <c r="W80" s="181">
        <f t="shared" si="19"/>
        <v>-299360672.05499995</v>
      </c>
      <c r="X80" s="181">
        <f t="shared" si="19"/>
        <v>-352274472.43000025</v>
      </c>
    </row>
    <row r="81" spans="1:34" x14ac:dyDescent="0.35">
      <c r="A81" s="12" t="s">
        <v>88</v>
      </c>
      <c r="C81" s="181">
        <f>SUMIFS(C3:C65,$A$2:$A$64,$A$81,$B$2:$B$64,"&gt;=2023")</f>
        <v>0</v>
      </c>
      <c r="D81" s="181">
        <f t="shared" ref="D81:X81" si="20">SUMIFS(D3:D65,$A$2:$A$64,$A$81,$B$2:$B$64,"&gt;=2023")</f>
        <v>0</v>
      </c>
      <c r="E81" s="181">
        <f t="shared" si="20"/>
        <v>0</v>
      </c>
      <c r="F81" s="181">
        <f t="shared" si="20"/>
        <v>2887592.2652403</v>
      </c>
      <c r="G81" s="181">
        <f t="shared" si="20"/>
        <v>2856480.1701112976</v>
      </c>
      <c r="H81" s="181">
        <f t="shared" si="20"/>
        <v>31218128.120700322</v>
      </c>
      <c r="I81" s="181">
        <f t="shared" si="20"/>
        <v>59690332.509545475</v>
      </c>
      <c r="J81" s="181">
        <f t="shared" si="20"/>
        <v>78488536.682632089</v>
      </c>
      <c r="K81" s="181">
        <f t="shared" si="20"/>
        <v>88839561.976979911</v>
      </c>
      <c r="L81" s="181">
        <f t="shared" si="20"/>
        <v>100363639.3277775</v>
      </c>
      <c r="M81" s="181">
        <f t="shared" si="20"/>
        <v>107943113.25552809</v>
      </c>
      <c r="N81" s="181">
        <f t="shared" si="20"/>
        <v>106433488.58740476</v>
      </c>
      <c r="O81" s="181">
        <f t="shared" si="20"/>
        <v>104327686.80648641</v>
      </c>
      <c r="P81" s="181">
        <f t="shared" si="20"/>
        <v>96565845.158845648</v>
      </c>
      <c r="Q81" s="181">
        <f t="shared" si="20"/>
        <v>86768260.012678623</v>
      </c>
      <c r="R81" s="181">
        <f t="shared" si="20"/>
        <v>75231694.189178407</v>
      </c>
      <c r="S81" s="181">
        <f t="shared" si="20"/>
        <v>61611909.764071189</v>
      </c>
      <c r="T81" s="181">
        <f t="shared" si="20"/>
        <v>46619995.401541516</v>
      </c>
      <c r="U81" s="181">
        <f t="shared" si="20"/>
        <v>30436867.017856266</v>
      </c>
      <c r="V81" s="181">
        <f t="shared" si="20"/>
        <v>11777524.134067945</v>
      </c>
      <c r="W81" s="181">
        <f t="shared" si="20"/>
        <v>-8415928.3698115088</v>
      </c>
      <c r="X81" s="181">
        <f t="shared" si="20"/>
        <v>-185943037.92722958</v>
      </c>
    </row>
    <row r="82" spans="1:34" x14ac:dyDescent="0.35">
      <c r="A82" s="12" t="s">
        <v>83</v>
      </c>
      <c r="C82" s="181">
        <f>SUMIFS(C4:C66,$A$2:$A$64,$A$82,$B$2:$B$64,"&gt;=2023")</f>
        <v>0</v>
      </c>
      <c r="D82" s="181">
        <f t="shared" ref="D82:X82" si="21">SUMIFS(D4:D66,$A$2:$A$64,$A$82,$B$2:$B$64,"&gt;=2023")</f>
        <v>0</v>
      </c>
      <c r="E82" s="181">
        <f t="shared" si="21"/>
        <v>0</v>
      </c>
      <c r="F82" s="181">
        <f t="shared" si="21"/>
        <v>0</v>
      </c>
      <c r="G82" s="181">
        <f t="shared" si="21"/>
        <v>0</v>
      </c>
      <c r="H82" s="181">
        <f t="shared" si="21"/>
        <v>0</v>
      </c>
      <c r="I82" s="181">
        <f t="shared" si="21"/>
        <v>4205304.875</v>
      </c>
      <c r="J82" s="181">
        <f t="shared" si="21"/>
        <v>8037676.9632075001</v>
      </c>
      <c r="K82" s="181">
        <f t="shared" si="21"/>
        <v>11408078.212770455</v>
      </c>
      <c r="L82" s="181">
        <f t="shared" si="21"/>
        <v>15050821.205771051</v>
      </c>
      <c r="M82" s="181">
        <f t="shared" si="21"/>
        <v>18446306.259159245</v>
      </c>
      <c r="N82" s="181">
        <f t="shared" si="21"/>
        <v>19950689.341634467</v>
      </c>
      <c r="O82" s="181">
        <f t="shared" si="21"/>
        <v>21392244.454803918</v>
      </c>
      <c r="P82" s="181">
        <f t="shared" si="21"/>
        <v>22491022.820229799</v>
      </c>
      <c r="Q82" s="181">
        <f t="shared" si="21"/>
        <v>23443670.939338304</v>
      </c>
      <c r="R82" s="181">
        <f t="shared" si="21"/>
        <v>24267716.770484574</v>
      </c>
      <c r="S82" s="181">
        <f t="shared" si="21"/>
        <v>24944103.246725257</v>
      </c>
      <c r="T82" s="181">
        <f t="shared" si="21"/>
        <v>25514589.08572923</v>
      </c>
      <c r="U82" s="181">
        <f t="shared" si="21"/>
        <v>25990953.153676692</v>
      </c>
      <c r="V82" s="181">
        <f t="shared" si="21"/>
        <v>26298071.064221829</v>
      </c>
      <c r="W82" s="181">
        <f t="shared" si="21"/>
        <v>26491681.038046937</v>
      </c>
      <c r="X82" s="181">
        <f t="shared" si="21"/>
        <v>-11161165.263227044</v>
      </c>
    </row>
    <row r="83" spans="1:34" x14ac:dyDescent="0.35">
      <c r="A83" s="14" t="s">
        <v>104</v>
      </c>
      <c r="C83" s="181">
        <f>SUM(C80:C82)</f>
        <v>0</v>
      </c>
      <c r="D83" s="181">
        <f t="shared" ref="D83:W83" si="22">SUM(D80:D82)</f>
        <v>0</v>
      </c>
      <c r="E83" s="181">
        <f t="shared" si="22"/>
        <v>0</v>
      </c>
      <c r="F83" s="181">
        <f t="shared" si="22"/>
        <v>2887592.2652403</v>
      </c>
      <c r="G83" s="181">
        <f t="shared" si="22"/>
        <v>2856480.1701112976</v>
      </c>
      <c r="H83" s="181">
        <f t="shared" si="22"/>
        <v>99433772.4957003</v>
      </c>
      <c r="I83" s="181">
        <f t="shared" si="22"/>
        <v>155637387.38454545</v>
      </c>
      <c r="J83" s="181">
        <f t="shared" si="22"/>
        <v>175263089.89583963</v>
      </c>
      <c r="K83" s="181">
        <f t="shared" si="22"/>
        <v>170177593.98975039</v>
      </c>
      <c r="L83" s="181">
        <f t="shared" si="22"/>
        <v>190673410.20854855</v>
      </c>
      <c r="M83" s="181">
        <f t="shared" si="22"/>
        <v>197175016.71468738</v>
      </c>
      <c r="N83" s="181">
        <f t="shared" si="22"/>
        <v>170629232.93903923</v>
      </c>
      <c r="O83" s="181">
        <f t="shared" si="22"/>
        <v>148922290.8712903</v>
      </c>
      <c r="P83" s="181">
        <f t="shared" si="22"/>
        <v>109763099.73907548</v>
      </c>
      <c r="Q83" s="181">
        <f t="shared" si="22"/>
        <v>66880096.027016908</v>
      </c>
      <c r="R83" s="181">
        <f t="shared" si="22"/>
        <v>19326095.149663053</v>
      </c>
      <c r="S83" s="181">
        <f t="shared" si="22"/>
        <v>-33425083.189203423</v>
      </c>
      <c r="T83" s="181">
        <f t="shared" si="22"/>
        <v>-89240038.047729313</v>
      </c>
      <c r="U83" s="181">
        <f t="shared" si="22"/>
        <v>-147657962.77846718</v>
      </c>
      <c r="V83" s="181">
        <f t="shared" si="22"/>
        <v>-226283744.21171007</v>
      </c>
      <c r="W83" s="181">
        <f t="shared" si="22"/>
        <v>-281284919.38676453</v>
      </c>
      <c r="X83" s="181">
        <f t="shared" ref="X83" si="23">SUM(X80:X82)</f>
        <v>-549378675.62045681</v>
      </c>
    </row>
    <row r="89" spans="1:34" x14ac:dyDescent="0.35">
      <c r="E89" s="177"/>
      <c r="F89" s="177"/>
      <c r="G89" s="177"/>
      <c r="H89" s="177">
        <f t="shared" ref="H89:V89" si="24">H79</f>
        <v>2027</v>
      </c>
      <c r="I89" s="177">
        <f t="shared" si="24"/>
        <v>2028</v>
      </c>
      <c r="J89" s="177">
        <f t="shared" si="24"/>
        <v>2029</v>
      </c>
      <c r="K89" s="177">
        <f t="shared" si="24"/>
        <v>2030</v>
      </c>
      <c r="L89" s="177">
        <f t="shared" si="24"/>
        <v>2031</v>
      </c>
      <c r="M89" s="177">
        <f t="shared" si="24"/>
        <v>2032</v>
      </c>
      <c r="N89" s="177">
        <f t="shared" si="24"/>
        <v>2033</v>
      </c>
      <c r="O89" s="177">
        <f t="shared" si="24"/>
        <v>2034</v>
      </c>
      <c r="P89" s="177">
        <f t="shared" si="24"/>
        <v>2035</v>
      </c>
      <c r="Q89" s="177">
        <f t="shared" si="24"/>
        <v>2036</v>
      </c>
      <c r="R89" s="177">
        <f t="shared" si="24"/>
        <v>2037</v>
      </c>
      <c r="S89" s="177">
        <f t="shared" si="24"/>
        <v>2038</v>
      </c>
      <c r="T89" s="177">
        <f t="shared" si="24"/>
        <v>2039</v>
      </c>
      <c r="U89" s="177">
        <f t="shared" si="24"/>
        <v>2040</v>
      </c>
      <c r="V89" s="177">
        <f t="shared" si="24"/>
        <v>2041</v>
      </c>
      <c r="W89" s="177">
        <f t="shared" ref="W89:X89" si="25">W79</f>
        <v>2042</v>
      </c>
      <c r="X89" s="177">
        <f t="shared" si="25"/>
        <v>2043</v>
      </c>
      <c r="AA89" s="1"/>
      <c r="AB89" s="1"/>
    </row>
    <row r="90" spans="1:34" x14ac:dyDescent="0.35">
      <c r="E90" s="177">
        <v>2023</v>
      </c>
      <c r="F90" s="177"/>
      <c r="G90" s="177" t="s">
        <v>93</v>
      </c>
      <c r="H90" s="182">
        <f t="shared" ref="H90:Q99" si="26">SUMIF($B$2:$B$64,$E90,H$2:H$64)+SUMIF($B$2:$B$64,$F90,H$2:H$64)</f>
        <v>69550763.898956373</v>
      </c>
      <c r="I90" s="182">
        <f t="shared" si="26"/>
        <v>69913182.707853854</v>
      </c>
      <c r="J90" s="182">
        <f t="shared" si="26"/>
        <v>57083190.017598137</v>
      </c>
      <c r="K90" s="182">
        <f t="shared" si="26"/>
        <v>42063752.42749273</v>
      </c>
      <c r="L90" s="182">
        <f t="shared" si="26"/>
        <v>39760108.8993304</v>
      </c>
      <c r="M90" s="182">
        <f t="shared" si="26"/>
        <v>35019410.552270733</v>
      </c>
      <c r="N90" s="182">
        <f t="shared" si="26"/>
        <v>27181142.535198294</v>
      </c>
      <c r="O90" s="182">
        <f t="shared" si="26"/>
        <v>20169071.694217682</v>
      </c>
      <c r="P90" s="182">
        <f t="shared" si="26"/>
        <v>10741029.247460391</v>
      </c>
      <c r="Q90" s="182">
        <f t="shared" si="26"/>
        <v>1416021.2551784851</v>
      </c>
      <c r="R90" s="182">
        <f t="shared" ref="R90:X99" si="27">SUMIF($B$2:$B$64,$E90,R$2:R$64)+SUMIF($B$2:$B$64,$F90,R$2:R$64)</f>
        <v>-7673184.1057697777</v>
      </c>
      <c r="S90" s="182">
        <f t="shared" si="27"/>
        <v>-16744762.128639074</v>
      </c>
      <c r="T90" s="182">
        <f t="shared" si="27"/>
        <v>-25470389.106923562</v>
      </c>
      <c r="U90" s="182">
        <f t="shared" si="27"/>
        <v>-33827000.452790558</v>
      </c>
      <c r="V90" s="182">
        <f t="shared" si="27"/>
        <v>-42420625.201693393</v>
      </c>
      <c r="W90" s="182">
        <f t="shared" si="27"/>
        <v>-50839067.643375814</v>
      </c>
      <c r="X90" s="182">
        <f t="shared" si="27"/>
        <v>-72226089.105652824</v>
      </c>
      <c r="AA90" s="1"/>
      <c r="AB90" s="1"/>
    </row>
    <row r="91" spans="1:34" x14ac:dyDescent="0.35">
      <c r="E91" s="177">
        <v>2024</v>
      </c>
      <c r="F91" s="177">
        <v>2025</v>
      </c>
      <c r="G91" s="177" t="s">
        <v>94</v>
      </c>
      <c r="H91" s="182">
        <f t="shared" si="26"/>
        <v>55325287.636249989</v>
      </c>
      <c r="I91" s="182">
        <f t="shared" si="26"/>
        <v>111130451.91312498</v>
      </c>
      <c r="J91" s="182">
        <f t="shared" si="26"/>
        <v>93898822.836770236</v>
      </c>
      <c r="K91" s="182">
        <f t="shared" si="26"/>
        <v>73793073.489986181</v>
      </c>
      <c r="L91" s="182">
        <f t="shared" si="26"/>
        <v>70607246.280471966</v>
      </c>
      <c r="M91" s="182">
        <f t="shared" si="26"/>
        <v>64196275.397265889</v>
      </c>
      <c r="N91" s="182">
        <f t="shared" si="26"/>
        <v>53694890.888953879</v>
      </c>
      <c r="O91" s="182">
        <f t="shared" si="26"/>
        <v>44308132.027953386</v>
      </c>
      <c r="P91" s="182">
        <f t="shared" si="26"/>
        <v>31746215.068254143</v>
      </c>
      <c r="Q91" s="182">
        <f t="shared" si="26"/>
        <v>19345624.271031141</v>
      </c>
      <c r="R91" s="182">
        <f t="shared" si="27"/>
        <v>7281010.3134493567</v>
      </c>
      <c r="S91" s="182">
        <f t="shared" si="27"/>
        <v>-4736256.9130993802</v>
      </c>
      <c r="T91" s="182">
        <f t="shared" si="27"/>
        <v>-16274022.938518684</v>
      </c>
      <c r="U91" s="182">
        <f t="shared" si="27"/>
        <v>-27303417.270087704</v>
      </c>
      <c r="V91" s="182">
        <f t="shared" si="27"/>
        <v>-38622436.232203126</v>
      </c>
      <c r="W91" s="182">
        <f t="shared" si="27"/>
        <v>-49689090.056946099</v>
      </c>
      <c r="X91" s="182">
        <f t="shared" si="27"/>
        <v>-94732488.585202202</v>
      </c>
      <c r="Y91" s="172"/>
      <c r="Z91" s="172"/>
      <c r="AA91" s="172"/>
      <c r="AB91" s="172"/>
      <c r="AC91" s="172"/>
      <c r="AD91" s="172"/>
      <c r="AE91" s="172"/>
      <c r="AF91" s="172"/>
      <c r="AG91" s="172"/>
      <c r="AH91" s="172"/>
    </row>
    <row r="92" spans="1:34" x14ac:dyDescent="0.35">
      <c r="E92" s="177">
        <v>2026</v>
      </c>
      <c r="F92" s="177">
        <v>2027</v>
      </c>
      <c r="G92" s="177" t="s">
        <v>95</v>
      </c>
      <c r="H92" s="182">
        <f t="shared" si="26"/>
        <v>0</v>
      </c>
      <c r="I92" s="182">
        <f t="shared" si="26"/>
        <v>0</v>
      </c>
      <c r="J92" s="182">
        <f t="shared" si="26"/>
        <v>47169711.158500008</v>
      </c>
      <c r="K92" s="182">
        <f t="shared" si="26"/>
        <v>74301716.010809004</v>
      </c>
      <c r="L92" s="182">
        <f t="shared" si="26"/>
        <v>71102000.731191859</v>
      </c>
      <c r="M92" s="182">
        <f t="shared" si="26"/>
        <v>64664785.045072988</v>
      </c>
      <c r="N92" s="182">
        <f t="shared" si="26"/>
        <v>54121588.497362562</v>
      </c>
      <c r="O92" s="182">
        <f t="shared" si="26"/>
        <v>44697540.349744588</v>
      </c>
      <c r="P92" s="182">
        <f t="shared" si="26"/>
        <v>32086430.547353998</v>
      </c>
      <c r="Q92" s="182">
        <f t="shared" si="26"/>
        <v>19637561.17786409</v>
      </c>
      <c r="R92" s="182">
        <f t="shared" si="27"/>
        <v>7526239.6228800854</v>
      </c>
      <c r="S92" s="182">
        <f t="shared" si="27"/>
        <v>-4537268.9392180815</v>
      </c>
      <c r="T92" s="182">
        <f t="shared" si="27"/>
        <v>-16119182.002565527</v>
      </c>
      <c r="U92" s="182">
        <f t="shared" si="27"/>
        <v>-27190538.040832508</v>
      </c>
      <c r="V92" s="182">
        <f t="shared" si="27"/>
        <v>-38552343.372757629</v>
      </c>
      <c r="W92" s="182">
        <f t="shared" si="27"/>
        <v>-49660573.097497389</v>
      </c>
      <c r="X92" s="182">
        <f t="shared" si="27"/>
        <v>-95085382.587959617</v>
      </c>
      <c r="Y92" s="172"/>
      <c r="Z92" s="172"/>
      <c r="AA92" s="172"/>
      <c r="AB92" s="172"/>
      <c r="AC92" s="172"/>
      <c r="AD92" s="172"/>
      <c r="AE92" s="172"/>
      <c r="AF92" s="172"/>
      <c r="AG92" s="172"/>
      <c r="AH92" s="172"/>
    </row>
    <row r="93" spans="1:34" x14ac:dyDescent="0.35">
      <c r="E93" s="177">
        <v>2028</v>
      </c>
      <c r="F93" s="177">
        <v>2029</v>
      </c>
      <c r="G93" s="177" t="s">
        <v>96</v>
      </c>
      <c r="H93" s="182">
        <f t="shared" si="26"/>
        <v>0</v>
      </c>
      <c r="I93" s="182">
        <f t="shared" si="26"/>
        <v>0</v>
      </c>
      <c r="J93" s="182">
        <f t="shared" si="26"/>
        <v>0</v>
      </c>
      <c r="K93" s="182">
        <f t="shared" si="26"/>
        <v>0</v>
      </c>
      <c r="L93" s="182">
        <f t="shared" si="26"/>
        <v>28672833.404849995</v>
      </c>
      <c r="M93" s="182">
        <f t="shared" si="26"/>
        <v>51802158.502959505</v>
      </c>
      <c r="N93" s="182">
        <f t="shared" si="26"/>
        <v>39140733.440501504</v>
      </c>
      <c r="O93" s="182">
        <f t="shared" si="26"/>
        <v>32567791.480549142</v>
      </c>
      <c r="P93" s="182">
        <f t="shared" si="26"/>
        <v>23774162.249487482</v>
      </c>
      <c r="Q93" s="182">
        <f t="shared" si="26"/>
        <v>15093357.059175812</v>
      </c>
      <c r="R93" s="182">
        <f t="shared" si="27"/>
        <v>6647527.3072559256</v>
      </c>
      <c r="S93" s="182">
        <f t="shared" si="27"/>
        <v>-1765193.5442851344</v>
      </c>
      <c r="T93" s="182">
        <f t="shared" si="27"/>
        <v>-9842555.0817208607</v>
      </c>
      <c r="U93" s="182">
        <f t="shared" si="27"/>
        <v>-17564362.558149517</v>
      </c>
      <c r="V93" s="182">
        <f t="shared" si="27"/>
        <v>-25488737.490497977</v>
      </c>
      <c r="W93" s="182">
        <f t="shared" si="27"/>
        <v>-33236609.146447111</v>
      </c>
      <c r="X93" s="182">
        <f t="shared" si="27"/>
        <v>-66256922.765871339</v>
      </c>
      <c r="Y93" s="172"/>
      <c r="Z93" s="172"/>
      <c r="AA93" s="172"/>
      <c r="AB93" s="172"/>
      <c r="AC93" s="172"/>
      <c r="AD93" s="172"/>
      <c r="AE93" s="172"/>
      <c r="AF93" s="172"/>
      <c r="AG93" s="172"/>
      <c r="AH93" s="172"/>
    </row>
    <row r="94" spans="1:34" x14ac:dyDescent="0.35">
      <c r="E94" s="177">
        <v>2030</v>
      </c>
      <c r="F94" s="177">
        <v>2031</v>
      </c>
      <c r="G94" s="177" t="s">
        <v>97</v>
      </c>
      <c r="H94" s="182">
        <f t="shared" si="26"/>
        <v>0</v>
      </c>
      <c r="I94" s="182">
        <f t="shared" si="26"/>
        <v>0</v>
      </c>
      <c r="J94" s="182">
        <f t="shared" si="26"/>
        <v>0</v>
      </c>
      <c r="K94" s="182">
        <f t="shared" si="26"/>
        <v>0</v>
      </c>
      <c r="L94" s="182">
        <f t="shared" si="26"/>
        <v>0</v>
      </c>
      <c r="M94" s="182">
        <f t="shared" si="26"/>
        <v>0</v>
      </c>
      <c r="N94" s="182">
        <f t="shared" si="26"/>
        <v>13471658.923999999</v>
      </c>
      <c r="O94" s="182">
        <f t="shared" si="26"/>
        <v>22798095.92231999</v>
      </c>
      <c r="P94" s="182">
        <f t="shared" si="26"/>
        <v>16578470.940522406</v>
      </c>
      <c r="Q94" s="182">
        <f t="shared" si="26"/>
        <v>11646519.799002025</v>
      </c>
      <c r="R94" s="182">
        <f t="shared" si="27"/>
        <v>6261587.4336863067</v>
      </c>
      <c r="S94" s="182">
        <f t="shared" si="27"/>
        <v>901164.24200012442</v>
      </c>
      <c r="T94" s="182">
        <f t="shared" si="27"/>
        <v>-4242475.0076152496</v>
      </c>
      <c r="U94" s="182">
        <f t="shared" si="27"/>
        <v>-9156696.6676980667</v>
      </c>
      <c r="V94" s="182">
        <f t="shared" si="27"/>
        <v>-14196591.113308951</v>
      </c>
      <c r="W94" s="182">
        <f t="shared" si="27"/>
        <v>-19121095.145749144</v>
      </c>
      <c r="X94" s="182">
        <f t="shared" si="27"/>
        <v>-42100976.201353304</v>
      </c>
      <c r="Y94" s="172"/>
      <c r="Z94" s="172"/>
      <c r="AA94" s="172"/>
      <c r="AB94" s="172"/>
      <c r="AC94" s="172"/>
      <c r="AD94" s="172"/>
      <c r="AE94" s="172"/>
      <c r="AF94" s="172"/>
      <c r="AG94" s="172"/>
      <c r="AH94" s="172"/>
    </row>
    <row r="95" spans="1:34" x14ac:dyDescent="0.35">
      <c r="E95" s="177">
        <v>2032</v>
      </c>
      <c r="F95" s="177">
        <v>2033</v>
      </c>
      <c r="G95" s="177" t="s">
        <v>98</v>
      </c>
      <c r="H95" s="182">
        <f t="shared" si="26"/>
        <v>0</v>
      </c>
      <c r="I95" s="182">
        <f t="shared" si="26"/>
        <v>0</v>
      </c>
      <c r="J95" s="182">
        <f t="shared" si="26"/>
        <v>0</v>
      </c>
      <c r="K95" s="182">
        <f t="shared" si="26"/>
        <v>0</v>
      </c>
      <c r="L95" s="182">
        <f t="shared" si="26"/>
        <v>0</v>
      </c>
      <c r="M95" s="182">
        <f t="shared" si="26"/>
        <v>0</v>
      </c>
      <c r="N95" s="182">
        <f t="shared" si="26"/>
        <v>0</v>
      </c>
      <c r="O95" s="182">
        <f t="shared" si="26"/>
        <v>0</v>
      </c>
      <c r="P95" s="182">
        <f t="shared" si="26"/>
        <v>8660161.6160000023</v>
      </c>
      <c r="Q95" s="182">
        <f t="shared" si="26"/>
        <v>11802672.349319991</v>
      </c>
      <c r="R95" s="182">
        <f t="shared" si="27"/>
        <v>6393423.8644108046</v>
      </c>
      <c r="S95" s="182">
        <f t="shared" si="27"/>
        <v>1008927.1832732749</v>
      </c>
      <c r="T95" s="182">
        <f t="shared" si="27"/>
        <v>-4157696.1157988436</v>
      </c>
      <c r="U95" s="182">
        <f t="shared" si="27"/>
        <v>-9093765.0354415961</v>
      </c>
      <c r="V95" s="182">
        <f t="shared" si="27"/>
        <v>-27829694.511852551</v>
      </c>
      <c r="W95" s="182">
        <f t="shared" si="27"/>
        <v>-19102085.98299098</v>
      </c>
      <c r="X95" s="182">
        <f t="shared" si="27"/>
        <v>-42284531.325906217</v>
      </c>
      <c r="Y95" s="172"/>
      <c r="Z95" s="172"/>
      <c r="AA95" s="172"/>
      <c r="AB95" s="172"/>
      <c r="AC95" s="172"/>
      <c r="AD95" s="172"/>
      <c r="AE95" s="172"/>
      <c r="AF95" s="172"/>
      <c r="AG95" s="172"/>
      <c r="AH95" s="172"/>
    </row>
    <row r="96" spans="1:34" x14ac:dyDescent="0.35">
      <c r="E96" s="177">
        <v>2034</v>
      </c>
      <c r="F96" s="177">
        <v>2035</v>
      </c>
      <c r="G96" s="177" t="s">
        <v>99</v>
      </c>
      <c r="H96" s="182">
        <f t="shared" si="26"/>
        <v>0</v>
      </c>
      <c r="I96" s="182">
        <f t="shared" si="26"/>
        <v>0</v>
      </c>
      <c r="J96" s="182">
        <f t="shared" si="26"/>
        <v>0</v>
      </c>
      <c r="K96" s="182">
        <f t="shared" si="26"/>
        <v>0</v>
      </c>
      <c r="L96" s="182">
        <f t="shared" si="26"/>
        <v>0</v>
      </c>
      <c r="M96" s="182">
        <f t="shared" si="26"/>
        <v>0</v>
      </c>
      <c r="N96" s="182">
        <f t="shared" si="26"/>
        <v>0</v>
      </c>
      <c r="O96" s="182">
        <f t="shared" si="26"/>
        <v>0</v>
      </c>
      <c r="P96" s="182">
        <f t="shared" si="26"/>
        <v>0</v>
      </c>
      <c r="Q96" s="182">
        <f t="shared" si="26"/>
        <v>0</v>
      </c>
      <c r="R96" s="182">
        <f t="shared" si="27"/>
        <v>3246565.1720000026</v>
      </c>
      <c r="S96" s="182">
        <f t="shared" si="27"/>
        <v>1117775.8904000148</v>
      </c>
      <c r="T96" s="182">
        <f t="shared" si="27"/>
        <v>-4072063.0339914076</v>
      </c>
      <c r="U96" s="182">
        <f t="shared" si="27"/>
        <v>-9030199.3353264779</v>
      </c>
      <c r="V96" s="182">
        <f t="shared" si="27"/>
        <v>-14114870.415410779</v>
      </c>
      <c r="W96" s="182">
        <f t="shared" si="27"/>
        <v>-19082885.293353681</v>
      </c>
      <c r="X96" s="182">
        <f t="shared" si="27"/>
        <v>-42469935.860693641</v>
      </c>
      <c r="Y96" s="172"/>
      <c r="Z96" s="172"/>
      <c r="AA96" s="172"/>
      <c r="AB96" s="172"/>
      <c r="AC96" s="172"/>
      <c r="AD96" s="172"/>
      <c r="AE96" s="172"/>
      <c r="AF96" s="172"/>
      <c r="AG96" s="172"/>
      <c r="AH96" s="172"/>
    </row>
    <row r="97" spans="5:34" x14ac:dyDescent="0.35">
      <c r="E97" s="177">
        <v>2036</v>
      </c>
      <c r="F97" s="177">
        <v>2037</v>
      </c>
      <c r="G97" s="177" t="s">
        <v>100</v>
      </c>
      <c r="H97" s="182">
        <f t="shared" si="26"/>
        <v>0</v>
      </c>
      <c r="I97" s="182">
        <f t="shared" si="26"/>
        <v>0</v>
      </c>
      <c r="J97" s="182">
        <f t="shared" si="26"/>
        <v>0</v>
      </c>
      <c r="K97" s="182">
        <f t="shared" si="26"/>
        <v>0</v>
      </c>
      <c r="L97" s="182">
        <f t="shared" si="26"/>
        <v>0</v>
      </c>
      <c r="M97" s="182">
        <f t="shared" si="26"/>
        <v>0</v>
      </c>
      <c r="N97" s="182">
        <f t="shared" si="26"/>
        <v>0</v>
      </c>
      <c r="O97" s="182">
        <f t="shared" si="26"/>
        <v>0</v>
      </c>
      <c r="P97" s="182">
        <f t="shared" si="26"/>
        <v>0</v>
      </c>
      <c r="Q97" s="182">
        <f t="shared" si="26"/>
        <v>0</v>
      </c>
      <c r="R97" s="182">
        <f t="shared" si="27"/>
        <v>0</v>
      </c>
      <c r="S97" s="182">
        <f t="shared" si="27"/>
        <v>0</v>
      </c>
      <c r="T97" s="182">
        <f t="shared" si="27"/>
        <v>-2003649.8260000041</v>
      </c>
      <c r="U97" s="182">
        <f t="shared" si="27"/>
        <v>-8965993.1788000092</v>
      </c>
      <c r="V97" s="182">
        <f t="shared" si="27"/>
        <v>-14073391.501805793</v>
      </c>
      <c r="W97" s="182">
        <f t="shared" si="27"/>
        <v>-19063491.147107579</v>
      </c>
      <c r="X97" s="182">
        <f t="shared" si="27"/>
        <v>-42657208.43945419</v>
      </c>
      <c r="Y97" s="172"/>
      <c r="Z97" s="172"/>
      <c r="AA97" s="172"/>
      <c r="AB97" s="172"/>
      <c r="AC97" s="172"/>
      <c r="AD97" s="172"/>
      <c r="AE97" s="172"/>
      <c r="AF97" s="172"/>
      <c r="AG97" s="172"/>
      <c r="AH97" s="172"/>
    </row>
    <row r="98" spans="5:34" x14ac:dyDescent="0.35">
      <c r="E98" s="177">
        <v>2038</v>
      </c>
      <c r="F98" s="177">
        <v>2039</v>
      </c>
      <c r="G98" s="177" t="s">
        <v>101</v>
      </c>
      <c r="H98" s="182">
        <f t="shared" si="26"/>
        <v>0</v>
      </c>
      <c r="I98" s="182">
        <f t="shared" si="26"/>
        <v>0</v>
      </c>
      <c r="J98" s="182">
        <f t="shared" si="26"/>
        <v>0</v>
      </c>
      <c r="K98" s="182">
        <f t="shared" si="26"/>
        <v>0</v>
      </c>
      <c r="L98" s="182">
        <f t="shared" si="26"/>
        <v>0</v>
      </c>
      <c r="M98" s="182">
        <f t="shared" si="26"/>
        <v>0</v>
      </c>
      <c r="N98" s="182">
        <f t="shared" si="26"/>
        <v>0</v>
      </c>
      <c r="O98" s="182">
        <f t="shared" si="26"/>
        <v>0</v>
      </c>
      <c r="P98" s="182">
        <f t="shared" si="26"/>
        <v>0</v>
      </c>
      <c r="Q98" s="182">
        <f t="shared" si="26"/>
        <v>0</v>
      </c>
      <c r="R98" s="182">
        <f t="shared" si="27"/>
        <v>0</v>
      </c>
      <c r="S98" s="182">
        <f t="shared" si="27"/>
        <v>0</v>
      </c>
      <c r="T98" s="182">
        <f t="shared" si="27"/>
        <v>0</v>
      </c>
      <c r="U98" s="182">
        <f t="shared" si="27"/>
        <v>0</v>
      </c>
      <c r="V98" s="182">
        <f t="shared" si="27"/>
        <v>-7021010.7219999963</v>
      </c>
      <c r="W98" s="182">
        <f t="shared" si="27"/>
        <v>-19043901.595080003</v>
      </c>
      <c r="X98" s="182">
        <f t="shared" si="27"/>
        <v>-42891160.478453353</v>
      </c>
      <c r="Y98" s="172"/>
      <c r="Z98" s="172"/>
      <c r="AA98" s="172"/>
      <c r="AB98" s="172"/>
      <c r="AC98" s="172"/>
      <c r="AD98" s="172"/>
      <c r="AE98" s="172"/>
      <c r="AF98" s="172"/>
      <c r="AG98" s="172"/>
      <c r="AH98" s="172"/>
    </row>
    <row r="99" spans="5:34" x14ac:dyDescent="0.35">
      <c r="E99" s="177">
        <v>2040</v>
      </c>
      <c r="F99" s="177">
        <v>2041</v>
      </c>
      <c r="G99" s="177" t="s">
        <v>102</v>
      </c>
      <c r="H99" s="182">
        <f t="shared" si="26"/>
        <v>0</v>
      </c>
      <c r="I99" s="182">
        <f t="shared" si="26"/>
        <v>0</v>
      </c>
      <c r="J99" s="182">
        <f t="shared" si="26"/>
        <v>0</v>
      </c>
      <c r="K99" s="182">
        <f t="shared" si="26"/>
        <v>0</v>
      </c>
      <c r="L99" s="182">
        <f t="shared" si="26"/>
        <v>0</v>
      </c>
      <c r="M99" s="182">
        <f t="shared" si="26"/>
        <v>0</v>
      </c>
      <c r="N99" s="182">
        <f t="shared" si="26"/>
        <v>0</v>
      </c>
      <c r="O99" s="182">
        <f t="shared" si="26"/>
        <v>0</v>
      </c>
      <c r="P99" s="182">
        <f t="shared" si="26"/>
        <v>0</v>
      </c>
      <c r="Q99" s="182">
        <f t="shared" si="26"/>
        <v>0</v>
      </c>
      <c r="R99" s="182">
        <f t="shared" si="27"/>
        <v>0</v>
      </c>
      <c r="S99" s="182">
        <f t="shared" si="27"/>
        <v>0</v>
      </c>
      <c r="T99" s="182">
        <f t="shared" si="27"/>
        <v>0</v>
      </c>
      <c r="U99" s="182">
        <f t="shared" si="27"/>
        <v>0</v>
      </c>
      <c r="V99" s="182">
        <f t="shared" si="27"/>
        <v>0</v>
      </c>
      <c r="W99" s="182">
        <f t="shared" si="27"/>
        <v>0</v>
      </c>
      <c r="X99" s="182">
        <f t="shared" si="27"/>
        <v>-21494713.572000008</v>
      </c>
      <c r="Y99" s="172"/>
      <c r="Z99" s="172"/>
      <c r="AA99" s="172"/>
      <c r="AB99" s="172"/>
      <c r="AC99" s="172"/>
      <c r="AD99" s="172"/>
      <c r="AE99" s="172"/>
      <c r="AF99" s="172"/>
      <c r="AG99" s="172"/>
      <c r="AH99" s="172"/>
    </row>
    <row r="100" spans="5:34" x14ac:dyDescent="0.35">
      <c r="G100" s="1"/>
      <c r="H100" s="201"/>
      <c r="I100" s="201"/>
      <c r="J100" s="201"/>
      <c r="K100" s="201"/>
      <c r="L100" s="201"/>
      <c r="M100" s="201"/>
      <c r="N100" s="201"/>
      <c r="O100" s="201"/>
      <c r="P100" s="201"/>
      <c r="Q100" s="201"/>
      <c r="R100" s="188"/>
      <c r="S100" s="188"/>
      <c r="T100" s="188"/>
      <c r="U100" s="188"/>
      <c r="V100" s="188"/>
    </row>
    <row r="101" spans="5:34" x14ac:dyDescent="0.35">
      <c r="G101" s="256" cm="1">
        <f t="array" ref="G101:Q118">TRANSPOSE(G89:X99)</f>
        <v>0</v>
      </c>
      <c r="H101" s="257" t="str">
        <v>23 TBD</v>
      </c>
      <c r="I101" s="257" t="str">
        <v>24-25 Plan</v>
      </c>
      <c r="J101" s="257" t="str">
        <v>26-27 Plan</v>
      </c>
      <c r="K101" s="257" t="str">
        <v>28-29 Plan</v>
      </c>
      <c r="L101" s="257" t="str">
        <v>30-31 Plan</v>
      </c>
      <c r="M101" s="257" t="str">
        <v>32-33 Plan</v>
      </c>
      <c r="N101" s="257" t="str">
        <v>34-35 Plan</v>
      </c>
      <c r="O101" s="257" t="str">
        <v>36-37 Plan</v>
      </c>
      <c r="P101" s="257" t="str">
        <v>38-39 Plan</v>
      </c>
      <c r="Q101" s="177" t="str">
        <v>40-41 Plan</v>
      </c>
    </row>
    <row r="102" spans="5:34" x14ac:dyDescent="0.35">
      <c r="G102" s="221">
        <v>2027</v>
      </c>
      <c r="H102" s="182">
        <v>69550763.898956373</v>
      </c>
      <c r="I102" s="182">
        <v>55325287.636249989</v>
      </c>
      <c r="J102" s="182">
        <v>0</v>
      </c>
      <c r="K102" s="182">
        <v>0</v>
      </c>
      <c r="L102" s="182">
        <v>0</v>
      </c>
      <c r="M102" s="182">
        <v>0</v>
      </c>
      <c r="N102" s="182">
        <v>0</v>
      </c>
      <c r="O102" s="182">
        <v>0</v>
      </c>
      <c r="P102" s="182">
        <v>0</v>
      </c>
      <c r="Q102" s="221">
        <v>0</v>
      </c>
    </row>
    <row r="103" spans="5:34" x14ac:dyDescent="0.35">
      <c r="G103" s="221">
        <v>2028</v>
      </c>
      <c r="H103" s="182">
        <v>69913182.707853854</v>
      </c>
      <c r="I103" s="182">
        <v>111130451.91312498</v>
      </c>
      <c r="J103" s="182">
        <v>0</v>
      </c>
      <c r="K103" s="182">
        <v>0</v>
      </c>
      <c r="L103" s="182">
        <v>0</v>
      </c>
      <c r="M103" s="182">
        <v>0</v>
      </c>
      <c r="N103" s="182">
        <v>0</v>
      </c>
      <c r="O103" s="182">
        <v>0</v>
      </c>
      <c r="P103" s="182">
        <v>0</v>
      </c>
      <c r="Q103" s="221">
        <v>0</v>
      </c>
    </row>
    <row r="104" spans="5:34" x14ac:dyDescent="0.35">
      <c r="G104" s="221">
        <v>2029</v>
      </c>
      <c r="H104" s="182">
        <v>57083190.017598137</v>
      </c>
      <c r="I104" s="182">
        <v>93898822.836770236</v>
      </c>
      <c r="J104" s="182">
        <v>47169711.158500008</v>
      </c>
      <c r="K104" s="182">
        <v>0</v>
      </c>
      <c r="L104" s="182">
        <v>0</v>
      </c>
      <c r="M104" s="182">
        <v>0</v>
      </c>
      <c r="N104" s="182">
        <v>0</v>
      </c>
      <c r="O104" s="182">
        <v>0</v>
      </c>
      <c r="P104" s="182">
        <v>0</v>
      </c>
      <c r="Q104" s="221">
        <v>0</v>
      </c>
    </row>
    <row r="105" spans="5:34" x14ac:dyDescent="0.35">
      <c r="G105" s="221">
        <v>2030</v>
      </c>
      <c r="H105" s="182">
        <v>42063752.42749273</v>
      </c>
      <c r="I105" s="182">
        <v>73793073.489986181</v>
      </c>
      <c r="J105" s="182">
        <v>74301716.010809004</v>
      </c>
      <c r="K105" s="182">
        <v>0</v>
      </c>
      <c r="L105" s="182">
        <v>0</v>
      </c>
      <c r="M105" s="182">
        <v>0</v>
      </c>
      <c r="N105" s="182">
        <v>0</v>
      </c>
      <c r="O105" s="182">
        <v>0</v>
      </c>
      <c r="P105" s="182">
        <v>0</v>
      </c>
      <c r="Q105" s="221">
        <v>0</v>
      </c>
    </row>
    <row r="106" spans="5:34" x14ac:dyDescent="0.35">
      <c r="G106" s="221">
        <v>2031</v>
      </c>
      <c r="H106" s="182">
        <v>39760108.8993304</v>
      </c>
      <c r="I106" s="182">
        <v>70607246.280471966</v>
      </c>
      <c r="J106" s="182">
        <v>71102000.731191859</v>
      </c>
      <c r="K106" s="182">
        <v>28672833.404849995</v>
      </c>
      <c r="L106" s="182">
        <v>0</v>
      </c>
      <c r="M106" s="182">
        <v>0</v>
      </c>
      <c r="N106" s="182">
        <v>0</v>
      </c>
      <c r="O106" s="182">
        <v>0</v>
      </c>
      <c r="P106" s="182">
        <v>0</v>
      </c>
      <c r="Q106" s="221">
        <v>0</v>
      </c>
    </row>
    <row r="107" spans="5:34" x14ac:dyDescent="0.35">
      <c r="G107" s="221">
        <v>2032</v>
      </c>
      <c r="H107" s="182">
        <v>35019410.552270733</v>
      </c>
      <c r="I107" s="182">
        <v>64196275.397265889</v>
      </c>
      <c r="J107" s="182">
        <v>64664785.045072988</v>
      </c>
      <c r="K107" s="182">
        <v>51802158.502959505</v>
      </c>
      <c r="L107" s="182">
        <v>0</v>
      </c>
      <c r="M107" s="182">
        <v>0</v>
      </c>
      <c r="N107" s="182">
        <v>0</v>
      </c>
      <c r="O107" s="182">
        <v>0</v>
      </c>
      <c r="P107" s="182">
        <v>0</v>
      </c>
      <c r="Q107" s="221">
        <v>0</v>
      </c>
    </row>
    <row r="108" spans="5:34" x14ac:dyDescent="0.35">
      <c r="G108" s="221">
        <v>2033</v>
      </c>
      <c r="H108" s="182">
        <v>27181142.535198294</v>
      </c>
      <c r="I108" s="182">
        <v>53694890.888953879</v>
      </c>
      <c r="J108" s="182">
        <v>54121588.497362562</v>
      </c>
      <c r="K108" s="182">
        <v>39140733.440501504</v>
      </c>
      <c r="L108" s="182">
        <v>13471658.923999999</v>
      </c>
      <c r="M108" s="182">
        <v>0</v>
      </c>
      <c r="N108" s="182">
        <v>0</v>
      </c>
      <c r="O108" s="182">
        <v>0</v>
      </c>
      <c r="P108" s="182">
        <v>0</v>
      </c>
      <c r="Q108" s="221">
        <v>0</v>
      </c>
    </row>
    <row r="109" spans="5:34" x14ac:dyDescent="0.35">
      <c r="G109" s="221">
        <v>2034</v>
      </c>
      <c r="H109" s="182">
        <v>20169071.694217682</v>
      </c>
      <c r="I109" s="182">
        <v>44308132.027953386</v>
      </c>
      <c r="J109" s="182">
        <v>44697540.349744588</v>
      </c>
      <c r="K109" s="182">
        <v>32567791.480549142</v>
      </c>
      <c r="L109" s="182">
        <v>22798095.92231999</v>
      </c>
      <c r="M109" s="182">
        <v>0</v>
      </c>
      <c r="N109" s="182">
        <v>0</v>
      </c>
      <c r="O109" s="182">
        <v>0</v>
      </c>
      <c r="P109" s="182">
        <v>0</v>
      </c>
      <c r="Q109" s="221">
        <v>0</v>
      </c>
    </row>
    <row r="110" spans="5:34" x14ac:dyDescent="0.35">
      <c r="G110" s="221">
        <v>2035</v>
      </c>
      <c r="H110" s="182">
        <v>10741029.247460391</v>
      </c>
      <c r="I110" s="182">
        <v>31746215.068254143</v>
      </c>
      <c r="J110" s="182">
        <v>32086430.547353998</v>
      </c>
      <c r="K110" s="182">
        <v>23774162.249487482</v>
      </c>
      <c r="L110" s="182">
        <v>16578470.940522406</v>
      </c>
      <c r="M110" s="182">
        <v>8660161.6160000023</v>
      </c>
      <c r="N110" s="182">
        <v>0</v>
      </c>
      <c r="O110" s="182">
        <v>0</v>
      </c>
      <c r="P110" s="182">
        <v>0</v>
      </c>
      <c r="Q110" s="221">
        <v>0</v>
      </c>
    </row>
    <row r="111" spans="5:34" x14ac:dyDescent="0.35">
      <c r="G111" s="221">
        <v>2036</v>
      </c>
      <c r="H111" s="182">
        <v>1416021.2551784851</v>
      </c>
      <c r="I111" s="182">
        <v>19345624.271031141</v>
      </c>
      <c r="J111" s="182">
        <v>19637561.17786409</v>
      </c>
      <c r="K111" s="182">
        <v>15093357.059175812</v>
      </c>
      <c r="L111" s="182">
        <v>11646519.799002025</v>
      </c>
      <c r="M111" s="182">
        <v>11802672.349319991</v>
      </c>
      <c r="N111" s="182">
        <v>0</v>
      </c>
      <c r="O111" s="182">
        <v>0</v>
      </c>
      <c r="P111" s="182">
        <v>0</v>
      </c>
      <c r="Q111" s="221">
        <v>0</v>
      </c>
    </row>
    <row r="112" spans="5:34" x14ac:dyDescent="0.35">
      <c r="G112" s="221">
        <v>2037</v>
      </c>
      <c r="H112" s="182">
        <v>-7673184.1057697777</v>
      </c>
      <c r="I112" s="182">
        <v>7281010.3134493567</v>
      </c>
      <c r="J112" s="182">
        <v>7526239.6228800854</v>
      </c>
      <c r="K112" s="182">
        <v>6647527.3072559256</v>
      </c>
      <c r="L112" s="182">
        <v>6261587.4336863067</v>
      </c>
      <c r="M112" s="182">
        <v>6393423.8644108046</v>
      </c>
      <c r="N112" s="182">
        <v>3246565.1720000026</v>
      </c>
      <c r="O112" s="182">
        <v>0</v>
      </c>
      <c r="P112" s="182">
        <v>0</v>
      </c>
      <c r="Q112" s="221">
        <v>0</v>
      </c>
    </row>
    <row r="113" spans="1:17" x14ac:dyDescent="0.35">
      <c r="G113" s="221">
        <v>2038</v>
      </c>
      <c r="H113" s="182">
        <v>-16744762.128639074</v>
      </c>
      <c r="I113" s="182">
        <v>-4736256.9130993802</v>
      </c>
      <c r="J113" s="182">
        <v>-4537268.9392180815</v>
      </c>
      <c r="K113" s="182">
        <v>-1765193.5442851344</v>
      </c>
      <c r="L113" s="182">
        <v>901164.24200012442</v>
      </c>
      <c r="M113" s="182">
        <v>1008927.1832732749</v>
      </c>
      <c r="N113" s="182">
        <v>1117775.8904000148</v>
      </c>
      <c r="O113" s="182">
        <v>0</v>
      </c>
      <c r="P113" s="182">
        <v>0</v>
      </c>
      <c r="Q113" s="221">
        <v>0</v>
      </c>
    </row>
    <row r="114" spans="1:17" x14ac:dyDescent="0.35">
      <c r="G114" s="221">
        <v>2039</v>
      </c>
      <c r="H114" s="182">
        <v>-25470389.106923562</v>
      </c>
      <c r="I114" s="182">
        <v>-16274022.938518684</v>
      </c>
      <c r="J114" s="182">
        <v>-16119182.002565527</v>
      </c>
      <c r="K114" s="182">
        <v>-9842555.0817208607</v>
      </c>
      <c r="L114" s="182">
        <v>-4242475.0076152496</v>
      </c>
      <c r="M114" s="182">
        <v>-4157696.1157988436</v>
      </c>
      <c r="N114" s="182">
        <v>-4072063.0339914076</v>
      </c>
      <c r="O114" s="182">
        <v>-2003649.8260000041</v>
      </c>
      <c r="P114" s="182">
        <v>0</v>
      </c>
      <c r="Q114" s="221">
        <v>0</v>
      </c>
    </row>
    <row r="115" spans="1:17" x14ac:dyDescent="0.35">
      <c r="G115" s="221">
        <v>2040</v>
      </c>
      <c r="H115" s="182">
        <v>-33827000.452790558</v>
      </c>
      <c r="I115" s="182">
        <v>-27303417.270087704</v>
      </c>
      <c r="J115" s="182">
        <v>-27190538.040832508</v>
      </c>
      <c r="K115" s="182">
        <v>-17564362.558149517</v>
      </c>
      <c r="L115" s="182">
        <v>-9156696.6676980667</v>
      </c>
      <c r="M115" s="182">
        <v>-9093765.0354415961</v>
      </c>
      <c r="N115" s="182">
        <v>-9030199.3353264779</v>
      </c>
      <c r="O115" s="182">
        <v>-8965993.1788000092</v>
      </c>
      <c r="P115" s="182">
        <v>0</v>
      </c>
      <c r="Q115" s="221">
        <v>0</v>
      </c>
    </row>
    <row r="116" spans="1:17" x14ac:dyDescent="0.35">
      <c r="G116" s="221">
        <v>2041</v>
      </c>
      <c r="H116" s="182">
        <v>-42420625.201693393</v>
      </c>
      <c r="I116" s="182">
        <v>-38622436.232203126</v>
      </c>
      <c r="J116" s="182">
        <v>-38552343.372757629</v>
      </c>
      <c r="K116" s="182">
        <v>-25488737.490497977</v>
      </c>
      <c r="L116" s="182">
        <v>-14196591.113308951</v>
      </c>
      <c r="M116" s="182">
        <v>-27829694.511852551</v>
      </c>
      <c r="N116" s="182">
        <v>-14114870.415410779</v>
      </c>
      <c r="O116" s="182">
        <v>-14073391.501805793</v>
      </c>
      <c r="P116" s="182">
        <v>-7021010.7219999963</v>
      </c>
      <c r="Q116" s="221">
        <v>0</v>
      </c>
    </row>
    <row r="117" spans="1:17" x14ac:dyDescent="0.35">
      <c r="G117" s="221">
        <v>2042</v>
      </c>
      <c r="H117" s="182">
        <v>-50839067.643375814</v>
      </c>
      <c r="I117" s="182">
        <v>-49689090.056946099</v>
      </c>
      <c r="J117" s="182">
        <v>-49660573.097497389</v>
      </c>
      <c r="K117" s="182">
        <v>-33236609.146447111</v>
      </c>
      <c r="L117" s="182">
        <v>-19121095.145749144</v>
      </c>
      <c r="M117" s="182">
        <v>-19102085.98299098</v>
      </c>
      <c r="N117" s="182">
        <v>-19082885.293353681</v>
      </c>
      <c r="O117" s="182">
        <v>-19063491.147107579</v>
      </c>
      <c r="P117" s="182">
        <v>-19043901.595080003</v>
      </c>
      <c r="Q117" s="221">
        <v>0</v>
      </c>
    </row>
    <row r="118" spans="1:17" x14ac:dyDescent="0.35">
      <c r="G118" s="221">
        <v>2043</v>
      </c>
      <c r="H118" s="221">
        <v>-72226089.105652824</v>
      </c>
      <c r="I118" s="221">
        <v>-94732488.585202202</v>
      </c>
      <c r="J118" s="221">
        <v>-95085382.587959617</v>
      </c>
      <c r="K118" s="221">
        <v>-66256922.765871339</v>
      </c>
      <c r="L118" s="221">
        <v>-42100976.201353304</v>
      </c>
      <c r="M118" s="221">
        <v>-42284531.325906217</v>
      </c>
      <c r="N118" s="221">
        <v>-42469935.860693641</v>
      </c>
      <c r="O118" s="221">
        <v>-42657208.43945419</v>
      </c>
      <c r="P118" s="221">
        <v>-42891160.478453353</v>
      </c>
      <c r="Q118" s="221">
        <v>-21494713.572000008</v>
      </c>
    </row>
    <row r="119" spans="1:17" x14ac:dyDescent="0.35">
      <c r="A119"/>
    </row>
    <row r="120" spans="1:17" x14ac:dyDescent="0.35">
      <c r="A120"/>
    </row>
    <row r="121" spans="1:17" x14ac:dyDescent="0.35">
      <c r="A121"/>
    </row>
    <row r="122" spans="1:17" x14ac:dyDescent="0.35">
      <c r="A122"/>
    </row>
    <row r="123" spans="1:17" x14ac:dyDescent="0.35">
      <c r="A123"/>
    </row>
    <row r="124" spans="1:17" x14ac:dyDescent="0.35">
      <c r="A124"/>
    </row>
    <row r="125" spans="1:17" x14ac:dyDescent="0.35">
      <c r="A125"/>
    </row>
    <row r="126" spans="1:17" x14ac:dyDescent="0.35">
      <c r="A126"/>
    </row>
    <row r="127" spans="1:17" x14ac:dyDescent="0.35">
      <c r="A127"/>
    </row>
    <row r="128" spans="1:17" x14ac:dyDescent="0.35">
      <c r="A128"/>
    </row>
    <row r="129" spans="1:1" x14ac:dyDescent="0.35">
      <c r="A129"/>
    </row>
    <row r="130" spans="1:1" x14ac:dyDescent="0.35">
      <c r="A130"/>
    </row>
    <row r="131" spans="1:1" x14ac:dyDescent="0.35">
      <c r="A131"/>
    </row>
    <row r="132" spans="1:1" x14ac:dyDescent="0.35">
      <c r="A132"/>
    </row>
    <row r="133" spans="1:1" x14ac:dyDescent="0.35">
      <c r="A133"/>
    </row>
    <row r="134" spans="1:1" x14ac:dyDescent="0.35">
      <c r="A134"/>
    </row>
    <row r="135" spans="1:1" x14ac:dyDescent="0.35">
      <c r="A135"/>
    </row>
    <row r="136" spans="1:1" x14ac:dyDescent="0.35">
      <c r="A136"/>
    </row>
    <row r="137" spans="1:1" x14ac:dyDescent="0.35">
      <c r="A137"/>
    </row>
    <row r="138" spans="1:1" x14ac:dyDescent="0.35">
      <c r="A138"/>
    </row>
    <row r="139" spans="1:1" x14ac:dyDescent="0.35">
      <c r="A139"/>
    </row>
    <row r="140" spans="1:1" x14ac:dyDescent="0.35">
      <c r="A140"/>
    </row>
    <row r="141" spans="1:1" x14ac:dyDescent="0.35">
      <c r="A141"/>
    </row>
    <row r="142" spans="1:1" x14ac:dyDescent="0.35">
      <c r="A142"/>
    </row>
    <row r="143" spans="1:1" x14ac:dyDescent="0.35">
      <c r="A143"/>
    </row>
    <row r="144" spans="1:1" x14ac:dyDescent="0.35">
      <c r="A144"/>
    </row>
    <row r="145" spans="1:1" x14ac:dyDescent="0.35">
      <c r="A145"/>
    </row>
    <row r="146" spans="1:1" x14ac:dyDescent="0.35">
      <c r="A146"/>
    </row>
    <row r="147" spans="1:1" x14ac:dyDescent="0.35">
      <c r="A147"/>
    </row>
    <row r="148" spans="1:1" x14ac:dyDescent="0.35">
      <c r="A148"/>
    </row>
    <row r="149" spans="1:1" x14ac:dyDescent="0.35">
      <c r="A149"/>
    </row>
    <row r="150" spans="1:1" x14ac:dyDescent="0.35">
      <c r="A150"/>
    </row>
    <row r="151" spans="1:1" x14ac:dyDescent="0.35">
      <c r="A151"/>
    </row>
    <row r="152" spans="1:1" x14ac:dyDescent="0.35">
      <c r="A152"/>
    </row>
    <row r="153" spans="1:1" x14ac:dyDescent="0.35">
      <c r="A153"/>
    </row>
    <row r="154" spans="1:1" x14ac:dyDescent="0.35">
      <c r="A154"/>
    </row>
    <row r="155" spans="1:1" x14ac:dyDescent="0.35">
      <c r="A155"/>
    </row>
    <row r="156" spans="1:1" x14ac:dyDescent="0.35">
      <c r="A156"/>
    </row>
  </sheetData>
  <pageMargins left="0.7" right="0.7" top="0.75" bottom="0.75" header="0.3" footer="0.3"/>
  <pageSetup scale="25" fitToHeight="3" orientation="portrait" r:id="rId1"/>
  <customProperties>
    <customPr name="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FE936-7A56-4E58-A039-E9D231AC805D}">
  <sheetPr>
    <tabColor theme="7" tint="0.59999389629810485"/>
    <pageSetUpPr fitToPage="1"/>
  </sheetPr>
  <dimension ref="A1:Z103"/>
  <sheetViews>
    <sheetView zoomScale="90" zoomScaleNormal="90" workbookViewId="0">
      <selection activeCell="L3" sqref="L3"/>
    </sheetView>
  </sheetViews>
  <sheetFormatPr defaultRowHeight="14.5" x14ac:dyDescent="0.35"/>
  <cols>
    <col min="1" max="1" width="32.54296875" bestFit="1" customWidth="1"/>
    <col min="2" max="2" width="26.453125" bestFit="1" customWidth="1"/>
    <col min="3" max="3" width="16.453125" bestFit="1" customWidth="1"/>
    <col min="4" max="4" width="25.453125" bestFit="1" customWidth="1"/>
    <col min="5" max="5" width="15.453125" customWidth="1"/>
    <col min="6" max="6" width="15.54296875" bestFit="1" customWidth="1"/>
    <col min="7" max="7" width="23.54296875" style="288" customWidth="1"/>
    <col min="8" max="8" width="13.453125" customWidth="1"/>
    <col min="9" max="9" width="21.08984375" style="188" bestFit="1" customWidth="1"/>
    <col min="10" max="10" width="14.08984375" style="134" customWidth="1"/>
    <col min="11" max="26" width="11.453125" bestFit="1" customWidth="1"/>
  </cols>
  <sheetData>
    <row r="1" spans="1:26" ht="18.5" x14ac:dyDescent="0.45">
      <c r="A1" s="106"/>
      <c r="B1" s="106"/>
      <c r="C1" s="106"/>
      <c r="D1" s="106"/>
      <c r="E1" s="106"/>
      <c r="F1" s="106"/>
      <c r="G1" s="280"/>
      <c r="H1" s="106"/>
      <c r="I1" s="210"/>
      <c r="J1" s="129"/>
      <c r="K1" s="106"/>
      <c r="L1" s="106"/>
      <c r="M1" s="106"/>
      <c r="N1" s="106"/>
      <c r="O1" s="106"/>
      <c r="P1" s="106"/>
    </row>
    <row r="2" spans="1:26" ht="18.5" x14ac:dyDescent="0.45">
      <c r="A2" s="106"/>
      <c r="B2" s="106"/>
      <c r="C2" s="106"/>
      <c r="D2" s="106"/>
      <c r="E2" s="106"/>
      <c r="F2" s="106"/>
      <c r="G2" s="280"/>
      <c r="H2" s="106"/>
      <c r="I2" s="210"/>
      <c r="J2" s="129"/>
      <c r="K2" s="106"/>
      <c r="L2" s="106"/>
      <c r="M2" s="106"/>
      <c r="N2" s="106"/>
      <c r="O2" s="106"/>
      <c r="P2" s="106"/>
    </row>
    <row r="3" spans="1:26" ht="55.5" x14ac:dyDescent="0.45">
      <c r="A3" s="107"/>
      <c r="B3" s="2" t="s">
        <v>105</v>
      </c>
      <c r="C3" s="2" t="s">
        <v>106</v>
      </c>
      <c r="D3" s="2" t="s">
        <v>107</v>
      </c>
      <c r="E3" s="2" t="s">
        <v>108</v>
      </c>
      <c r="F3" s="2" t="s">
        <v>109</v>
      </c>
      <c r="G3" s="281" t="s">
        <v>358</v>
      </c>
      <c r="H3" s="2" t="s">
        <v>110</v>
      </c>
      <c r="I3" s="211" t="s">
        <v>111</v>
      </c>
      <c r="J3" s="294" t="s">
        <v>112</v>
      </c>
      <c r="K3" s="2" t="s">
        <v>113</v>
      </c>
      <c r="L3" s="2" t="s">
        <v>114</v>
      </c>
      <c r="M3" s="2" t="s">
        <v>115</v>
      </c>
      <c r="N3" s="2" t="s">
        <v>116</v>
      </c>
      <c r="O3" s="2" t="s">
        <v>117</v>
      </c>
      <c r="P3" s="2" t="s">
        <v>118</v>
      </c>
      <c r="Q3" s="2" t="s">
        <v>119</v>
      </c>
      <c r="R3" s="2" t="s">
        <v>120</v>
      </c>
      <c r="S3" s="2" t="s">
        <v>121</v>
      </c>
      <c r="T3" s="2" t="s">
        <v>122</v>
      </c>
      <c r="U3" s="2" t="s">
        <v>123</v>
      </c>
      <c r="V3" s="2" t="s">
        <v>124</v>
      </c>
      <c r="W3" s="2" t="s">
        <v>125</v>
      </c>
      <c r="X3" s="2" t="s">
        <v>126</v>
      </c>
      <c r="Y3" s="2" t="s">
        <v>127</v>
      </c>
      <c r="Z3" s="2" t="s">
        <v>128</v>
      </c>
    </row>
    <row r="4" spans="1:26" ht="18.5" x14ac:dyDescent="0.45">
      <c r="A4" s="108" t="s">
        <v>129</v>
      </c>
      <c r="B4" s="109">
        <v>667000</v>
      </c>
      <c r="C4" s="110">
        <f>C6+C13+C26+C43+C58+C75</f>
        <v>667000</v>
      </c>
      <c r="D4" s="109">
        <v>800000</v>
      </c>
      <c r="E4" s="110">
        <f>E6+E13+E26+E43+E58+E75</f>
        <v>800000</v>
      </c>
      <c r="F4" s="110"/>
      <c r="G4" s="282"/>
      <c r="H4" s="110"/>
      <c r="I4" s="212"/>
      <c r="J4" s="130"/>
      <c r="K4" s="110"/>
      <c r="L4" s="110"/>
      <c r="M4" s="110"/>
      <c r="N4" s="110"/>
      <c r="O4" s="110"/>
      <c r="P4" s="110"/>
      <c r="Q4" s="110"/>
      <c r="R4" s="110"/>
      <c r="S4" s="110"/>
      <c r="T4" s="110"/>
      <c r="U4" s="110"/>
      <c r="V4" s="110"/>
      <c r="W4" s="110"/>
      <c r="X4" s="110"/>
      <c r="Y4" s="110"/>
      <c r="Z4" s="110"/>
    </row>
    <row r="5" spans="1:26" ht="18.5" x14ac:dyDescent="0.45">
      <c r="A5" s="111" t="s">
        <v>130</v>
      </c>
      <c r="B5" s="111"/>
      <c r="C5" s="112">
        <f>C6+C13+C26+C43+C58+C75</f>
        <v>667000</v>
      </c>
      <c r="D5" s="111"/>
      <c r="E5" s="112">
        <f>E6+E13+E26+E43+E58+E75</f>
        <v>800000</v>
      </c>
      <c r="F5" s="110"/>
      <c r="G5" s="282"/>
      <c r="H5" s="110"/>
      <c r="I5" s="212"/>
      <c r="J5" s="130"/>
      <c r="K5" s="110"/>
      <c r="L5" s="110"/>
      <c r="M5" s="110"/>
      <c r="N5" s="110"/>
      <c r="O5" s="110"/>
      <c r="P5" s="110"/>
      <c r="Q5" s="110"/>
      <c r="R5" s="110"/>
      <c r="S5" s="110"/>
      <c r="T5" s="110"/>
      <c r="U5" s="110"/>
      <c r="V5" s="110"/>
      <c r="W5" s="110"/>
      <c r="X5" s="110"/>
      <c r="Y5" s="110"/>
      <c r="Z5" s="110"/>
    </row>
    <row r="6" spans="1:26" ht="18.5" x14ac:dyDescent="0.45">
      <c r="A6" s="111" t="s">
        <v>131</v>
      </c>
      <c r="B6" s="113">
        <v>0.18</v>
      </c>
      <c r="C6" s="114">
        <f>B4*B6</f>
        <v>120060</v>
      </c>
      <c r="D6" s="113">
        <v>0.18</v>
      </c>
      <c r="E6" s="114">
        <f>D4*D6</f>
        <v>144000</v>
      </c>
      <c r="F6" s="114"/>
      <c r="G6" s="283"/>
      <c r="H6" s="115"/>
      <c r="I6" s="213">
        <f>SUM(I8:I12)</f>
        <v>102851422.74519978</v>
      </c>
      <c r="J6" s="289"/>
      <c r="K6" s="115"/>
      <c r="L6" s="115"/>
      <c r="M6" s="115"/>
      <c r="N6" s="115"/>
      <c r="O6" s="115"/>
      <c r="P6" s="115"/>
      <c r="Q6" s="115"/>
      <c r="R6" s="115"/>
      <c r="S6" s="115"/>
      <c r="T6" s="115"/>
      <c r="U6" s="115"/>
      <c r="V6" s="115"/>
      <c r="W6" s="115"/>
      <c r="X6" s="115"/>
      <c r="Y6" s="115"/>
      <c r="Z6" s="115"/>
    </row>
    <row r="7" spans="1:26" ht="18.5" x14ac:dyDescent="0.45">
      <c r="A7" s="116" t="s">
        <v>132</v>
      </c>
      <c r="B7" s="117"/>
      <c r="C7" s="118">
        <f>C6*0.3</f>
        <v>36018</v>
      </c>
      <c r="D7" s="117"/>
      <c r="E7" s="118">
        <f>E6*0.3</f>
        <v>43200</v>
      </c>
      <c r="F7" s="118"/>
      <c r="G7" s="284">
        <v>18760</v>
      </c>
      <c r="H7" s="119"/>
      <c r="I7" s="212"/>
      <c r="J7" s="290"/>
      <c r="K7" s="119"/>
      <c r="L7" s="119"/>
      <c r="M7" s="119"/>
      <c r="N7" s="119"/>
      <c r="O7" s="119"/>
      <c r="P7" s="119"/>
      <c r="Q7" s="119"/>
      <c r="R7" s="119"/>
      <c r="S7" s="119"/>
      <c r="T7" s="119"/>
      <c r="U7" s="119"/>
      <c r="V7" s="119"/>
      <c r="W7" s="119"/>
      <c r="X7" s="119"/>
      <c r="Y7" s="119"/>
      <c r="Z7" s="119"/>
    </row>
    <row r="8" spans="1:26" ht="18.5" x14ac:dyDescent="0.45">
      <c r="A8" s="107" t="s">
        <v>133</v>
      </c>
      <c r="B8" s="120">
        <v>0.38</v>
      </c>
      <c r="C8" s="118">
        <f>$C$7*$B$8</f>
        <v>13686.84</v>
      </c>
      <c r="D8" s="120">
        <v>0.38</v>
      </c>
      <c r="E8" s="118">
        <f>$E$7*$D$8</f>
        <v>16416</v>
      </c>
      <c r="F8" s="121">
        <v>0.14884</v>
      </c>
      <c r="G8" s="285">
        <f>F8*D8*$G$7*8760/1000</f>
        <v>9294.80318592</v>
      </c>
      <c r="H8" s="122">
        <v>75.209246731677993</v>
      </c>
      <c r="I8" s="214">
        <f>H8*G8*15*0.96</f>
        <v>10066394.104304312</v>
      </c>
      <c r="J8" s="291">
        <v>73.709999999999994</v>
      </c>
      <c r="K8" s="122">
        <f>J8*$B$93</f>
        <v>70.761599999999987</v>
      </c>
      <c r="L8" s="122">
        <f t="shared" ref="L8:Z8" si="0">K8*$B$93</f>
        <v>67.931135999999981</v>
      </c>
      <c r="M8" s="122">
        <f t="shared" si="0"/>
        <v>65.213890559999982</v>
      </c>
      <c r="N8" s="122">
        <f t="shared" si="0"/>
        <v>62.605334937599977</v>
      </c>
      <c r="O8" s="122">
        <f t="shared" si="0"/>
        <v>60.101121540095974</v>
      </c>
      <c r="P8" s="122">
        <f t="shared" si="0"/>
        <v>57.697076678492131</v>
      </c>
      <c r="Q8" s="122">
        <f t="shared" si="0"/>
        <v>55.389193611352447</v>
      </c>
      <c r="R8" s="122">
        <f t="shared" si="0"/>
        <v>53.173625866898348</v>
      </c>
      <c r="S8" s="122">
        <f t="shared" si="0"/>
        <v>51.046680832222414</v>
      </c>
      <c r="T8" s="122">
        <f t="shared" si="0"/>
        <v>49.004813598933517</v>
      </c>
      <c r="U8" s="122">
        <f t="shared" si="0"/>
        <v>47.044621054976176</v>
      </c>
      <c r="V8" s="122">
        <f t="shared" si="0"/>
        <v>45.16283621277713</v>
      </c>
      <c r="W8" s="122">
        <f t="shared" si="0"/>
        <v>43.356322764266039</v>
      </c>
      <c r="X8" s="122">
        <f t="shared" si="0"/>
        <v>41.622069853695393</v>
      </c>
      <c r="Y8" s="122">
        <f t="shared" si="0"/>
        <v>39.957187059547579</v>
      </c>
      <c r="Z8" s="122">
        <f t="shared" si="0"/>
        <v>38.358899577165673</v>
      </c>
    </row>
    <row r="9" spans="1:26" ht="18.5" x14ac:dyDescent="0.45">
      <c r="A9" s="107" t="s">
        <v>134</v>
      </c>
      <c r="B9" s="120">
        <v>0.62</v>
      </c>
      <c r="C9" s="118">
        <f>$C$7*$B$9</f>
        <v>22331.16</v>
      </c>
      <c r="D9" s="120">
        <v>0.62</v>
      </c>
      <c r="E9" s="118">
        <f>$E$7*$D$9</f>
        <v>26784</v>
      </c>
      <c r="F9" s="121">
        <v>0.15130000000000002</v>
      </c>
      <c r="G9" s="285">
        <f>F9*D9*$G$7*8760/1000</f>
        <v>15415.852905600004</v>
      </c>
      <c r="H9" s="122">
        <v>64.706670100989783</v>
      </c>
      <c r="I9" s="214">
        <f>H9*G9*15*0.96</f>
        <v>14364122.519347837</v>
      </c>
      <c r="J9" s="291">
        <v>63.53</v>
      </c>
      <c r="K9" s="122">
        <f t="shared" ref="K9:Z9" si="1">J9*$B$93</f>
        <v>60.988799999999998</v>
      </c>
      <c r="L9" s="122">
        <f t="shared" si="1"/>
        <v>58.549247999999999</v>
      </c>
      <c r="M9" s="122">
        <f t="shared" si="1"/>
        <v>56.207278079999995</v>
      </c>
      <c r="N9" s="122">
        <f t="shared" si="1"/>
        <v>53.95898695679999</v>
      </c>
      <c r="O9" s="122">
        <f t="shared" si="1"/>
        <v>51.800627478527986</v>
      </c>
      <c r="P9" s="122">
        <f t="shared" si="1"/>
        <v>49.728602379386864</v>
      </c>
      <c r="Q9" s="122">
        <f t="shared" si="1"/>
        <v>47.739458284211388</v>
      </c>
      <c r="R9" s="122">
        <f t="shared" si="1"/>
        <v>45.82987995284293</v>
      </c>
      <c r="S9" s="122">
        <f t="shared" si="1"/>
        <v>43.996684754729209</v>
      </c>
      <c r="T9" s="122">
        <f t="shared" si="1"/>
        <v>42.236817364540038</v>
      </c>
      <c r="U9" s="122">
        <f t="shared" si="1"/>
        <v>40.547344669958434</v>
      </c>
      <c r="V9" s="122">
        <f t="shared" si="1"/>
        <v>38.925450883160096</v>
      </c>
      <c r="W9" s="122">
        <f t="shared" si="1"/>
        <v>37.368432847833688</v>
      </c>
      <c r="X9" s="122">
        <f t="shared" si="1"/>
        <v>35.87369553392034</v>
      </c>
      <c r="Y9" s="122">
        <f t="shared" si="1"/>
        <v>34.438747712563526</v>
      </c>
      <c r="Z9" s="122">
        <f t="shared" si="1"/>
        <v>33.061197804060981</v>
      </c>
    </row>
    <row r="10" spans="1:26" ht="18.5" x14ac:dyDescent="0.45">
      <c r="A10" s="116" t="s">
        <v>135</v>
      </c>
      <c r="B10" s="117"/>
      <c r="C10" s="118">
        <f>C6*0.7</f>
        <v>84042</v>
      </c>
      <c r="D10" s="117"/>
      <c r="E10" s="118">
        <f>E6*0.7</f>
        <v>100800</v>
      </c>
      <c r="F10" s="118"/>
      <c r="G10" s="286">
        <v>58740</v>
      </c>
      <c r="H10" s="123"/>
      <c r="I10" s="212"/>
      <c r="J10" s="292"/>
      <c r="K10" s="123"/>
      <c r="L10" s="123"/>
      <c r="M10" s="123"/>
      <c r="N10" s="123"/>
      <c r="O10" s="123"/>
      <c r="P10" s="123"/>
      <c r="Q10" s="123"/>
      <c r="R10" s="123"/>
      <c r="S10" s="123"/>
      <c r="T10" s="123"/>
      <c r="U10" s="123"/>
      <c r="V10" s="123"/>
      <c r="W10" s="123"/>
      <c r="X10" s="123"/>
      <c r="Y10" s="123"/>
      <c r="Z10" s="123"/>
    </row>
    <row r="11" spans="1:26" ht="18.5" x14ac:dyDescent="0.45">
      <c r="A11" s="107" t="s">
        <v>136</v>
      </c>
      <c r="B11" s="120">
        <v>0.38</v>
      </c>
      <c r="C11" s="118">
        <f>$C$10*B11</f>
        <v>31935.96</v>
      </c>
      <c r="D11" s="120">
        <v>0.38</v>
      </c>
      <c r="E11" s="118">
        <f>$E$10*D11</f>
        <v>38304</v>
      </c>
      <c r="F11" s="121">
        <v>0.13464999999999999</v>
      </c>
      <c r="G11" s="285">
        <f>F11*D11*$G$10*8760/1000</f>
        <v>26328.614320799999</v>
      </c>
      <c r="H11" s="122">
        <v>83.751234124420606</v>
      </c>
      <c r="I11" s="214">
        <f>H11*G11*15*0.96</f>
        <v>31752776.767001674</v>
      </c>
      <c r="J11" s="291">
        <v>81.12</v>
      </c>
      <c r="K11" s="122">
        <f t="shared" ref="K11:Z12" si="2">J11*$B$93</f>
        <v>77.875200000000007</v>
      </c>
      <c r="L11" s="122">
        <f t="shared" si="2"/>
        <v>74.760192000000004</v>
      </c>
      <c r="M11" s="122">
        <f t="shared" si="2"/>
        <v>71.769784319999999</v>
      </c>
      <c r="N11" s="122">
        <f t="shared" si="2"/>
        <v>68.8989929472</v>
      </c>
      <c r="O11" s="122">
        <f t="shared" si="2"/>
        <v>66.143033229311996</v>
      </c>
      <c r="P11" s="122">
        <f t="shared" si="2"/>
        <v>63.497311900139515</v>
      </c>
      <c r="Q11" s="122">
        <f t="shared" si="2"/>
        <v>60.957419424133931</v>
      </c>
      <c r="R11" s="122">
        <f t="shared" si="2"/>
        <v>58.519122647168572</v>
      </c>
      <c r="S11" s="122">
        <f t="shared" si="2"/>
        <v>56.178357741281829</v>
      </c>
      <c r="T11" s="122">
        <f t="shared" si="2"/>
        <v>53.931223431630556</v>
      </c>
      <c r="U11" s="122">
        <f t="shared" si="2"/>
        <v>51.773974494365333</v>
      </c>
      <c r="V11" s="122">
        <f t="shared" si="2"/>
        <v>49.703015514590717</v>
      </c>
      <c r="W11" s="122">
        <f t="shared" si="2"/>
        <v>47.714894894007088</v>
      </c>
      <c r="X11" s="122">
        <f t="shared" si="2"/>
        <v>45.806299098246804</v>
      </c>
      <c r="Y11" s="122">
        <f t="shared" si="2"/>
        <v>43.974047134316933</v>
      </c>
      <c r="Z11" s="122">
        <f t="shared" si="2"/>
        <v>42.215085248944256</v>
      </c>
    </row>
    <row r="12" spans="1:26" ht="18.5" x14ac:dyDescent="0.45">
      <c r="A12" s="107" t="s">
        <v>134</v>
      </c>
      <c r="B12" s="120">
        <v>0.62</v>
      </c>
      <c r="C12" s="118">
        <f>$C$10*B12</f>
        <v>52106.04</v>
      </c>
      <c r="D12" s="120">
        <v>0.62</v>
      </c>
      <c r="E12" s="118">
        <f>$E$10*D12</f>
        <v>62496</v>
      </c>
      <c r="F12" s="121">
        <v>0.13319</v>
      </c>
      <c r="G12" s="285">
        <f>F12*D12*$G$10*8760/1000</f>
        <v>42491.430954720003</v>
      </c>
      <c r="H12" s="122">
        <v>76.270491331333176</v>
      </c>
      <c r="I12" s="214">
        <f>H12*G12*15*0.96</f>
        <v>46668129.354545966</v>
      </c>
      <c r="J12" s="291">
        <v>73.91</v>
      </c>
      <c r="K12" s="122">
        <f t="shared" si="2"/>
        <v>70.953599999999994</v>
      </c>
      <c r="L12" s="122">
        <f t="shared" si="2"/>
        <v>68.115455999999995</v>
      </c>
      <c r="M12" s="122">
        <f t="shared" si="2"/>
        <v>65.390837759999997</v>
      </c>
      <c r="N12" s="122">
        <f t="shared" si="2"/>
        <v>62.775204249599994</v>
      </c>
      <c r="O12" s="122">
        <f t="shared" si="2"/>
        <v>60.264196079615992</v>
      </c>
      <c r="P12" s="122">
        <f t="shared" si="2"/>
        <v>57.853628236431348</v>
      </c>
      <c r="Q12" s="122">
        <f t="shared" si="2"/>
        <v>55.539483106974089</v>
      </c>
      <c r="R12" s="122">
        <f t="shared" si="2"/>
        <v>53.317903782695126</v>
      </c>
      <c r="S12" s="122">
        <f t="shared" si="2"/>
        <v>51.185187631387322</v>
      </c>
      <c r="T12" s="122">
        <f t="shared" si="2"/>
        <v>49.13778012613183</v>
      </c>
      <c r="U12" s="122">
        <f t="shared" si="2"/>
        <v>47.172268921086555</v>
      </c>
      <c r="V12" s="122">
        <f t="shared" si="2"/>
        <v>45.285378164243092</v>
      </c>
      <c r="W12" s="122">
        <f t="shared" si="2"/>
        <v>43.473963037673364</v>
      </c>
      <c r="X12" s="122">
        <f t="shared" si="2"/>
        <v>41.735004516166427</v>
      </c>
      <c r="Y12" s="122">
        <f t="shared" si="2"/>
        <v>40.065604335519765</v>
      </c>
      <c r="Z12" s="122">
        <f t="shared" si="2"/>
        <v>38.462980162098972</v>
      </c>
    </row>
    <row r="13" spans="1:26" ht="18.5" x14ac:dyDescent="0.45">
      <c r="A13" s="111" t="s">
        <v>137</v>
      </c>
      <c r="B13" s="113">
        <v>0.18</v>
      </c>
      <c r="C13" s="114">
        <f>B4*B13</f>
        <v>120060</v>
      </c>
      <c r="D13" s="113">
        <v>0.18</v>
      </c>
      <c r="E13" s="114">
        <f>D4*D13</f>
        <v>144000</v>
      </c>
      <c r="F13" s="114"/>
      <c r="G13" s="283"/>
      <c r="H13" s="115"/>
      <c r="I13" s="213">
        <f>SUM(I15:I25)</f>
        <v>93712503.363263056</v>
      </c>
      <c r="J13" s="289"/>
      <c r="K13" s="115"/>
      <c r="L13" s="115"/>
      <c r="M13" s="115"/>
      <c r="N13" s="115"/>
      <c r="O13" s="115"/>
      <c r="P13" s="115"/>
      <c r="Q13" s="115"/>
      <c r="R13" s="115"/>
      <c r="S13" s="115"/>
      <c r="T13" s="115"/>
      <c r="U13" s="115"/>
      <c r="V13" s="115"/>
      <c r="W13" s="115"/>
      <c r="X13" s="115"/>
      <c r="Y13" s="115"/>
      <c r="Z13" s="115"/>
    </row>
    <row r="14" spans="1:26" ht="18.5" x14ac:dyDescent="0.45">
      <c r="A14" s="116" t="s">
        <v>138</v>
      </c>
      <c r="B14" s="117"/>
      <c r="C14" s="118">
        <f>C13*0.3</f>
        <v>36018</v>
      </c>
      <c r="D14" s="117"/>
      <c r="E14" s="118">
        <f>E13*0.3</f>
        <v>43200</v>
      </c>
      <c r="F14" s="118"/>
      <c r="G14" s="284">
        <v>4230</v>
      </c>
      <c r="H14" s="123"/>
      <c r="I14" s="212"/>
      <c r="J14" s="292"/>
      <c r="K14" s="123"/>
      <c r="L14" s="123"/>
      <c r="M14" s="123"/>
      <c r="N14" s="123"/>
      <c r="O14" s="123"/>
      <c r="P14" s="123"/>
      <c r="Q14" s="123"/>
      <c r="R14" s="123"/>
      <c r="S14" s="123"/>
      <c r="T14" s="123"/>
      <c r="U14" s="123"/>
      <c r="V14" s="123"/>
      <c r="W14" s="123"/>
      <c r="X14" s="123"/>
      <c r="Y14" s="123"/>
      <c r="Z14" s="123"/>
    </row>
    <row r="15" spans="1:26" ht="18.5" x14ac:dyDescent="0.45">
      <c r="A15" s="107" t="s">
        <v>139</v>
      </c>
      <c r="B15" s="120">
        <v>8.2589858081657974E-2</v>
      </c>
      <c r="C15" s="118">
        <f>$C$14*B15</f>
        <v>2974.721508385157</v>
      </c>
      <c r="D15" s="120">
        <v>8.2589858081657974E-2</v>
      </c>
      <c r="E15" s="118">
        <f>$E$14*D15</f>
        <v>3567.8818691276247</v>
      </c>
      <c r="F15" s="121">
        <v>0.15196999999999999</v>
      </c>
      <c r="G15" s="285">
        <f>F15*D15*$G$14*8760/1000</f>
        <v>465.08149181292407</v>
      </c>
      <c r="H15" s="122">
        <v>59.27799510161713</v>
      </c>
      <c r="I15" s="214">
        <f>H15*G15*15*0.96</f>
        <v>396995.01686696592</v>
      </c>
      <c r="J15" s="291">
        <v>55.89</v>
      </c>
      <c r="K15" s="122">
        <f t="shared" ref="K15:Z19" si="3">J15*$B$93</f>
        <v>53.654399999999995</v>
      </c>
      <c r="L15" s="122">
        <f t="shared" si="3"/>
        <v>51.508223999999991</v>
      </c>
      <c r="M15" s="122">
        <f t="shared" si="3"/>
        <v>49.447895039999992</v>
      </c>
      <c r="N15" s="122">
        <f t="shared" si="3"/>
        <v>47.469979238399993</v>
      </c>
      <c r="O15" s="122">
        <f t="shared" si="3"/>
        <v>45.571180068863995</v>
      </c>
      <c r="P15" s="122">
        <f t="shared" si="3"/>
        <v>43.748332866109436</v>
      </c>
      <c r="Q15" s="122">
        <f t="shared" si="3"/>
        <v>41.998399551465056</v>
      </c>
      <c r="R15" s="122">
        <f t="shared" si="3"/>
        <v>40.318463569406454</v>
      </c>
      <c r="S15" s="122">
        <f t="shared" si="3"/>
        <v>38.705725026630198</v>
      </c>
      <c r="T15" s="122">
        <f t="shared" si="3"/>
        <v>37.157496025564988</v>
      </c>
      <c r="U15" s="122">
        <f t="shared" si="3"/>
        <v>35.671196184542389</v>
      </c>
      <c r="V15" s="122">
        <f t="shared" si="3"/>
        <v>34.244348337160694</v>
      </c>
      <c r="W15" s="122">
        <f t="shared" si="3"/>
        <v>32.874574403674266</v>
      </c>
      <c r="X15" s="122">
        <f t="shared" si="3"/>
        <v>31.559591427527295</v>
      </c>
      <c r="Y15" s="122">
        <f t="shared" si="3"/>
        <v>30.297207770426201</v>
      </c>
      <c r="Z15" s="122">
        <f t="shared" si="3"/>
        <v>29.085319459609153</v>
      </c>
    </row>
    <row r="16" spans="1:26" ht="18.5" x14ac:dyDescent="0.45">
      <c r="A16" s="107" t="s">
        <v>140</v>
      </c>
      <c r="B16" s="120">
        <v>6.3796727298494463E-2</v>
      </c>
      <c r="C16" s="118">
        <f>$C$14*B16</f>
        <v>2297.8305238371736</v>
      </c>
      <c r="D16" s="120">
        <v>6.3796727298494463E-2</v>
      </c>
      <c r="E16" s="118">
        <f>$E$14*D16</f>
        <v>2756.0186192949609</v>
      </c>
      <c r="F16" s="121">
        <v>0.14819000000000002</v>
      </c>
      <c r="G16" s="285">
        <f t="shared" ref="G16:G18" si="4">F16*D16*$G$14*8760/1000</f>
        <v>350.3174509080705</v>
      </c>
      <c r="H16" s="122">
        <v>60.436049575549703</v>
      </c>
      <c r="I16" s="214">
        <f>H16*G16*15*0.96</f>
        <v>304873.96075574902</v>
      </c>
      <c r="J16" s="291">
        <v>53.63</v>
      </c>
      <c r="K16" s="122">
        <f t="shared" si="3"/>
        <v>51.4848</v>
      </c>
      <c r="L16" s="122">
        <f t="shared" si="3"/>
        <v>49.425407999999997</v>
      </c>
      <c r="M16" s="122">
        <f t="shared" si="3"/>
        <v>47.448391679999993</v>
      </c>
      <c r="N16" s="122">
        <f t="shared" si="3"/>
        <v>45.550456012799991</v>
      </c>
      <c r="O16" s="122">
        <f t="shared" si="3"/>
        <v>43.72843777228799</v>
      </c>
      <c r="P16" s="122">
        <f t="shared" si="3"/>
        <v>41.979300261396467</v>
      </c>
      <c r="Q16" s="122">
        <f t="shared" si="3"/>
        <v>40.30012825094061</v>
      </c>
      <c r="R16" s="122">
        <f t="shared" si="3"/>
        <v>38.688123120902986</v>
      </c>
      <c r="S16" s="122">
        <f t="shared" si="3"/>
        <v>37.140598196066868</v>
      </c>
      <c r="T16" s="122">
        <f t="shared" si="3"/>
        <v>35.654974268224194</v>
      </c>
      <c r="U16" s="122">
        <f t="shared" si="3"/>
        <v>34.228775297495226</v>
      </c>
      <c r="V16" s="122">
        <f t="shared" si="3"/>
        <v>32.859624285595416</v>
      </c>
      <c r="W16" s="122">
        <f t="shared" si="3"/>
        <v>31.545239314171599</v>
      </c>
      <c r="X16" s="122">
        <f t="shared" si="3"/>
        <v>30.283429741604735</v>
      </c>
      <c r="Y16" s="122">
        <f t="shared" si="3"/>
        <v>29.072092551940543</v>
      </c>
      <c r="Z16" s="122">
        <f t="shared" si="3"/>
        <v>27.909208849862921</v>
      </c>
    </row>
    <row r="17" spans="1:26" ht="18.5" x14ac:dyDescent="0.45">
      <c r="A17" s="107" t="s">
        <v>141</v>
      </c>
      <c r="B17" s="120">
        <v>0.14809231752718796</v>
      </c>
      <c r="C17" s="118">
        <f>$C$14*B17</f>
        <v>5333.9890926942562</v>
      </c>
      <c r="D17" s="120">
        <v>0.14809231752718796</v>
      </c>
      <c r="E17" s="118">
        <f>$E$14*D17</f>
        <v>6397.5881171745195</v>
      </c>
      <c r="F17" s="121">
        <v>0.15303</v>
      </c>
      <c r="G17" s="285">
        <f t="shared" si="4"/>
        <v>839.75690068471113</v>
      </c>
      <c r="H17" s="122">
        <v>53.394693513735859</v>
      </c>
      <c r="I17" s="214">
        <f>H17*G17*15*0.96</f>
        <v>645675.29766871023</v>
      </c>
      <c r="J17" s="291">
        <v>46.58</v>
      </c>
      <c r="K17" s="122">
        <f t="shared" si="3"/>
        <v>44.716799999999999</v>
      </c>
      <c r="L17" s="122">
        <f t="shared" si="3"/>
        <v>42.928128000000001</v>
      </c>
      <c r="M17" s="122">
        <f t="shared" si="3"/>
        <v>41.211002880000002</v>
      </c>
      <c r="N17" s="122">
        <f t="shared" si="3"/>
        <v>39.562562764799999</v>
      </c>
      <c r="O17" s="122">
        <f t="shared" si="3"/>
        <v>37.980060254207999</v>
      </c>
      <c r="P17" s="122">
        <f t="shared" si="3"/>
        <v>36.46085784403968</v>
      </c>
      <c r="Q17" s="122">
        <f t="shared" si="3"/>
        <v>35.002423530278094</v>
      </c>
      <c r="R17" s="122">
        <f t="shared" si="3"/>
        <v>33.602326589066969</v>
      </c>
      <c r="S17" s="122">
        <f t="shared" si="3"/>
        <v>32.258233525504288</v>
      </c>
      <c r="T17" s="122">
        <f t="shared" si="3"/>
        <v>30.967904184484116</v>
      </c>
      <c r="U17" s="122">
        <f t="shared" si="3"/>
        <v>29.72918801710475</v>
      </c>
      <c r="V17" s="122">
        <f t="shared" si="3"/>
        <v>28.54002049642056</v>
      </c>
      <c r="W17" s="122">
        <f t="shared" si="3"/>
        <v>27.398419676563737</v>
      </c>
      <c r="X17" s="122">
        <f t="shared" si="3"/>
        <v>26.302482889501185</v>
      </c>
      <c r="Y17" s="122">
        <f t="shared" si="3"/>
        <v>25.250383573921138</v>
      </c>
      <c r="Z17" s="122">
        <f t="shared" si="3"/>
        <v>24.24036823096429</v>
      </c>
    </row>
    <row r="18" spans="1:26" ht="18.5" x14ac:dyDescent="0.45">
      <c r="A18" s="107" t="s">
        <v>142</v>
      </c>
      <c r="B18" s="120">
        <v>0.7055190579627767</v>
      </c>
      <c r="C18" s="118">
        <f>$C$14*B18</f>
        <v>25411.385429703292</v>
      </c>
      <c r="D18" s="120">
        <v>0.7055190579627767</v>
      </c>
      <c r="E18" s="118">
        <f>$E$14*D18</f>
        <v>30478.423303991953</v>
      </c>
      <c r="F18" s="121">
        <v>0.14410999999999999</v>
      </c>
      <c r="G18" s="285">
        <f t="shared" si="4"/>
        <v>3767.44864825066</v>
      </c>
      <c r="H18" s="122">
        <v>50.013495974809175</v>
      </c>
      <c r="I18" s="214">
        <f>H18*G18*15*0.96</f>
        <v>2713295.200386019</v>
      </c>
      <c r="J18" s="291">
        <v>43.77</v>
      </c>
      <c r="K18" s="122">
        <f t="shared" si="3"/>
        <v>42.019200000000005</v>
      </c>
      <c r="L18" s="122">
        <f t="shared" si="3"/>
        <v>40.338432000000005</v>
      </c>
      <c r="M18" s="122">
        <f t="shared" si="3"/>
        <v>38.724894720000002</v>
      </c>
      <c r="N18" s="122">
        <f t="shared" si="3"/>
        <v>37.175898931200003</v>
      </c>
      <c r="O18" s="122">
        <f t="shared" si="3"/>
        <v>35.688862973951998</v>
      </c>
      <c r="P18" s="122">
        <f t="shared" si="3"/>
        <v>34.261308454993916</v>
      </c>
      <c r="Q18" s="122">
        <f t="shared" si="3"/>
        <v>32.890856116794161</v>
      </c>
      <c r="R18" s="122">
        <f t="shared" si="3"/>
        <v>31.575221872122395</v>
      </c>
      <c r="S18" s="122">
        <f t="shared" si="3"/>
        <v>30.312212997237499</v>
      </c>
      <c r="T18" s="122">
        <f t="shared" si="3"/>
        <v>29.099724477347998</v>
      </c>
      <c r="U18" s="122">
        <f t="shared" si="3"/>
        <v>27.935735498254076</v>
      </c>
      <c r="V18" s="122">
        <f t="shared" si="3"/>
        <v>26.818306078323911</v>
      </c>
      <c r="W18" s="122">
        <f t="shared" si="3"/>
        <v>25.745573835190953</v>
      </c>
      <c r="X18" s="122">
        <f t="shared" si="3"/>
        <v>24.715750881783315</v>
      </c>
      <c r="Y18" s="122">
        <f t="shared" si="3"/>
        <v>23.72712084651198</v>
      </c>
      <c r="Z18" s="122">
        <f t="shared" si="3"/>
        <v>22.778036012651501</v>
      </c>
    </row>
    <row r="19" spans="1:26" ht="18.5" x14ac:dyDescent="0.45">
      <c r="A19" s="107" t="s">
        <v>143</v>
      </c>
      <c r="B19" s="120">
        <v>0</v>
      </c>
      <c r="C19" s="118">
        <f>$C$14*B19</f>
        <v>0</v>
      </c>
      <c r="D19" s="120">
        <v>0</v>
      </c>
      <c r="E19" s="118">
        <f>$E$14*D19</f>
        <v>0</v>
      </c>
      <c r="F19" s="121"/>
      <c r="G19" s="285"/>
      <c r="H19" s="122">
        <v>40.157397457835735</v>
      </c>
      <c r="I19" s="214">
        <f>H19*G19*15.96</f>
        <v>0</v>
      </c>
      <c r="J19" s="291">
        <v>33.03</v>
      </c>
      <c r="K19" s="122">
        <f t="shared" si="3"/>
        <v>31.7088</v>
      </c>
      <c r="L19" s="122">
        <f t="shared" ref="L19" si="5">K19*$B$93</f>
        <v>30.440448</v>
      </c>
      <c r="M19" s="122">
        <f t="shared" ref="M19" si="6">L19*$B$93</f>
        <v>29.222830079999998</v>
      </c>
      <c r="N19" s="122">
        <f t="shared" ref="N19" si="7">M19*$B$93</f>
        <v>28.053916876799995</v>
      </c>
      <c r="O19" s="122">
        <f t="shared" ref="O19" si="8">N19*$B$93</f>
        <v>26.931760201727993</v>
      </c>
      <c r="P19" s="122">
        <f t="shared" ref="P19" si="9">O19*$B$93</f>
        <v>25.854489793658871</v>
      </c>
      <c r="Q19" s="122">
        <f t="shared" ref="Q19" si="10">P19*$B$93</f>
        <v>24.820310201912516</v>
      </c>
      <c r="R19" s="122">
        <f t="shared" ref="R19" si="11">Q19*$B$93</f>
        <v>23.827497793836013</v>
      </c>
      <c r="S19" s="122">
        <f t="shared" ref="S19" si="12">R19*$B$93</f>
        <v>22.874397882082572</v>
      </c>
      <c r="T19" s="122">
        <f t="shared" ref="T19" si="13">S19*$B$93</f>
        <v>21.959421966799269</v>
      </c>
      <c r="U19" s="122">
        <f t="shared" ref="U19" si="14">T19*$B$93</f>
        <v>21.081045088127297</v>
      </c>
      <c r="V19" s="122">
        <f t="shared" ref="V19" si="15">U19*$B$93</f>
        <v>20.237803284602204</v>
      </c>
      <c r="W19" s="122">
        <f t="shared" ref="W19" si="16">V19*$B$93</f>
        <v>19.428291153218115</v>
      </c>
      <c r="X19" s="122">
        <f t="shared" ref="X19" si="17">W19*$B$93</f>
        <v>18.651159507089389</v>
      </c>
      <c r="Y19" s="122">
        <f t="shared" ref="Y19" si="18">X19*$B$93</f>
        <v>17.905113126805812</v>
      </c>
      <c r="Z19" s="122">
        <f t="shared" ref="Z19" si="19">Y19*$B$93</f>
        <v>17.18890860173358</v>
      </c>
    </row>
    <row r="20" spans="1:26" ht="18.5" x14ac:dyDescent="0.45">
      <c r="A20" s="116" t="s">
        <v>144</v>
      </c>
      <c r="B20" s="117"/>
      <c r="C20" s="118">
        <f>C13*0.7</f>
        <v>84042</v>
      </c>
      <c r="D20" s="117"/>
      <c r="E20" s="118">
        <f>E13*0.7</f>
        <v>100800</v>
      </c>
      <c r="F20" s="118"/>
      <c r="G20" s="282">
        <v>89190</v>
      </c>
      <c r="H20" s="123"/>
      <c r="I20" s="212"/>
      <c r="J20" s="292"/>
      <c r="K20" s="123"/>
      <c r="L20" s="123"/>
      <c r="M20" s="123"/>
      <c r="N20" s="123"/>
      <c r="O20" s="123"/>
      <c r="P20" s="123"/>
      <c r="Q20" s="123"/>
      <c r="R20" s="123"/>
      <c r="S20" s="123"/>
      <c r="T20" s="123"/>
      <c r="U20" s="123"/>
      <c r="V20" s="123"/>
      <c r="W20" s="123"/>
      <c r="X20" s="123"/>
      <c r="Y20" s="123"/>
      <c r="Z20" s="123"/>
    </row>
    <row r="21" spans="1:26" ht="18.5" x14ac:dyDescent="0.45">
      <c r="A21" s="107" t="s">
        <v>145</v>
      </c>
      <c r="B21" s="120">
        <v>3.7818107834294019E-2</v>
      </c>
      <c r="C21" s="118">
        <f>$C$20*B21</f>
        <v>3178.3094186097378</v>
      </c>
      <c r="D21" s="120">
        <v>3.7818107834294019E-2</v>
      </c>
      <c r="E21" s="118">
        <f>$E$20*D21</f>
        <v>3812.0652696968373</v>
      </c>
      <c r="F21" s="121">
        <v>0.14305999999999999</v>
      </c>
      <c r="G21" s="285">
        <f>F21*D21*$G$20*8760/1000</f>
        <v>4227.0587764800357</v>
      </c>
      <c r="H21" s="122">
        <v>69.473498635179098</v>
      </c>
      <c r="I21" s="214">
        <f>H21*G21*15*0.96</f>
        <v>4228827.294795949</v>
      </c>
      <c r="J21" s="291">
        <v>66.02</v>
      </c>
      <c r="K21" s="122">
        <f t="shared" ref="K21:Z25" si="20">J21*$B$93</f>
        <v>63.379199999999997</v>
      </c>
      <c r="L21" s="122">
        <f t="shared" si="20"/>
        <v>60.844031999999999</v>
      </c>
      <c r="M21" s="122">
        <f t="shared" si="20"/>
        <v>58.41027072</v>
      </c>
      <c r="N21" s="122">
        <f t="shared" si="20"/>
        <v>56.073859891199994</v>
      </c>
      <c r="O21" s="122">
        <f t="shared" si="20"/>
        <v>53.830905495551995</v>
      </c>
      <c r="P21" s="122">
        <f t="shared" si="20"/>
        <v>51.677669275729912</v>
      </c>
      <c r="Q21" s="122">
        <f t="shared" si="20"/>
        <v>49.610562504700717</v>
      </c>
      <c r="R21" s="122">
        <f t="shared" si="20"/>
        <v>47.626140004512685</v>
      </c>
      <c r="S21" s="122">
        <f t="shared" si="20"/>
        <v>45.721094404332177</v>
      </c>
      <c r="T21" s="122">
        <f t="shared" si="20"/>
        <v>43.892250628158891</v>
      </c>
      <c r="U21" s="122">
        <f t="shared" si="20"/>
        <v>42.136560603032535</v>
      </c>
      <c r="V21" s="122">
        <f t="shared" si="20"/>
        <v>40.451098178911231</v>
      </c>
      <c r="W21" s="122">
        <f t="shared" si="20"/>
        <v>38.833054251754781</v>
      </c>
      <c r="X21" s="122">
        <f t="shared" si="20"/>
        <v>37.279732081684585</v>
      </c>
      <c r="Y21" s="122">
        <f t="shared" si="20"/>
        <v>35.788542798417204</v>
      </c>
      <c r="Z21" s="122">
        <f t="shared" si="20"/>
        <v>34.357001086480516</v>
      </c>
    </row>
    <row r="22" spans="1:26" ht="18.5" x14ac:dyDescent="0.45">
      <c r="A22" s="107" t="s">
        <v>140</v>
      </c>
      <c r="B22" s="120">
        <v>2.9448996157951057E-2</v>
      </c>
      <c r="C22" s="118">
        <f>$C$20*B22</f>
        <v>2474.9525351065226</v>
      </c>
      <c r="D22" s="120">
        <v>2.9448996157951057E-2</v>
      </c>
      <c r="E22" s="118">
        <f>$E$20*D22</f>
        <v>2968.4588127214665</v>
      </c>
      <c r="F22" s="121">
        <v>0.14176</v>
      </c>
      <c r="G22" s="285">
        <f t="shared" ref="G22:G24" si="21">F22*D22*$G$20*8760/1000</f>
        <v>3261.7034276125064</v>
      </c>
      <c r="H22" s="122">
        <v>65.962856644973385</v>
      </c>
      <c r="I22" s="214">
        <f>H22*G22*15*0.96</f>
        <v>3098178.3688419177</v>
      </c>
      <c r="J22" s="291">
        <v>59.4</v>
      </c>
      <c r="K22" s="122">
        <f t="shared" si="20"/>
        <v>57.023999999999994</v>
      </c>
      <c r="L22" s="122">
        <f t="shared" si="20"/>
        <v>54.743039999999993</v>
      </c>
      <c r="M22" s="122">
        <f t="shared" si="20"/>
        <v>52.553318399999995</v>
      </c>
      <c r="N22" s="122">
        <f t="shared" si="20"/>
        <v>50.451185663999993</v>
      </c>
      <c r="O22" s="122">
        <f t="shared" si="20"/>
        <v>48.433138237439991</v>
      </c>
      <c r="P22" s="122">
        <f t="shared" si="20"/>
        <v>46.495812707942392</v>
      </c>
      <c r="Q22" s="122">
        <f t="shared" si="20"/>
        <v>44.635980199624697</v>
      </c>
      <c r="R22" s="122">
        <f t="shared" si="20"/>
        <v>42.850540991639704</v>
      </c>
      <c r="S22" s="122">
        <f t="shared" si="20"/>
        <v>41.136519351974115</v>
      </c>
      <c r="T22" s="122">
        <f t="shared" si="20"/>
        <v>39.491058577895153</v>
      </c>
      <c r="U22" s="122">
        <f t="shared" si="20"/>
        <v>37.911416234779345</v>
      </c>
      <c r="V22" s="122">
        <f t="shared" si="20"/>
        <v>36.394959585388172</v>
      </c>
      <c r="W22" s="122">
        <f t="shared" si="20"/>
        <v>34.939161201972645</v>
      </c>
      <c r="X22" s="122">
        <f t="shared" si="20"/>
        <v>33.54159475389374</v>
      </c>
      <c r="Y22" s="122">
        <f t="shared" si="20"/>
        <v>32.199930963737991</v>
      </c>
      <c r="Z22" s="122">
        <f t="shared" si="20"/>
        <v>30.911933725188469</v>
      </c>
    </row>
    <row r="23" spans="1:26" ht="18.5" x14ac:dyDescent="0.45">
      <c r="A23" s="107" t="s">
        <v>141</v>
      </c>
      <c r="B23" s="120">
        <v>0.1091491177452943</v>
      </c>
      <c r="C23" s="118">
        <f>$C$20*B23</f>
        <v>9173.1101535500238</v>
      </c>
      <c r="D23" s="120">
        <v>0.1091491177452943</v>
      </c>
      <c r="E23" s="118">
        <f>$E$20*D23</f>
        <v>11002.231068725665</v>
      </c>
      <c r="F23" s="121">
        <v>0.14119000000000001</v>
      </c>
      <c r="G23" s="285">
        <f t="shared" si="21"/>
        <v>12040.49766935343</v>
      </c>
      <c r="H23" s="122">
        <v>58.357776139219837</v>
      </c>
      <c r="I23" s="214">
        <f>H23*G23*15*0.96</f>
        <v>10118256.013338128</v>
      </c>
      <c r="J23" s="291">
        <v>50.93</v>
      </c>
      <c r="K23" s="122">
        <f t="shared" si="20"/>
        <v>48.892800000000001</v>
      </c>
      <c r="L23" s="122">
        <f t="shared" si="20"/>
        <v>46.937088000000003</v>
      </c>
      <c r="M23" s="122">
        <f t="shared" si="20"/>
        <v>45.059604480000004</v>
      </c>
      <c r="N23" s="122">
        <f t="shared" si="20"/>
        <v>43.2572203008</v>
      </c>
      <c r="O23" s="122">
        <f t="shared" si="20"/>
        <v>41.526931488768</v>
      </c>
      <c r="P23" s="122">
        <f t="shared" si="20"/>
        <v>39.865854229217277</v>
      </c>
      <c r="Q23" s="122">
        <f t="shared" si="20"/>
        <v>38.271220060048584</v>
      </c>
      <c r="R23" s="122">
        <f t="shared" si="20"/>
        <v>36.740371257646636</v>
      </c>
      <c r="S23" s="122">
        <f t="shared" si="20"/>
        <v>35.27075640734077</v>
      </c>
      <c r="T23" s="122">
        <f t="shared" si="20"/>
        <v>33.859926151047141</v>
      </c>
      <c r="U23" s="122">
        <f t="shared" si="20"/>
        <v>32.505529105005252</v>
      </c>
      <c r="V23" s="122">
        <f t="shared" si="20"/>
        <v>31.205307940805042</v>
      </c>
      <c r="W23" s="122">
        <f t="shared" si="20"/>
        <v>29.95709562317284</v>
      </c>
      <c r="X23" s="122">
        <f t="shared" si="20"/>
        <v>28.758811798245926</v>
      </c>
      <c r="Y23" s="122">
        <f t="shared" si="20"/>
        <v>27.608459326316087</v>
      </c>
      <c r="Z23" s="122">
        <f t="shared" si="20"/>
        <v>26.504120953263442</v>
      </c>
    </row>
    <row r="24" spans="1:26" ht="18.5" x14ac:dyDescent="0.45">
      <c r="A24" s="107" t="s">
        <v>142</v>
      </c>
      <c r="B24" s="120">
        <v>0.82358343106844789</v>
      </c>
      <c r="C24" s="118">
        <f>$C$20*B24</f>
        <v>69215.598713854502</v>
      </c>
      <c r="D24" s="120">
        <v>0.82358343106844789</v>
      </c>
      <c r="E24" s="118">
        <f>$E$20*D24</f>
        <v>83017.209851699547</v>
      </c>
      <c r="F24" s="121">
        <v>0.1497</v>
      </c>
      <c r="G24" s="285">
        <f t="shared" si="21"/>
        <v>96327.362961592982</v>
      </c>
      <c r="H24" s="122">
        <v>52.055130885781359</v>
      </c>
      <c r="I24" s="214">
        <f>H24*G24*15*0.96</f>
        <v>72206402.210609615</v>
      </c>
      <c r="J24" s="291">
        <v>46.39</v>
      </c>
      <c r="K24" s="122">
        <f t="shared" si="20"/>
        <v>44.534399999999998</v>
      </c>
      <c r="L24" s="122">
        <f t="shared" si="20"/>
        <v>42.753023999999996</v>
      </c>
      <c r="M24" s="122">
        <f t="shared" si="20"/>
        <v>41.042903039999992</v>
      </c>
      <c r="N24" s="122">
        <f t="shared" si="20"/>
        <v>39.401186918399993</v>
      </c>
      <c r="O24" s="122">
        <f t="shared" si="20"/>
        <v>37.825139441663993</v>
      </c>
      <c r="P24" s="122">
        <f t="shared" si="20"/>
        <v>36.312133863997431</v>
      </c>
      <c r="Q24" s="122">
        <f t="shared" si="20"/>
        <v>34.859648509437534</v>
      </c>
      <c r="R24" s="122">
        <f t="shared" si="20"/>
        <v>33.46526256906003</v>
      </c>
      <c r="S24" s="122">
        <f t="shared" si="20"/>
        <v>32.12665206629763</v>
      </c>
      <c r="T24" s="122">
        <f t="shared" si="20"/>
        <v>30.841585983645725</v>
      </c>
      <c r="U24" s="122">
        <f t="shared" si="20"/>
        <v>29.607922544299896</v>
      </c>
      <c r="V24" s="122">
        <f t="shared" si="20"/>
        <v>28.4236056425279</v>
      </c>
      <c r="W24" s="122">
        <f t="shared" si="20"/>
        <v>27.286661416826782</v>
      </c>
      <c r="X24" s="122">
        <f t="shared" si="20"/>
        <v>26.19519496015371</v>
      </c>
      <c r="Y24" s="122">
        <f t="shared" si="20"/>
        <v>25.14738716174756</v>
      </c>
      <c r="Z24" s="122">
        <f t="shared" si="20"/>
        <v>24.141491675277656</v>
      </c>
    </row>
    <row r="25" spans="1:26" ht="18.5" x14ac:dyDescent="0.45">
      <c r="A25" s="107" t="s">
        <v>143</v>
      </c>
      <c r="B25" s="120">
        <v>0</v>
      </c>
      <c r="C25" s="118">
        <f>$C$20*B25</f>
        <v>0</v>
      </c>
      <c r="D25" s="120">
        <v>0</v>
      </c>
      <c r="E25" s="118">
        <f>$E$20*D25</f>
        <v>0</v>
      </c>
      <c r="F25" s="121"/>
      <c r="G25" s="285"/>
      <c r="H25" s="122">
        <v>39.558961261811675</v>
      </c>
      <c r="I25" s="214"/>
      <c r="J25" s="291">
        <v>34.22</v>
      </c>
      <c r="K25" s="122">
        <f t="shared" si="20"/>
        <v>32.851199999999999</v>
      </c>
      <c r="L25" s="122">
        <f t="shared" si="20"/>
        <v>31.537151999999999</v>
      </c>
      <c r="M25" s="122">
        <f t="shared" si="20"/>
        <v>30.275665919999998</v>
      </c>
      <c r="N25" s="122">
        <f t="shared" si="20"/>
        <v>29.064639283199998</v>
      </c>
      <c r="O25" s="122">
        <f t="shared" si="20"/>
        <v>27.902053711871996</v>
      </c>
      <c r="P25" s="122">
        <f t="shared" si="20"/>
        <v>26.785971563397116</v>
      </c>
      <c r="Q25" s="122">
        <f t="shared" si="20"/>
        <v>25.714532700861231</v>
      </c>
      <c r="R25" s="122">
        <f t="shared" si="20"/>
        <v>24.68595139282678</v>
      </c>
      <c r="S25" s="122">
        <f t="shared" si="20"/>
        <v>23.69851333711371</v>
      </c>
      <c r="T25" s="122">
        <f t="shared" si="20"/>
        <v>22.750572803629161</v>
      </c>
      <c r="U25" s="122">
        <f t="shared" si="20"/>
        <v>21.840549891483995</v>
      </c>
      <c r="V25" s="122">
        <f t="shared" si="20"/>
        <v>20.966927895824636</v>
      </c>
      <c r="W25" s="122">
        <f t="shared" si="20"/>
        <v>20.128250779991649</v>
      </c>
      <c r="X25" s="122">
        <f t="shared" si="20"/>
        <v>19.323120748791982</v>
      </c>
      <c r="Y25" s="122">
        <f t="shared" si="20"/>
        <v>18.550195918840302</v>
      </c>
      <c r="Z25" s="122">
        <f t="shared" si="20"/>
        <v>17.808188082086691</v>
      </c>
    </row>
    <row r="26" spans="1:26" ht="18.5" x14ac:dyDescent="0.45">
      <c r="A26" s="111" t="s">
        <v>146</v>
      </c>
      <c r="B26" s="113">
        <v>0.27</v>
      </c>
      <c r="C26" s="114">
        <f>B4*B26</f>
        <v>180090</v>
      </c>
      <c r="D26" s="113">
        <v>0.27</v>
      </c>
      <c r="E26" s="114">
        <f>D4*D26</f>
        <v>216000</v>
      </c>
      <c r="F26" s="114"/>
      <c r="G26" s="283"/>
      <c r="H26" s="115"/>
      <c r="I26" s="213">
        <f>SUM(I27:I42)</f>
        <v>174578343.41276151</v>
      </c>
      <c r="J26" s="289"/>
      <c r="K26" s="115"/>
      <c r="L26" s="115"/>
      <c r="M26" s="115"/>
      <c r="N26" s="115"/>
      <c r="O26" s="115"/>
      <c r="P26" s="115"/>
      <c r="Q26" s="123"/>
      <c r="R26" s="123"/>
      <c r="S26" s="123"/>
      <c r="T26" s="123"/>
      <c r="U26" s="123"/>
      <c r="V26" s="123"/>
      <c r="W26" s="123"/>
      <c r="X26" s="123"/>
      <c r="Y26" s="123"/>
      <c r="Z26" s="123"/>
    </row>
    <row r="27" spans="1:26" ht="18.5" x14ac:dyDescent="0.45">
      <c r="A27" s="116" t="s">
        <v>147</v>
      </c>
      <c r="B27" s="120">
        <v>0.3</v>
      </c>
      <c r="C27" s="118">
        <f>C26*0.3</f>
        <v>54027</v>
      </c>
      <c r="D27" s="120">
        <v>0.3</v>
      </c>
      <c r="E27" s="118">
        <f>E26*0.3</f>
        <v>64800</v>
      </c>
      <c r="F27" s="121">
        <v>0.16907</v>
      </c>
      <c r="G27" s="285"/>
      <c r="H27" s="123"/>
      <c r="I27" s="214"/>
      <c r="J27" s="292"/>
      <c r="K27" s="123"/>
      <c r="L27" s="123"/>
      <c r="M27" s="123"/>
      <c r="N27" s="123"/>
      <c r="O27" s="123"/>
      <c r="P27" s="123"/>
      <c r="Q27" s="123"/>
      <c r="R27" s="123"/>
      <c r="S27" s="123"/>
      <c r="T27" s="123"/>
      <c r="U27" s="123"/>
      <c r="V27" s="123"/>
      <c r="W27" s="123"/>
      <c r="X27" s="123"/>
      <c r="Y27" s="123"/>
      <c r="Z27" s="123"/>
    </row>
    <row r="28" spans="1:26" ht="18.5" x14ac:dyDescent="0.45">
      <c r="A28" s="107" t="s">
        <v>133</v>
      </c>
      <c r="B28" s="120">
        <v>0</v>
      </c>
      <c r="C28" s="118">
        <v>0</v>
      </c>
      <c r="D28" s="120"/>
      <c r="E28" s="118">
        <v>0</v>
      </c>
      <c r="F28" s="121">
        <v>0.16907</v>
      </c>
      <c r="G28" s="285">
        <f t="shared" ref="G28:G34" si="22">F28*E28*8760/1000</f>
        <v>0</v>
      </c>
      <c r="H28" s="122">
        <v>0</v>
      </c>
      <c r="I28" s="214">
        <f t="shared" ref="I28:I34" si="23">H28*G28*20*0.95</f>
        <v>0</v>
      </c>
      <c r="J28" s="291">
        <v>0</v>
      </c>
      <c r="K28" s="122">
        <f t="shared" ref="K28:L34" si="24">J28*$B$93</f>
        <v>0</v>
      </c>
      <c r="L28" s="122">
        <f>K28*$B$93</f>
        <v>0</v>
      </c>
      <c r="M28" s="122">
        <f t="shared" ref="M28:N34" si="25">L28*$B$93</f>
        <v>0</v>
      </c>
      <c r="N28" s="122">
        <f t="shared" ref="N28:Z28" si="26">M28*$B$93</f>
        <v>0</v>
      </c>
      <c r="O28" s="122">
        <f t="shared" si="26"/>
        <v>0</v>
      </c>
      <c r="P28" s="122">
        <f t="shared" si="26"/>
        <v>0</v>
      </c>
      <c r="Q28" s="122">
        <f t="shared" si="26"/>
        <v>0</v>
      </c>
      <c r="R28" s="122">
        <f t="shared" si="26"/>
        <v>0</v>
      </c>
      <c r="S28" s="122">
        <f t="shared" si="26"/>
        <v>0</v>
      </c>
      <c r="T28" s="122">
        <f t="shared" si="26"/>
        <v>0</v>
      </c>
      <c r="U28" s="122">
        <f t="shared" si="26"/>
        <v>0</v>
      </c>
      <c r="V28" s="122">
        <f t="shared" si="26"/>
        <v>0</v>
      </c>
      <c r="W28" s="122">
        <f t="shared" si="26"/>
        <v>0</v>
      </c>
      <c r="X28" s="122">
        <f t="shared" si="26"/>
        <v>0</v>
      </c>
      <c r="Y28" s="122">
        <f t="shared" si="26"/>
        <v>0</v>
      </c>
      <c r="Z28" s="122">
        <f t="shared" si="26"/>
        <v>0</v>
      </c>
    </row>
    <row r="29" spans="1:26" ht="18.5" x14ac:dyDescent="0.45">
      <c r="A29" s="107" t="s">
        <v>134</v>
      </c>
      <c r="B29" s="120">
        <v>0</v>
      </c>
      <c r="C29" s="118">
        <v>0</v>
      </c>
      <c r="D29" s="120"/>
      <c r="E29" s="118">
        <v>0</v>
      </c>
      <c r="F29" s="121">
        <v>0.16907</v>
      </c>
      <c r="G29" s="285">
        <f t="shared" si="22"/>
        <v>0</v>
      </c>
      <c r="H29" s="122">
        <v>55.077673821860515</v>
      </c>
      <c r="I29" s="214">
        <f t="shared" si="23"/>
        <v>0</v>
      </c>
      <c r="J29" s="291">
        <v>57.49</v>
      </c>
      <c r="K29" s="122">
        <f t="shared" si="24"/>
        <v>55.190399999999997</v>
      </c>
      <c r="L29" s="122">
        <f t="shared" si="24"/>
        <v>52.982783999999995</v>
      </c>
      <c r="M29" s="122">
        <f t="shared" si="25"/>
        <v>50.863472639999991</v>
      </c>
      <c r="N29" s="122">
        <f t="shared" si="25"/>
        <v>48.828933734399989</v>
      </c>
      <c r="O29" s="122">
        <f t="shared" ref="O29:P34" si="27">N29*$B$93</f>
        <v>46.87577638502399</v>
      </c>
      <c r="P29" s="122">
        <f t="shared" si="27"/>
        <v>45.00074532962303</v>
      </c>
      <c r="Q29" s="122">
        <f t="shared" ref="Q29:Z34" si="28">P29*$B$93</f>
        <v>43.200715516438109</v>
      </c>
      <c r="R29" s="122">
        <f t="shared" si="28"/>
        <v>41.472686895780583</v>
      </c>
      <c r="S29" s="122">
        <f t="shared" si="28"/>
        <v>39.813779419949356</v>
      </c>
      <c r="T29" s="122">
        <f t="shared" si="28"/>
        <v>38.22122824315138</v>
      </c>
      <c r="U29" s="122">
        <f t="shared" si="28"/>
        <v>36.692379113425325</v>
      </c>
      <c r="V29" s="122">
        <f t="shared" si="28"/>
        <v>35.224683948888313</v>
      </c>
      <c r="W29" s="122">
        <f t="shared" si="28"/>
        <v>33.815696590932781</v>
      </c>
      <c r="X29" s="122">
        <f t="shared" si="28"/>
        <v>32.463068727295472</v>
      </c>
      <c r="Y29" s="122">
        <f t="shared" si="28"/>
        <v>31.164545978203652</v>
      </c>
      <c r="Z29" s="122">
        <f t="shared" si="28"/>
        <v>29.917964139075504</v>
      </c>
    </row>
    <row r="30" spans="1:26" ht="18.5" x14ac:dyDescent="0.45">
      <c r="A30" s="107" t="s">
        <v>145</v>
      </c>
      <c r="B30" s="120">
        <v>0</v>
      </c>
      <c r="C30" s="118">
        <v>0</v>
      </c>
      <c r="D30" s="120"/>
      <c r="E30" s="118">
        <v>0</v>
      </c>
      <c r="F30" s="121">
        <v>0.16907</v>
      </c>
      <c r="G30" s="285">
        <f t="shared" si="22"/>
        <v>0</v>
      </c>
      <c r="H30" s="122">
        <v>58.937284527617258</v>
      </c>
      <c r="I30" s="214">
        <f t="shared" si="23"/>
        <v>0</v>
      </c>
      <c r="J30" s="291">
        <v>58.84</v>
      </c>
      <c r="K30" s="122">
        <f t="shared" si="24"/>
        <v>56.486400000000003</v>
      </c>
      <c r="L30" s="122">
        <f t="shared" si="24"/>
        <v>54.226944000000003</v>
      </c>
      <c r="M30" s="122">
        <f t="shared" si="25"/>
        <v>52.057866240000003</v>
      </c>
      <c r="N30" s="122">
        <f t="shared" si="25"/>
        <v>49.975551590400002</v>
      </c>
      <c r="O30" s="122">
        <f t="shared" si="27"/>
        <v>47.976529526783999</v>
      </c>
      <c r="P30" s="122">
        <f t="shared" si="27"/>
        <v>46.057468345712635</v>
      </c>
      <c r="Q30" s="122">
        <f t="shared" si="28"/>
        <v>44.215169611884129</v>
      </c>
      <c r="R30" s="122">
        <f t="shared" si="28"/>
        <v>42.446562827408762</v>
      </c>
      <c r="S30" s="122">
        <f t="shared" si="28"/>
        <v>40.748700314312408</v>
      </c>
      <c r="T30" s="122">
        <f t="shared" si="28"/>
        <v>39.11875230173991</v>
      </c>
      <c r="U30" s="122">
        <f t="shared" si="28"/>
        <v>37.554002209670315</v>
      </c>
      <c r="V30" s="122">
        <f t="shared" si="28"/>
        <v>36.051842121283499</v>
      </c>
      <c r="W30" s="122">
        <f t="shared" si="28"/>
        <v>34.609768436432155</v>
      </c>
      <c r="X30" s="122">
        <f t="shared" si="28"/>
        <v>33.225377698974867</v>
      </c>
      <c r="Y30" s="122">
        <f t="shared" si="28"/>
        <v>31.896362591015873</v>
      </c>
      <c r="Z30" s="122">
        <f t="shared" si="28"/>
        <v>30.620508087375235</v>
      </c>
    </row>
    <row r="31" spans="1:26" ht="18.5" x14ac:dyDescent="0.45">
      <c r="A31" s="107" t="s">
        <v>140</v>
      </c>
      <c r="B31" s="120">
        <v>0</v>
      </c>
      <c r="C31" s="118">
        <v>0</v>
      </c>
      <c r="D31" s="120"/>
      <c r="E31" s="118">
        <v>0</v>
      </c>
      <c r="F31" s="121">
        <v>0.16907</v>
      </c>
      <c r="G31" s="285">
        <f t="shared" si="22"/>
        <v>0</v>
      </c>
      <c r="H31" s="122">
        <v>60.791707026181044</v>
      </c>
      <c r="I31" s="214">
        <f t="shared" si="23"/>
        <v>0</v>
      </c>
      <c r="J31" s="291">
        <v>57.5</v>
      </c>
      <c r="K31" s="122">
        <f t="shared" si="24"/>
        <v>55.199999999999996</v>
      </c>
      <c r="L31" s="122">
        <f t="shared" si="24"/>
        <v>52.991999999999997</v>
      </c>
      <c r="M31" s="122">
        <f t="shared" si="25"/>
        <v>50.872319999999995</v>
      </c>
      <c r="N31" s="122">
        <f t="shared" si="25"/>
        <v>48.837427199999993</v>
      </c>
      <c r="O31" s="122">
        <f t="shared" si="27"/>
        <v>46.883930111999994</v>
      </c>
      <c r="P31" s="122">
        <f t="shared" si="27"/>
        <v>45.008572907519991</v>
      </c>
      <c r="Q31" s="122">
        <f t="shared" si="28"/>
        <v>43.208229991219191</v>
      </c>
      <c r="R31" s="122">
        <f t="shared" si="28"/>
        <v>41.479900791570422</v>
      </c>
      <c r="S31" s="122">
        <f t="shared" si="28"/>
        <v>39.820704759907606</v>
      </c>
      <c r="T31" s="122">
        <f t="shared" si="28"/>
        <v>38.227876569511302</v>
      </c>
      <c r="U31" s="122">
        <f t="shared" si="28"/>
        <v>36.698761506730847</v>
      </c>
      <c r="V31" s="122">
        <f t="shared" si="28"/>
        <v>35.230811046461611</v>
      </c>
      <c r="W31" s="122">
        <f t="shared" si="28"/>
        <v>33.821578604603147</v>
      </c>
      <c r="X31" s="122">
        <f t="shared" si="28"/>
        <v>32.46871546041902</v>
      </c>
      <c r="Y31" s="122">
        <f t="shared" si="28"/>
        <v>31.169966842002257</v>
      </c>
      <c r="Z31" s="122">
        <f t="shared" si="28"/>
        <v>29.923168168322164</v>
      </c>
    </row>
    <row r="32" spans="1:26" ht="18.5" x14ac:dyDescent="0.45">
      <c r="A32" s="107" t="s">
        <v>141</v>
      </c>
      <c r="B32" s="120">
        <v>0</v>
      </c>
      <c r="C32" s="118">
        <v>0</v>
      </c>
      <c r="D32" s="120"/>
      <c r="E32" s="118">
        <v>0</v>
      </c>
      <c r="F32" s="121">
        <v>0.16907</v>
      </c>
      <c r="G32" s="285">
        <f t="shared" si="22"/>
        <v>0</v>
      </c>
      <c r="H32" s="122">
        <v>56.957220995836941</v>
      </c>
      <c r="I32" s="214">
        <f t="shared" si="23"/>
        <v>0</v>
      </c>
      <c r="J32" s="291">
        <v>53.46</v>
      </c>
      <c r="K32" s="122">
        <f t="shared" si="24"/>
        <v>51.321599999999997</v>
      </c>
      <c r="L32" s="122">
        <f t="shared" si="24"/>
        <v>49.268735999999997</v>
      </c>
      <c r="M32" s="122">
        <f t="shared" si="25"/>
        <v>47.297986559999998</v>
      </c>
      <c r="N32" s="122">
        <f t="shared" si="25"/>
        <v>45.406067097599994</v>
      </c>
      <c r="O32" s="122">
        <f t="shared" si="27"/>
        <v>43.589824413695993</v>
      </c>
      <c r="P32" s="122">
        <f t="shared" si="27"/>
        <v>41.846231437148155</v>
      </c>
      <c r="Q32" s="122">
        <f t="shared" si="28"/>
        <v>40.172382179662229</v>
      </c>
      <c r="R32" s="122">
        <f t="shared" si="28"/>
        <v>38.565486892475739</v>
      </c>
      <c r="S32" s="122">
        <f t="shared" si="28"/>
        <v>37.022867416776705</v>
      </c>
      <c r="T32" s="122">
        <f t="shared" si="28"/>
        <v>35.541952720105634</v>
      </c>
      <c r="U32" s="122">
        <f t="shared" si="28"/>
        <v>34.120274611301404</v>
      </c>
      <c r="V32" s="122">
        <f t="shared" si="28"/>
        <v>32.755463626849348</v>
      </c>
      <c r="W32" s="122">
        <f t="shared" si="28"/>
        <v>31.445245081775372</v>
      </c>
      <c r="X32" s="122">
        <f t="shared" si="28"/>
        <v>30.187435278504356</v>
      </c>
      <c r="Y32" s="122">
        <f t="shared" si="28"/>
        <v>28.979937867364182</v>
      </c>
      <c r="Z32" s="122">
        <f t="shared" si="28"/>
        <v>27.820740352669613</v>
      </c>
    </row>
    <row r="33" spans="1:26" ht="18.5" x14ac:dyDescent="0.45">
      <c r="A33" s="107" t="s">
        <v>148</v>
      </c>
      <c r="B33" s="120">
        <v>1</v>
      </c>
      <c r="C33" s="118">
        <v>60030</v>
      </c>
      <c r="D33" s="120"/>
      <c r="E33" s="118">
        <v>60030</v>
      </c>
      <c r="F33" s="121">
        <v>0.16907</v>
      </c>
      <c r="G33" s="285">
        <v>0</v>
      </c>
      <c r="H33" s="122">
        <v>49.940173813436203</v>
      </c>
      <c r="I33" s="214">
        <f t="shared" si="23"/>
        <v>0</v>
      </c>
      <c r="J33" s="291">
        <v>46.02</v>
      </c>
      <c r="K33" s="122">
        <f t="shared" si="24"/>
        <v>44.179200000000002</v>
      </c>
      <c r="L33" s="122">
        <f t="shared" si="24"/>
        <v>42.412031999999996</v>
      </c>
      <c r="M33" s="122">
        <f t="shared" si="25"/>
        <v>40.715550719999996</v>
      </c>
      <c r="N33" s="122">
        <f t="shared" si="25"/>
        <v>39.086928691199994</v>
      </c>
      <c r="O33" s="122">
        <f t="shared" si="27"/>
        <v>37.523451543551992</v>
      </c>
      <c r="P33" s="122">
        <f t="shared" si="27"/>
        <v>36.022513481809909</v>
      </c>
      <c r="Q33" s="122">
        <f t="shared" si="28"/>
        <v>34.581612942537511</v>
      </c>
      <c r="R33" s="122">
        <f t="shared" si="28"/>
        <v>33.198348424836013</v>
      </c>
      <c r="S33" s="122">
        <f t="shared" si="28"/>
        <v>31.87041448784257</v>
      </c>
      <c r="T33" s="122">
        <f t="shared" si="28"/>
        <v>30.595597908328866</v>
      </c>
      <c r="U33" s="122">
        <f t="shared" si="28"/>
        <v>29.37177399199571</v>
      </c>
      <c r="V33" s="122">
        <f t="shared" si="28"/>
        <v>28.19690303231588</v>
      </c>
      <c r="W33" s="122">
        <f t="shared" si="28"/>
        <v>27.069026911023244</v>
      </c>
      <c r="X33" s="122">
        <f t="shared" si="28"/>
        <v>25.986265834582312</v>
      </c>
      <c r="Y33" s="122">
        <f t="shared" si="28"/>
        <v>24.946815201199019</v>
      </c>
      <c r="Z33" s="122">
        <f t="shared" si="28"/>
        <v>23.948942593151056</v>
      </c>
    </row>
    <row r="34" spans="1:26" ht="18.5" x14ac:dyDescent="0.45">
      <c r="A34" s="107" t="s">
        <v>149</v>
      </c>
      <c r="B34" s="120">
        <v>0</v>
      </c>
      <c r="C34" s="118">
        <v>0</v>
      </c>
      <c r="D34" s="120"/>
      <c r="E34" s="118">
        <v>0</v>
      </c>
      <c r="F34" s="121">
        <v>0.16907</v>
      </c>
      <c r="G34" s="285">
        <f t="shared" si="22"/>
        <v>0</v>
      </c>
      <c r="H34" s="122">
        <v>39.27374417956252</v>
      </c>
      <c r="I34" s="214">
        <f t="shared" si="23"/>
        <v>0</v>
      </c>
      <c r="J34" s="291">
        <v>33.99</v>
      </c>
      <c r="K34" s="122">
        <f t="shared" si="24"/>
        <v>32.630400000000002</v>
      </c>
      <c r="L34" s="122">
        <f t="shared" si="24"/>
        <v>31.325184</v>
      </c>
      <c r="M34" s="122">
        <f t="shared" si="25"/>
        <v>30.072176639999999</v>
      </c>
      <c r="N34" s="122">
        <f t="shared" si="25"/>
        <v>28.869289574399996</v>
      </c>
      <c r="O34" s="122">
        <f t="shared" si="27"/>
        <v>27.714517991423996</v>
      </c>
      <c r="P34" s="122">
        <f t="shared" si="27"/>
        <v>26.605937271767036</v>
      </c>
      <c r="Q34" s="122">
        <f t="shared" si="28"/>
        <v>25.541699780896355</v>
      </c>
      <c r="R34" s="122">
        <f t="shared" si="28"/>
        <v>24.5200317896605</v>
      </c>
      <c r="S34" s="122">
        <f t="shared" si="28"/>
        <v>23.539230518074078</v>
      </c>
      <c r="T34" s="122">
        <f t="shared" si="28"/>
        <v>22.597661297351113</v>
      </c>
      <c r="U34" s="122">
        <f t="shared" si="28"/>
        <v>21.693754845457068</v>
      </c>
      <c r="V34" s="122">
        <f t="shared" si="28"/>
        <v>20.826004651638783</v>
      </c>
      <c r="W34" s="122">
        <f t="shared" si="28"/>
        <v>19.99296446557323</v>
      </c>
      <c r="X34" s="122">
        <f t="shared" si="28"/>
        <v>19.193245886950301</v>
      </c>
      <c r="Y34" s="122">
        <f t="shared" si="28"/>
        <v>18.42551605147229</v>
      </c>
      <c r="Z34" s="122">
        <f t="shared" si="28"/>
        <v>17.688495409413399</v>
      </c>
    </row>
    <row r="35" spans="1:26" ht="18.5" x14ac:dyDescent="0.45">
      <c r="A35" s="116" t="s">
        <v>150</v>
      </c>
      <c r="B35" s="120">
        <v>0.7</v>
      </c>
      <c r="C35" s="118">
        <f>C26*0.7</f>
        <v>126062.99999999999</v>
      </c>
      <c r="D35" s="120">
        <v>0.7</v>
      </c>
      <c r="E35" s="118">
        <f>E26*0.7</f>
        <v>151200</v>
      </c>
      <c r="F35" s="121">
        <v>0.16907</v>
      </c>
      <c r="G35" s="285"/>
      <c r="H35" s="123"/>
      <c r="I35" s="214"/>
      <c r="J35" s="292"/>
      <c r="K35" s="123"/>
      <c r="L35" s="123"/>
      <c r="M35" s="123"/>
      <c r="N35" s="123"/>
      <c r="O35" s="123"/>
      <c r="P35" s="123"/>
      <c r="Q35" s="123"/>
      <c r="R35" s="123"/>
      <c r="S35" s="123"/>
      <c r="T35" s="123"/>
      <c r="U35" s="123"/>
      <c r="V35" s="123"/>
      <c r="W35" s="123"/>
      <c r="X35" s="123"/>
      <c r="Y35" s="123"/>
      <c r="Z35" s="123"/>
    </row>
    <row r="36" spans="1:26" ht="18.5" x14ac:dyDescent="0.45">
      <c r="A36" s="107" t="s">
        <v>133</v>
      </c>
      <c r="B36" s="120">
        <v>0</v>
      </c>
      <c r="C36" s="118">
        <v>0</v>
      </c>
      <c r="D36" s="120"/>
      <c r="E36" s="118">
        <v>0</v>
      </c>
      <c r="F36" s="121">
        <v>0.16907</v>
      </c>
      <c r="G36" s="285">
        <f t="shared" ref="G36:G42" si="29">F36*E36*8760/1000</f>
        <v>0</v>
      </c>
      <c r="H36" s="122"/>
      <c r="I36" s="214">
        <f t="shared" ref="I36:I42" si="30">H36*G36*20*0.95</f>
        <v>0</v>
      </c>
      <c r="J36" s="291">
        <v>0</v>
      </c>
      <c r="K36" s="122">
        <f t="shared" ref="K36:Z42" si="31">J36*$B$93</f>
        <v>0</v>
      </c>
      <c r="L36" s="122">
        <f t="shared" si="31"/>
        <v>0</v>
      </c>
      <c r="M36" s="122">
        <f t="shared" si="31"/>
        <v>0</v>
      </c>
      <c r="N36" s="122">
        <f t="shared" si="31"/>
        <v>0</v>
      </c>
      <c r="O36" s="122">
        <f t="shared" si="31"/>
        <v>0</v>
      </c>
      <c r="P36" s="122">
        <f t="shared" si="31"/>
        <v>0</v>
      </c>
      <c r="Q36" s="122">
        <f t="shared" si="31"/>
        <v>0</v>
      </c>
      <c r="R36" s="122">
        <f t="shared" si="31"/>
        <v>0</v>
      </c>
      <c r="S36" s="122">
        <f t="shared" si="31"/>
        <v>0</v>
      </c>
      <c r="T36" s="122">
        <f t="shared" si="31"/>
        <v>0</v>
      </c>
      <c r="U36" s="122">
        <f t="shared" si="31"/>
        <v>0</v>
      </c>
      <c r="V36" s="122">
        <f t="shared" si="31"/>
        <v>0</v>
      </c>
      <c r="W36" s="122">
        <f t="shared" si="31"/>
        <v>0</v>
      </c>
      <c r="X36" s="122">
        <f t="shared" si="31"/>
        <v>0</v>
      </c>
      <c r="Y36" s="122">
        <f t="shared" si="31"/>
        <v>0</v>
      </c>
      <c r="Z36" s="122">
        <f t="shared" si="31"/>
        <v>0</v>
      </c>
    </row>
    <row r="37" spans="1:26" ht="18.5" x14ac:dyDescent="0.45">
      <c r="A37" s="107" t="s">
        <v>134</v>
      </c>
      <c r="B37" s="120">
        <v>0</v>
      </c>
      <c r="C37" s="118">
        <v>0</v>
      </c>
      <c r="D37" s="120"/>
      <c r="E37" s="118">
        <v>0</v>
      </c>
      <c r="F37" s="121">
        <v>0.16907</v>
      </c>
      <c r="G37" s="285">
        <f t="shared" si="29"/>
        <v>0</v>
      </c>
      <c r="H37" s="122">
        <v>63.483238917691097</v>
      </c>
      <c r="I37" s="214">
        <f t="shared" si="30"/>
        <v>0</v>
      </c>
      <c r="J37" s="291">
        <v>67.790000000000006</v>
      </c>
      <c r="K37" s="122">
        <f t="shared" si="31"/>
        <v>65.078400000000002</v>
      </c>
      <c r="L37" s="122">
        <f t="shared" si="31"/>
        <v>62.475264000000003</v>
      </c>
      <c r="M37" s="122">
        <f t="shared" si="31"/>
        <v>59.976253440000001</v>
      </c>
      <c r="N37" s="122">
        <f t="shared" si="31"/>
        <v>57.577203302400001</v>
      </c>
      <c r="O37" s="122">
        <f t="shared" si="31"/>
        <v>55.274115170304</v>
      </c>
      <c r="P37" s="122">
        <f t="shared" si="31"/>
        <v>53.063150563491838</v>
      </c>
      <c r="Q37" s="122">
        <f t="shared" si="31"/>
        <v>50.940624540952165</v>
      </c>
      <c r="R37" s="122">
        <f t="shared" si="31"/>
        <v>48.902999559314075</v>
      </c>
      <c r="S37" s="122">
        <f t="shared" si="31"/>
        <v>46.946879576941512</v>
      </c>
      <c r="T37" s="122">
        <f t="shared" si="31"/>
        <v>45.06900439386385</v>
      </c>
      <c r="U37" s="122">
        <f t="shared" si="31"/>
        <v>43.266244218109293</v>
      </c>
      <c r="V37" s="122">
        <f t="shared" si="31"/>
        <v>41.535594449384917</v>
      </c>
      <c r="W37" s="122">
        <f t="shared" si="31"/>
        <v>39.874170671409516</v>
      </c>
      <c r="X37" s="122">
        <f t="shared" si="31"/>
        <v>38.27920384455313</v>
      </c>
      <c r="Y37" s="122">
        <f t="shared" si="31"/>
        <v>36.748035690771005</v>
      </c>
      <c r="Z37" s="122">
        <f t="shared" si="31"/>
        <v>35.278114263140161</v>
      </c>
    </row>
    <row r="38" spans="1:26" ht="18.5" x14ac:dyDescent="0.45">
      <c r="A38" s="107" t="s">
        <v>145</v>
      </c>
      <c r="B38" s="120">
        <v>0</v>
      </c>
      <c r="C38" s="118">
        <v>0</v>
      </c>
      <c r="D38" s="120"/>
      <c r="E38" s="118">
        <v>0</v>
      </c>
      <c r="F38" s="121">
        <v>0.16907</v>
      </c>
      <c r="G38" s="285">
        <f t="shared" si="29"/>
        <v>0</v>
      </c>
      <c r="H38" s="122">
        <v>71.924928931643677</v>
      </c>
      <c r="I38" s="214">
        <f t="shared" si="30"/>
        <v>0</v>
      </c>
      <c r="J38" s="291">
        <v>69.03</v>
      </c>
      <c r="K38" s="122">
        <f t="shared" si="31"/>
        <v>66.268799999999999</v>
      </c>
      <c r="L38" s="122">
        <f t="shared" si="31"/>
        <v>63.618047999999995</v>
      </c>
      <c r="M38" s="122">
        <f t="shared" si="31"/>
        <v>61.073326079999994</v>
      </c>
      <c r="N38" s="122">
        <f t="shared" si="31"/>
        <v>58.630393036799994</v>
      </c>
      <c r="O38" s="122">
        <f t="shared" si="31"/>
        <v>56.285177315327992</v>
      </c>
      <c r="P38" s="122">
        <f t="shared" si="31"/>
        <v>54.033770222714871</v>
      </c>
      <c r="Q38" s="122">
        <f t="shared" si="31"/>
        <v>51.872419413806277</v>
      </c>
      <c r="R38" s="122">
        <f t="shared" si="31"/>
        <v>49.797522637254026</v>
      </c>
      <c r="S38" s="122">
        <f t="shared" si="31"/>
        <v>47.805621731763864</v>
      </c>
      <c r="T38" s="122">
        <f t="shared" si="31"/>
        <v>45.893396862493304</v>
      </c>
      <c r="U38" s="122">
        <f t="shared" si="31"/>
        <v>44.057660987993572</v>
      </c>
      <c r="V38" s="122">
        <f t="shared" si="31"/>
        <v>42.295354548473824</v>
      </c>
      <c r="W38" s="122">
        <f t="shared" si="31"/>
        <v>40.603540366534872</v>
      </c>
      <c r="X38" s="122">
        <f t="shared" si="31"/>
        <v>38.979398751873475</v>
      </c>
      <c r="Y38" s="122">
        <f t="shared" si="31"/>
        <v>37.420222801798538</v>
      </c>
      <c r="Z38" s="122">
        <f t="shared" si="31"/>
        <v>35.923413889726596</v>
      </c>
    </row>
    <row r="39" spans="1:26" ht="18.5" x14ac:dyDescent="0.45">
      <c r="A39" s="107" t="s">
        <v>140</v>
      </c>
      <c r="B39" s="120">
        <v>0</v>
      </c>
      <c r="C39" s="118">
        <v>0</v>
      </c>
      <c r="D39" s="120"/>
      <c r="E39" s="118">
        <v>0</v>
      </c>
      <c r="F39" s="121">
        <v>0.16907</v>
      </c>
      <c r="G39" s="285">
        <f t="shared" si="29"/>
        <v>0</v>
      </c>
      <c r="H39" s="122">
        <v>73.219775072570968</v>
      </c>
      <c r="I39" s="214">
        <f t="shared" si="30"/>
        <v>0</v>
      </c>
      <c r="J39" s="291">
        <v>66.67</v>
      </c>
      <c r="K39" s="122">
        <f t="shared" si="31"/>
        <v>64.003199999999993</v>
      </c>
      <c r="L39" s="122">
        <f t="shared" si="31"/>
        <v>61.443071999999994</v>
      </c>
      <c r="M39" s="122">
        <f t="shared" si="31"/>
        <v>58.985349119999995</v>
      </c>
      <c r="N39" s="122">
        <f t="shared" si="31"/>
        <v>56.62593515519999</v>
      </c>
      <c r="O39" s="122">
        <f t="shared" si="31"/>
        <v>54.360897748991988</v>
      </c>
      <c r="P39" s="122">
        <f t="shared" si="31"/>
        <v>52.186461839032305</v>
      </c>
      <c r="Q39" s="122">
        <f t="shared" si="31"/>
        <v>50.099003365471013</v>
      </c>
      <c r="R39" s="122">
        <f t="shared" si="31"/>
        <v>48.09504323085217</v>
      </c>
      <c r="S39" s="122">
        <f t="shared" si="31"/>
        <v>46.171241501618084</v>
      </c>
      <c r="T39" s="122">
        <f t="shared" si="31"/>
        <v>44.324391841553357</v>
      </c>
      <c r="U39" s="122">
        <f t="shared" si="31"/>
        <v>42.551416167891219</v>
      </c>
      <c r="V39" s="122">
        <f t="shared" si="31"/>
        <v>40.849359521175572</v>
      </c>
      <c r="W39" s="122">
        <f t="shared" si="31"/>
        <v>39.21538514032855</v>
      </c>
      <c r="X39" s="122">
        <f t="shared" si="31"/>
        <v>37.646769734715406</v>
      </c>
      <c r="Y39" s="122">
        <f t="shared" si="31"/>
        <v>36.140898945326789</v>
      </c>
      <c r="Z39" s="122">
        <f t="shared" si="31"/>
        <v>34.695262987513715</v>
      </c>
    </row>
    <row r="40" spans="1:26" ht="18.5" x14ac:dyDescent="0.45">
      <c r="A40" s="107" t="s">
        <v>141</v>
      </c>
      <c r="B40" s="120">
        <v>0</v>
      </c>
      <c r="C40" s="118">
        <v>0</v>
      </c>
      <c r="D40" s="120"/>
      <c r="E40" s="118">
        <v>0</v>
      </c>
      <c r="F40" s="121">
        <v>0.16907</v>
      </c>
      <c r="G40" s="285">
        <f t="shared" si="29"/>
        <v>0</v>
      </c>
      <c r="H40" s="122">
        <v>65.197995661828443</v>
      </c>
      <c r="I40" s="214">
        <f t="shared" si="30"/>
        <v>0</v>
      </c>
      <c r="J40" s="291">
        <v>61.73</v>
      </c>
      <c r="K40" s="122">
        <f t="shared" si="31"/>
        <v>59.260799999999996</v>
      </c>
      <c r="L40" s="122">
        <f t="shared" si="31"/>
        <v>56.890367999999995</v>
      </c>
      <c r="M40" s="122">
        <f t="shared" si="31"/>
        <v>54.614753279999995</v>
      </c>
      <c r="N40" s="122">
        <f t="shared" si="31"/>
        <v>52.430163148799991</v>
      </c>
      <c r="O40" s="122">
        <f t="shared" si="31"/>
        <v>50.332956622847988</v>
      </c>
      <c r="P40" s="122">
        <f t="shared" si="31"/>
        <v>48.319638357934068</v>
      </c>
      <c r="Q40" s="122">
        <f t="shared" si="31"/>
        <v>46.386852823616707</v>
      </c>
      <c r="R40" s="122">
        <f t="shared" si="31"/>
        <v>44.531378710672037</v>
      </c>
      <c r="S40" s="122">
        <f t="shared" si="31"/>
        <v>42.75012356224515</v>
      </c>
      <c r="T40" s="122">
        <f t="shared" si="31"/>
        <v>41.04011861975534</v>
      </c>
      <c r="U40" s="122">
        <f t="shared" si="31"/>
        <v>39.398513874965126</v>
      </c>
      <c r="V40" s="122">
        <f t="shared" si="31"/>
        <v>37.822573319966516</v>
      </c>
      <c r="W40" s="122">
        <f t="shared" si="31"/>
        <v>36.309670387167856</v>
      </c>
      <c r="X40" s="122">
        <f t="shared" si="31"/>
        <v>34.857283571681137</v>
      </c>
      <c r="Y40" s="122">
        <f t="shared" si="31"/>
        <v>33.462992228813889</v>
      </c>
      <c r="Z40" s="122">
        <f t="shared" si="31"/>
        <v>32.124472539661333</v>
      </c>
    </row>
    <row r="41" spans="1:26" ht="18.5" x14ac:dyDescent="0.45">
      <c r="A41" s="107" t="s">
        <v>148</v>
      </c>
      <c r="B41" s="120">
        <v>1</v>
      </c>
      <c r="C41" s="118">
        <v>140070</v>
      </c>
      <c r="D41" s="120"/>
      <c r="E41" s="118">
        <v>140070</v>
      </c>
      <c r="F41" s="121">
        <v>0.16907</v>
      </c>
      <c r="G41" s="285">
        <f>F41*110620*8760/1000</f>
        <v>163834.10498400001</v>
      </c>
      <c r="H41" s="122">
        <v>56.08315719566987</v>
      </c>
      <c r="I41" s="214">
        <f t="shared" si="30"/>
        <v>174578343.41276151</v>
      </c>
      <c r="J41" s="291">
        <v>52.22</v>
      </c>
      <c r="K41" s="122">
        <f t="shared" si="31"/>
        <v>50.1312</v>
      </c>
      <c r="L41" s="122">
        <f t="shared" si="31"/>
        <v>48.125951999999998</v>
      </c>
      <c r="M41" s="122">
        <f t="shared" si="31"/>
        <v>46.200913919999998</v>
      </c>
      <c r="N41" s="122">
        <f t="shared" si="31"/>
        <v>44.352877363199994</v>
      </c>
      <c r="O41" s="122">
        <f t="shared" si="31"/>
        <v>42.578762268671994</v>
      </c>
      <c r="P41" s="122">
        <f t="shared" si="31"/>
        <v>40.875611777925116</v>
      </c>
      <c r="Q41" s="122">
        <f t="shared" si="31"/>
        <v>39.240587306808109</v>
      </c>
      <c r="R41" s="122">
        <f t="shared" si="31"/>
        <v>37.670963814535781</v>
      </c>
      <c r="S41" s="122">
        <f t="shared" si="31"/>
        <v>36.164125261954347</v>
      </c>
      <c r="T41" s="122">
        <f t="shared" si="31"/>
        <v>34.717560251476172</v>
      </c>
      <c r="U41" s="122">
        <f t="shared" si="31"/>
        <v>33.328857841417125</v>
      </c>
      <c r="V41" s="122">
        <f t="shared" si="31"/>
        <v>31.99570352776044</v>
      </c>
      <c r="W41" s="122">
        <f t="shared" si="31"/>
        <v>30.715875386650023</v>
      </c>
      <c r="X41" s="122">
        <f t="shared" si="31"/>
        <v>29.487240371184022</v>
      </c>
      <c r="Y41" s="122">
        <f t="shared" si="31"/>
        <v>28.307750756336659</v>
      </c>
      <c r="Z41" s="122">
        <f t="shared" si="31"/>
        <v>27.175440726083192</v>
      </c>
    </row>
    <row r="42" spans="1:26" ht="18.5" x14ac:dyDescent="0.45">
      <c r="A42" s="107" t="s">
        <v>149</v>
      </c>
      <c r="B42" s="117">
        <v>0</v>
      </c>
      <c r="C42" s="118">
        <v>0</v>
      </c>
      <c r="D42" s="120"/>
      <c r="E42" s="118">
        <v>0</v>
      </c>
      <c r="F42" s="121">
        <v>0.16907</v>
      </c>
      <c r="G42" s="285">
        <f t="shared" si="29"/>
        <v>0</v>
      </c>
      <c r="H42" s="122">
        <v>42.387634377523071</v>
      </c>
      <c r="I42" s="214">
        <f t="shared" si="30"/>
        <v>0</v>
      </c>
      <c r="J42" s="291">
        <v>38.159999999999997</v>
      </c>
      <c r="K42" s="122">
        <f t="shared" si="31"/>
        <v>36.633599999999994</v>
      </c>
      <c r="L42" s="122">
        <f t="shared" si="31"/>
        <v>35.168255999999992</v>
      </c>
      <c r="M42" s="122">
        <f t="shared" si="31"/>
        <v>33.761525759999991</v>
      </c>
      <c r="N42" s="122">
        <f t="shared" si="31"/>
        <v>32.411064729599993</v>
      </c>
      <c r="O42" s="122">
        <f t="shared" si="31"/>
        <v>31.114622140415992</v>
      </c>
      <c r="P42" s="122">
        <f t="shared" si="31"/>
        <v>29.870037254799353</v>
      </c>
      <c r="Q42" s="122">
        <f t="shared" si="31"/>
        <v>28.675235764607379</v>
      </c>
      <c r="R42" s="122">
        <f t="shared" si="31"/>
        <v>27.528226334023081</v>
      </c>
      <c r="S42" s="122">
        <f t="shared" si="31"/>
        <v>26.427097280662156</v>
      </c>
      <c r="T42" s="122">
        <f t="shared" si="31"/>
        <v>25.37001338943567</v>
      </c>
      <c r="U42" s="122">
        <f t="shared" si="31"/>
        <v>24.355212853858241</v>
      </c>
      <c r="V42" s="122">
        <f t="shared" si="31"/>
        <v>23.38100433970391</v>
      </c>
      <c r="W42" s="122">
        <f t="shared" si="31"/>
        <v>22.445764166115755</v>
      </c>
      <c r="X42" s="122">
        <f t="shared" si="31"/>
        <v>21.547933599471122</v>
      </c>
      <c r="Y42" s="122">
        <f t="shared" si="31"/>
        <v>20.686016255492277</v>
      </c>
      <c r="Z42" s="122">
        <f t="shared" si="31"/>
        <v>19.858575605272584</v>
      </c>
    </row>
    <row r="43" spans="1:26" ht="18.5" x14ac:dyDescent="0.45">
      <c r="A43" s="111" t="s">
        <v>151</v>
      </c>
      <c r="B43" s="113">
        <v>0.13</v>
      </c>
      <c r="C43" s="114">
        <f>B4*B43</f>
        <v>86710</v>
      </c>
      <c r="D43" s="113">
        <v>0.13</v>
      </c>
      <c r="E43" s="114">
        <f>D4*D43</f>
        <v>104000</v>
      </c>
      <c r="F43" s="114"/>
      <c r="G43" s="283"/>
      <c r="H43" s="115"/>
      <c r="I43" s="213">
        <f>SUM(I45:I74)</f>
        <v>346344448.75887018</v>
      </c>
      <c r="J43" s="131"/>
      <c r="K43" s="115"/>
      <c r="L43" s="115"/>
      <c r="M43" s="115"/>
      <c r="N43" s="115"/>
      <c r="O43" s="115"/>
      <c r="P43" s="115"/>
      <c r="Q43" s="123"/>
      <c r="R43" s="123"/>
      <c r="S43" s="123"/>
      <c r="T43" s="123"/>
      <c r="U43" s="123"/>
      <c r="V43" s="123"/>
      <c r="W43" s="123"/>
      <c r="X43" s="123"/>
      <c r="Y43" s="123"/>
      <c r="Z43" s="123"/>
    </row>
    <row r="44" spans="1:26" ht="18.5" x14ac:dyDescent="0.45">
      <c r="A44" s="116" t="s">
        <v>152</v>
      </c>
      <c r="B44" s="117"/>
      <c r="C44" s="118">
        <f>C43*0.3</f>
        <v>26013</v>
      </c>
      <c r="D44" s="117"/>
      <c r="E44" s="118">
        <f>E43*0.3</f>
        <v>31200</v>
      </c>
      <c r="F44" s="124"/>
      <c r="G44" s="286">
        <v>50250</v>
      </c>
      <c r="H44" s="123"/>
      <c r="I44" s="212"/>
      <c r="J44" s="132"/>
      <c r="K44" s="123"/>
      <c r="L44" s="123"/>
      <c r="M44" s="123"/>
      <c r="N44" s="123"/>
      <c r="O44" s="123"/>
      <c r="P44" s="123"/>
      <c r="Q44" s="122">
        <f t="shared" ref="Q44:Z50" si="32">P44*$B$93</f>
        <v>0</v>
      </c>
      <c r="R44" s="122">
        <f t="shared" si="32"/>
        <v>0</v>
      </c>
      <c r="S44" s="122">
        <f t="shared" si="32"/>
        <v>0</v>
      </c>
      <c r="T44" s="122">
        <f t="shared" si="32"/>
        <v>0</v>
      </c>
      <c r="U44" s="122">
        <f t="shared" si="32"/>
        <v>0</v>
      </c>
      <c r="V44" s="122">
        <f t="shared" si="32"/>
        <v>0</v>
      </c>
      <c r="W44" s="122">
        <f t="shared" si="32"/>
        <v>0</v>
      </c>
      <c r="X44" s="122">
        <f t="shared" si="32"/>
        <v>0</v>
      </c>
      <c r="Y44" s="122">
        <f t="shared" si="32"/>
        <v>0</v>
      </c>
      <c r="Z44" s="122">
        <f t="shared" si="32"/>
        <v>0</v>
      </c>
    </row>
    <row r="45" spans="1:26" ht="18.5" x14ac:dyDescent="0.45">
      <c r="A45" s="107" t="s">
        <v>153</v>
      </c>
      <c r="B45" s="120">
        <v>4.6296296296296294E-2</v>
      </c>
      <c r="C45" s="118">
        <f t="shared" ref="C45:C50" si="33">$C$44*B45</f>
        <v>1204.3055555555554</v>
      </c>
      <c r="D45" s="120">
        <v>4.6296296296296294E-2</v>
      </c>
      <c r="E45" s="118">
        <f t="shared" ref="E45:E50" si="34">$E$44*D45</f>
        <v>1444.4444444444443</v>
      </c>
      <c r="F45" s="121">
        <v>0.16907</v>
      </c>
      <c r="G45" s="285">
        <f>F45*D45*$G$44*8760/1000</f>
        <v>3445.5057083333331</v>
      </c>
      <c r="H45" s="122">
        <v>74.95</v>
      </c>
      <c r="I45" s="214">
        <f t="shared" ref="I45:I50" si="35">H45*G45*20*0.95</f>
        <v>4906572.4039520826</v>
      </c>
      <c r="J45" s="291">
        <v>77.17</v>
      </c>
      <c r="K45" s="122">
        <f t="shared" ref="K45:P50" si="36">J45*$B$93</f>
        <v>74.083200000000005</v>
      </c>
      <c r="L45" s="122">
        <f t="shared" si="36"/>
        <v>71.119872000000001</v>
      </c>
      <c r="M45" s="122">
        <f t="shared" si="36"/>
        <v>68.275077119999992</v>
      </c>
      <c r="N45" s="122">
        <f t="shared" si="36"/>
        <v>65.544074035199984</v>
      </c>
      <c r="O45" s="122">
        <f t="shared" si="36"/>
        <v>62.922311073791981</v>
      </c>
      <c r="P45" s="122">
        <f t="shared" si="36"/>
        <v>60.405418630840302</v>
      </c>
      <c r="Q45" s="122">
        <f t="shared" si="32"/>
        <v>57.98920188560669</v>
      </c>
      <c r="R45" s="122">
        <f t="shared" si="32"/>
        <v>55.669633810182418</v>
      </c>
      <c r="S45" s="122">
        <f t="shared" si="32"/>
        <v>53.442848457775121</v>
      </c>
      <c r="T45" s="122">
        <f t="shared" si="32"/>
        <v>51.305134519464112</v>
      </c>
      <c r="U45" s="122">
        <f t="shared" si="32"/>
        <v>49.252929138685545</v>
      </c>
      <c r="V45" s="122">
        <f t="shared" si="32"/>
        <v>47.282811973138124</v>
      </c>
      <c r="W45" s="122">
        <f t="shared" si="32"/>
        <v>45.391499494212596</v>
      </c>
      <c r="X45" s="122">
        <f t="shared" si="32"/>
        <v>43.575839514444091</v>
      </c>
      <c r="Y45" s="122">
        <f t="shared" si="32"/>
        <v>41.832805933866325</v>
      </c>
      <c r="Z45" s="122">
        <f t="shared" si="32"/>
        <v>40.159493696511667</v>
      </c>
    </row>
    <row r="46" spans="1:26" ht="18.5" x14ac:dyDescent="0.45">
      <c r="A46" s="107" t="s">
        <v>145</v>
      </c>
      <c r="B46" s="120">
        <v>5.5555555555555552E-2</v>
      </c>
      <c r="C46" s="118">
        <f t="shared" si="33"/>
        <v>1445.1666666666665</v>
      </c>
      <c r="D46" s="120">
        <v>5.5555555555555552E-2</v>
      </c>
      <c r="E46" s="118">
        <f t="shared" si="34"/>
        <v>1733.3333333333333</v>
      </c>
      <c r="F46" s="121">
        <v>0.16907</v>
      </c>
      <c r="G46" s="285">
        <f t="shared" ref="G46:G49" si="37">F46*D46*$G$44*8760/1000</f>
        <v>4134.6068499999992</v>
      </c>
      <c r="H46" s="122">
        <v>65.569999999999993</v>
      </c>
      <c r="I46" s="214">
        <f t="shared" si="35"/>
        <v>5151017.2519354988</v>
      </c>
      <c r="J46" s="291">
        <v>68.569999999999993</v>
      </c>
      <c r="K46" s="122">
        <f t="shared" si="36"/>
        <v>65.827199999999991</v>
      </c>
      <c r="L46" s="122">
        <f t="shared" si="36"/>
        <v>63.19411199999999</v>
      </c>
      <c r="M46" s="122">
        <f t="shared" si="36"/>
        <v>60.666347519999988</v>
      </c>
      <c r="N46" s="122">
        <f t="shared" si="36"/>
        <v>58.239693619199983</v>
      </c>
      <c r="O46" s="122">
        <f t="shared" si="36"/>
        <v>55.910105874431984</v>
      </c>
      <c r="P46" s="122">
        <f t="shared" si="36"/>
        <v>53.673701639454706</v>
      </c>
      <c r="Q46" s="122">
        <f t="shared" si="32"/>
        <v>51.526753573876512</v>
      </c>
      <c r="R46" s="122">
        <f t="shared" si="32"/>
        <v>49.465683430921452</v>
      </c>
      <c r="S46" s="122">
        <f t="shared" si="32"/>
        <v>47.487056093684593</v>
      </c>
      <c r="T46" s="122">
        <f t="shared" si="32"/>
        <v>45.587573849937208</v>
      </c>
      <c r="U46" s="122">
        <f t="shared" si="32"/>
        <v>43.764070895939717</v>
      </c>
      <c r="V46" s="122">
        <f t="shared" si="32"/>
        <v>42.013508060102126</v>
      </c>
      <c r="W46" s="122">
        <f t="shared" si="32"/>
        <v>40.332967737698041</v>
      </c>
      <c r="X46" s="122">
        <f t="shared" si="32"/>
        <v>38.719649028190119</v>
      </c>
      <c r="Y46" s="122">
        <f t="shared" si="32"/>
        <v>37.170863067062513</v>
      </c>
      <c r="Z46" s="122">
        <f t="shared" si="32"/>
        <v>35.684028544380013</v>
      </c>
    </row>
    <row r="47" spans="1:26" ht="18.5" x14ac:dyDescent="0.45">
      <c r="A47" s="107" t="s">
        <v>140</v>
      </c>
      <c r="B47" s="120">
        <v>0.21296296296296297</v>
      </c>
      <c r="C47" s="118">
        <f t="shared" si="33"/>
        <v>5539.8055555555557</v>
      </c>
      <c r="D47" s="120">
        <v>0.21296296296296297</v>
      </c>
      <c r="E47" s="118">
        <f t="shared" si="34"/>
        <v>6644.4444444444443</v>
      </c>
      <c r="F47" s="121">
        <v>0.16907</v>
      </c>
      <c r="G47" s="285">
        <f t="shared" si="37"/>
        <v>15849.326258333333</v>
      </c>
      <c r="H47" s="122">
        <v>66.400000000000006</v>
      </c>
      <c r="I47" s="214">
        <f t="shared" si="35"/>
        <v>19995510.007513333</v>
      </c>
      <c r="J47" s="291">
        <v>65.81</v>
      </c>
      <c r="K47" s="122">
        <f t="shared" si="36"/>
        <v>63.177599999999998</v>
      </c>
      <c r="L47" s="122">
        <f t="shared" si="36"/>
        <v>60.650495999999997</v>
      </c>
      <c r="M47" s="122">
        <f t="shared" si="36"/>
        <v>58.224476159999995</v>
      </c>
      <c r="N47" s="122">
        <f t="shared" si="36"/>
        <v>55.895497113599994</v>
      </c>
      <c r="O47" s="122">
        <f t="shared" si="36"/>
        <v>53.659677229055994</v>
      </c>
      <c r="P47" s="122">
        <f t="shared" si="36"/>
        <v>51.513290139893755</v>
      </c>
      <c r="Q47" s="122">
        <f t="shared" si="32"/>
        <v>49.452758534298006</v>
      </c>
      <c r="R47" s="122">
        <f t="shared" si="32"/>
        <v>47.474648192926082</v>
      </c>
      <c r="S47" s="122">
        <f t="shared" si="32"/>
        <v>45.57566226520904</v>
      </c>
      <c r="T47" s="122">
        <f t="shared" si="32"/>
        <v>43.752635774600677</v>
      </c>
      <c r="U47" s="122">
        <f t="shared" si="32"/>
        <v>42.002530343616648</v>
      </c>
      <c r="V47" s="122">
        <f t="shared" si="32"/>
        <v>40.322429129871978</v>
      </c>
      <c r="W47" s="122">
        <f t="shared" si="32"/>
        <v>38.709531964677097</v>
      </c>
      <c r="X47" s="122">
        <f t="shared" si="32"/>
        <v>37.161150686090011</v>
      </c>
      <c r="Y47" s="122">
        <f t="shared" si="32"/>
        <v>35.674704658646412</v>
      </c>
      <c r="Z47" s="122">
        <f t="shared" si="32"/>
        <v>34.247716472300553</v>
      </c>
    </row>
    <row r="48" spans="1:26" ht="18.5" x14ac:dyDescent="0.45">
      <c r="A48" s="107" t="s">
        <v>141</v>
      </c>
      <c r="B48" s="120">
        <v>0.45370370370370372</v>
      </c>
      <c r="C48" s="118">
        <f t="shared" si="33"/>
        <v>11802.194444444445</v>
      </c>
      <c r="D48" s="120">
        <v>0.45370370370370372</v>
      </c>
      <c r="E48" s="118">
        <f t="shared" si="34"/>
        <v>14155.555555555557</v>
      </c>
      <c r="F48" s="121">
        <v>0.16907</v>
      </c>
      <c r="G48" s="285">
        <f t="shared" si="37"/>
        <v>33765.95594166666</v>
      </c>
      <c r="H48" s="122">
        <v>58.94</v>
      </c>
      <c r="I48" s="214">
        <f t="shared" si="35"/>
        <v>37813143.420834824</v>
      </c>
      <c r="J48" s="291">
        <v>57.72</v>
      </c>
      <c r="K48" s="122">
        <f t="shared" si="36"/>
        <v>55.411199999999994</v>
      </c>
      <c r="L48" s="122">
        <f t="shared" si="36"/>
        <v>53.194751999999994</v>
      </c>
      <c r="M48" s="122">
        <f t="shared" si="36"/>
        <v>51.06696191999999</v>
      </c>
      <c r="N48" s="122">
        <f t="shared" si="36"/>
        <v>49.024283443199991</v>
      </c>
      <c r="O48" s="122">
        <f t="shared" si="36"/>
        <v>47.063312105471987</v>
      </c>
      <c r="P48" s="122">
        <f t="shared" si="36"/>
        <v>45.180779621253109</v>
      </c>
      <c r="Q48" s="122">
        <f t="shared" si="32"/>
        <v>43.373548436402984</v>
      </c>
      <c r="R48" s="122">
        <f t="shared" si="32"/>
        <v>41.638606498946864</v>
      </c>
      <c r="S48" s="122">
        <f t="shared" si="32"/>
        <v>39.973062238988987</v>
      </c>
      <c r="T48" s="122">
        <f t="shared" si="32"/>
        <v>38.374139749429425</v>
      </c>
      <c r="U48" s="122">
        <f t="shared" si="32"/>
        <v>36.839174159452249</v>
      </c>
      <c r="V48" s="122">
        <f t="shared" si="32"/>
        <v>35.365607193074155</v>
      </c>
      <c r="W48" s="122">
        <f t="shared" si="32"/>
        <v>33.950982905351189</v>
      </c>
      <c r="X48" s="122">
        <f t="shared" si="32"/>
        <v>32.592943589137143</v>
      </c>
      <c r="Y48" s="122">
        <f t="shared" si="32"/>
        <v>31.289225845571657</v>
      </c>
      <c r="Z48" s="122">
        <f t="shared" si="32"/>
        <v>30.037656811748789</v>
      </c>
    </row>
    <row r="49" spans="1:26" ht="18.5" x14ac:dyDescent="0.45">
      <c r="A49" s="107" t="s">
        <v>142</v>
      </c>
      <c r="B49" s="120">
        <v>0.23148148148148148</v>
      </c>
      <c r="C49" s="118">
        <f t="shared" si="33"/>
        <v>6021.5277777777774</v>
      </c>
      <c r="D49" s="120">
        <v>0.23148148148148148</v>
      </c>
      <c r="E49" s="118">
        <f t="shared" si="34"/>
        <v>7222.2222222222226</v>
      </c>
      <c r="F49" s="121">
        <v>0.16907</v>
      </c>
      <c r="G49" s="285">
        <f t="shared" si="37"/>
        <v>17227.528541666667</v>
      </c>
      <c r="H49" s="122">
        <v>56.73</v>
      </c>
      <c r="I49" s="214">
        <f t="shared" si="35"/>
        <v>18569036.18920625</v>
      </c>
      <c r="J49" s="291">
        <v>54.51</v>
      </c>
      <c r="K49" s="122">
        <f t="shared" si="36"/>
        <v>52.329599999999999</v>
      </c>
      <c r="L49" s="122">
        <f t="shared" si="36"/>
        <v>50.236415999999998</v>
      </c>
      <c r="M49" s="122">
        <f t="shared" si="36"/>
        <v>48.226959359999995</v>
      </c>
      <c r="N49" s="122">
        <f t="shared" si="36"/>
        <v>46.297880985599996</v>
      </c>
      <c r="O49" s="122">
        <f t="shared" si="36"/>
        <v>44.445965746175993</v>
      </c>
      <c r="P49" s="122">
        <f t="shared" si="36"/>
        <v>42.668127116328954</v>
      </c>
      <c r="Q49" s="122">
        <f t="shared" si="32"/>
        <v>40.961402031675796</v>
      </c>
      <c r="R49" s="122">
        <f t="shared" si="32"/>
        <v>39.322945950408766</v>
      </c>
      <c r="S49" s="122">
        <f t="shared" si="32"/>
        <v>37.750028112392414</v>
      </c>
      <c r="T49" s="122">
        <f t="shared" si="32"/>
        <v>36.240026987896719</v>
      </c>
      <c r="U49" s="122">
        <f t="shared" si="32"/>
        <v>34.790425908380847</v>
      </c>
      <c r="V49" s="122">
        <f t="shared" si="32"/>
        <v>33.398808872045613</v>
      </c>
      <c r="W49" s="122">
        <f t="shared" si="32"/>
        <v>32.062856517163787</v>
      </c>
      <c r="X49" s="122">
        <f t="shared" si="32"/>
        <v>30.780342256477233</v>
      </c>
      <c r="Y49" s="122">
        <f t="shared" si="32"/>
        <v>29.549128566218144</v>
      </c>
      <c r="Z49" s="122">
        <f t="shared" si="32"/>
        <v>28.367163423569416</v>
      </c>
    </row>
    <row r="50" spans="1:26" ht="18.5" x14ac:dyDescent="0.45">
      <c r="A50" s="107" t="s">
        <v>143</v>
      </c>
      <c r="B50" s="120">
        <v>0</v>
      </c>
      <c r="C50" s="118">
        <f t="shared" si="33"/>
        <v>0</v>
      </c>
      <c r="D50" s="120">
        <v>0</v>
      </c>
      <c r="E50" s="118">
        <f t="shared" si="34"/>
        <v>0</v>
      </c>
      <c r="F50" s="121">
        <v>0.16900000000000001</v>
      </c>
      <c r="G50" s="285">
        <f t="shared" ref="G50" si="38">F50*E50*8760/1000</f>
        <v>0</v>
      </c>
      <c r="H50" s="122">
        <v>45.72</v>
      </c>
      <c r="I50" s="214">
        <f t="shared" si="35"/>
        <v>0</v>
      </c>
      <c r="J50" s="291">
        <v>42.15</v>
      </c>
      <c r="K50" s="122">
        <f t="shared" si="36"/>
        <v>40.463999999999999</v>
      </c>
      <c r="L50" s="122">
        <f t="shared" si="36"/>
        <v>38.845439999999996</v>
      </c>
      <c r="M50" s="122">
        <f t="shared" si="36"/>
        <v>37.291622399999994</v>
      </c>
      <c r="N50" s="122">
        <f t="shared" si="36"/>
        <v>35.799957503999991</v>
      </c>
      <c r="O50" s="122">
        <f t="shared" si="36"/>
        <v>34.367959203839987</v>
      </c>
      <c r="P50" s="122">
        <f t="shared" si="36"/>
        <v>32.993240835686386</v>
      </c>
      <c r="Q50" s="122">
        <f t="shared" si="32"/>
        <v>31.673511202258929</v>
      </c>
      <c r="R50" s="122">
        <f t="shared" si="32"/>
        <v>30.40657075416857</v>
      </c>
      <c r="S50" s="122">
        <f t="shared" si="32"/>
        <v>29.190307924001825</v>
      </c>
      <c r="T50" s="122">
        <f t="shared" si="32"/>
        <v>28.022695607041751</v>
      </c>
      <c r="U50" s="122">
        <f t="shared" si="32"/>
        <v>26.901787782760081</v>
      </c>
      <c r="V50" s="122">
        <f t="shared" si="32"/>
        <v>25.825716271449679</v>
      </c>
      <c r="W50" s="122">
        <f t="shared" si="32"/>
        <v>24.792687620591689</v>
      </c>
      <c r="X50" s="122">
        <f t="shared" si="32"/>
        <v>23.80098011576802</v>
      </c>
      <c r="Y50" s="122">
        <f t="shared" si="32"/>
        <v>22.848940911137298</v>
      </c>
      <c r="Z50" s="122">
        <f t="shared" si="32"/>
        <v>21.934983274691806</v>
      </c>
    </row>
    <row r="51" spans="1:26" ht="18.5" x14ac:dyDescent="0.45">
      <c r="A51" s="116" t="s">
        <v>154</v>
      </c>
      <c r="B51" s="125"/>
      <c r="C51" s="118">
        <f>C43*0.7</f>
        <v>60696.999999999993</v>
      </c>
      <c r="D51" s="125"/>
      <c r="E51" s="118">
        <f>E43*0.7</f>
        <v>72800</v>
      </c>
      <c r="F51" s="126"/>
      <c r="G51" s="286">
        <v>116710</v>
      </c>
      <c r="H51" s="123"/>
      <c r="I51" s="215"/>
      <c r="J51" s="292"/>
      <c r="K51" s="123"/>
      <c r="L51" s="123"/>
      <c r="M51" s="123"/>
      <c r="N51" s="123"/>
      <c r="O51" s="123"/>
      <c r="P51" s="123"/>
      <c r="Q51" s="123"/>
      <c r="R51" s="123"/>
      <c r="S51" s="123"/>
      <c r="T51" s="123"/>
      <c r="U51" s="123"/>
      <c r="V51" s="123"/>
      <c r="W51" s="123"/>
      <c r="X51" s="123"/>
      <c r="Y51" s="123"/>
      <c r="Z51" s="123"/>
    </row>
    <row r="52" spans="1:26" ht="18.5" x14ac:dyDescent="0.45">
      <c r="A52" s="107" t="s">
        <v>153</v>
      </c>
      <c r="B52" s="120">
        <v>4.6296296296296294E-2</v>
      </c>
      <c r="C52" s="118">
        <f t="shared" ref="C52:C57" si="39">$C$51*B52</f>
        <v>2810.0462962962956</v>
      </c>
      <c r="D52" s="120">
        <v>4.6296296296296294E-2</v>
      </c>
      <c r="E52" s="118">
        <f t="shared" ref="E52:E57" si="40">$E$51*D52</f>
        <v>3370.37037037037</v>
      </c>
      <c r="F52" s="121">
        <v>0.16907</v>
      </c>
      <c r="G52" s="285">
        <f>F52*D52*$G$51*8760/1000</f>
        <v>8002.4869894444446</v>
      </c>
      <c r="H52" s="122">
        <v>81.16</v>
      </c>
      <c r="I52" s="214">
        <f t="shared" ref="I52:I57" si="41">H52*G52*20*0.95</f>
        <v>12340155.03720291</v>
      </c>
      <c r="J52" s="291">
        <v>88.96</v>
      </c>
      <c r="K52" s="122">
        <f t="shared" ref="K52:Z57" si="42">J52*$B$93</f>
        <v>85.401599999999988</v>
      </c>
      <c r="L52" s="122">
        <f t="shared" si="42"/>
        <v>81.985535999999982</v>
      </c>
      <c r="M52" s="122">
        <f t="shared" si="42"/>
        <v>78.706114559999975</v>
      </c>
      <c r="N52" s="122">
        <f t="shared" si="42"/>
        <v>75.557869977599978</v>
      </c>
      <c r="O52" s="122">
        <f t="shared" si="42"/>
        <v>72.535555178495983</v>
      </c>
      <c r="P52" s="122">
        <f t="shared" si="42"/>
        <v>69.634132971356138</v>
      </c>
      <c r="Q52" s="122">
        <f t="shared" si="42"/>
        <v>66.848767652501891</v>
      </c>
      <c r="R52" s="122">
        <f t="shared" si="42"/>
        <v>64.174816946401819</v>
      </c>
      <c r="S52" s="122">
        <f t="shared" si="42"/>
        <v>61.607824268545741</v>
      </c>
      <c r="T52" s="122">
        <f t="shared" si="42"/>
        <v>59.143511297803911</v>
      </c>
      <c r="U52" s="122">
        <f t="shared" si="42"/>
        <v>56.777770845891752</v>
      </c>
      <c r="V52" s="122">
        <f t="shared" si="42"/>
        <v>54.506660012056081</v>
      </c>
      <c r="W52" s="122">
        <f t="shared" si="42"/>
        <v>52.326393611573835</v>
      </c>
      <c r="X52" s="122">
        <f t="shared" si="42"/>
        <v>50.233337867110876</v>
      </c>
      <c r="Y52" s="122">
        <f t="shared" si="42"/>
        <v>48.224004352426441</v>
      </c>
      <c r="Z52" s="122">
        <f t="shared" si="42"/>
        <v>46.295044178329384</v>
      </c>
    </row>
    <row r="53" spans="1:26" ht="18.5" x14ac:dyDescent="0.45">
      <c r="A53" s="107" t="s">
        <v>145</v>
      </c>
      <c r="B53" s="120">
        <v>5.5555555555555552E-2</v>
      </c>
      <c r="C53" s="118">
        <f t="shared" si="39"/>
        <v>3372.0555555555547</v>
      </c>
      <c r="D53" s="120">
        <v>5.5555555555555552E-2</v>
      </c>
      <c r="E53" s="118">
        <f t="shared" si="40"/>
        <v>4044.4444444444443</v>
      </c>
      <c r="F53" s="121">
        <v>0.16907</v>
      </c>
      <c r="G53" s="285">
        <f t="shared" ref="G53:G56" si="43">F53*D53*$G$51*8760/1000</f>
        <v>9602.9843873333321</v>
      </c>
      <c r="H53" s="122">
        <v>70.42</v>
      </c>
      <c r="I53" s="214">
        <f t="shared" si="41"/>
        <v>12848601.05056425</v>
      </c>
      <c r="J53" s="291">
        <v>80.09</v>
      </c>
      <c r="K53" s="122">
        <f t="shared" si="42"/>
        <v>76.886399999999995</v>
      </c>
      <c r="L53" s="122">
        <f t="shared" si="42"/>
        <v>73.810943999999992</v>
      </c>
      <c r="M53" s="122">
        <f t="shared" si="42"/>
        <v>70.858506239999983</v>
      </c>
      <c r="N53" s="122">
        <f t="shared" si="42"/>
        <v>68.024165990399979</v>
      </c>
      <c r="O53" s="122">
        <f t="shared" si="42"/>
        <v>65.303199350783984</v>
      </c>
      <c r="P53" s="122">
        <f t="shared" si="42"/>
        <v>62.691071376752625</v>
      </c>
      <c r="Q53" s="122">
        <f t="shared" si="42"/>
        <v>60.183428521682515</v>
      </c>
      <c r="R53" s="122">
        <f t="shared" si="42"/>
        <v>57.77609138081521</v>
      </c>
      <c r="S53" s="122">
        <f t="shared" si="42"/>
        <v>55.4650477255826</v>
      </c>
      <c r="T53" s="122">
        <f t="shared" si="42"/>
        <v>53.246445816559294</v>
      </c>
      <c r="U53" s="122">
        <f t="shared" si="42"/>
        <v>51.11658798389692</v>
      </c>
      <c r="V53" s="122">
        <f t="shared" si="42"/>
        <v>49.071924464541041</v>
      </c>
      <c r="W53" s="122">
        <f t="shared" si="42"/>
        <v>47.109047485959401</v>
      </c>
      <c r="X53" s="122">
        <f t="shared" si="42"/>
        <v>45.224685586521026</v>
      </c>
      <c r="Y53" s="122">
        <f t="shared" si="42"/>
        <v>43.415698163060185</v>
      </c>
      <c r="Z53" s="122">
        <f t="shared" si="42"/>
        <v>41.679070236537775</v>
      </c>
    </row>
    <row r="54" spans="1:26" ht="18.5" x14ac:dyDescent="0.45">
      <c r="A54" s="107" t="s">
        <v>140</v>
      </c>
      <c r="B54" s="120">
        <v>0.21296296296296297</v>
      </c>
      <c r="C54" s="118">
        <f t="shared" si="39"/>
        <v>12926.212962962962</v>
      </c>
      <c r="D54" s="120">
        <v>0.21296296296296297</v>
      </c>
      <c r="E54" s="118">
        <f t="shared" si="40"/>
        <v>15503.703703703704</v>
      </c>
      <c r="F54" s="121">
        <v>0.16907</v>
      </c>
      <c r="G54" s="285">
        <f t="shared" si="43"/>
        <v>36811.44015144444</v>
      </c>
      <c r="H54" s="122">
        <v>66.59</v>
      </c>
      <c r="I54" s="214">
        <f t="shared" si="41"/>
        <v>46574202.194009013</v>
      </c>
      <c r="J54" s="291">
        <v>72.36</v>
      </c>
      <c r="K54" s="122">
        <f t="shared" si="42"/>
        <v>69.465599999999995</v>
      </c>
      <c r="L54" s="122">
        <f t="shared" si="42"/>
        <v>66.686975999999987</v>
      </c>
      <c r="M54" s="122">
        <f t="shared" si="42"/>
        <v>64.019496959999984</v>
      </c>
      <c r="N54" s="122">
        <f t="shared" si="42"/>
        <v>61.458717081599985</v>
      </c>
      <c r="O54" s="122">
        <f t="shared" si="42"/>
        <v>59.000368398335986</v>
      </c>
      <c r="P54" s="122">
        <f t="shared" si="42"/>
        <v>56.640353662402546</v>
      </c>
      <c r="Q54" s="122">
        <f t="shared" si="42"/>
        <v>54.374739515906441</v>
      </c>
      <c r="R54" s="122">
        <f t="shared" si="42"/>
        <v>52.199749935270184</v>
      </c>
      <c r="S54" s="122">
        <f t="shared" si="42"/>
        <v>50.111759937859375</v>
      </c>
      <c r="T54" s="122">
        <f t="shared" si="42"/>
        <v>48.107289540345</v>
      </c>
      <c r="U54" s="122">
        <f t="shared" si="42"/>
        <v>46.1829979587312</v>
      </c>
      <c r="V54" s="122">
        <f t="shared" si="42"/>
        <v>44.33567804038195</v>
      </c>
      <c r="W54" s="122">
        <f t="shared" si="42"/>
        <v>42.562250918766672</v>
      </c>
      <c r="X54" s="122">
        <f t="shared" si="42"/>
        <v>40.859760882016005</v>
      </c>
      <c r="Y54" s="122">
        <f t="shared" si="42"/>
        <v>39.225370446735361</v>
      </c>
      <c r="Z54" s="122">
        <f t="shared" si="42"/>
        <v>37.656355628865946</v>
      </c>
    </row>
    <row r="55" spans="1:26" ht="18.5" x14ac:dyDescent="0.45">
      <c r="A55" s="107" t="s">
        <v>141</v>
      </c>
      <c r="B55" s="120">
        <v>0.45370370370370372</v>
      </c>
      <c r="C55" s="118">
        <f t="shared" si="39"/>
        <v>27538.453703703701</v>
      </c>
      <c r="D55" s="120">
        <v>0.45370370370370372</v>
      </c>
      <c r="E55" s="118">
        <f t="shared" si="40"/>
        <v>33029.629629629628</v>
      </c>
      <c r="F55" s="121">
        <v>0.16907</v>
      </c>
      <c r="G55" s="285">
        <f t="shared" si="43"/>
        <v>78424.372496555545</v>
      </c>
      <c r="H55" s="122">
        <v>59.81</v>
      </c>
      <c r="I55" s="214">
        <f t="shared" si="41"/>
        <v>89120672.661360756</v>
      </c>
      <c r="J55" s="291">
        <v>62.65</v>
      </c>
      <c r="K55" s="122">
        <f t="shared" si="42"/>
        <v>60.143999999999998</v>
      </c>
      <c r="L55" s="122">
        <f t="shared" si="42"/>
        <v>57.738239999999998</v>
      </c>
      <c r="M55" s="122">
        <f t="shared" si="42"/>
        <v>55.428710399999993</v>
      </c>
      <c r="N55" s="122">
        <f t="shared" si="42"/>
        <v>53.211561983999992</v>
      </c>
      <c r="O55" s="122">
        <f t="shared" si="42"/>
        <v>51.083099504639989</v>
      </c>
      <c r="P55" s="122">
        <f t="shared" si="42"/>
        <v>49.039775524454384</v>
      </c>
      <c r="Q55" s="122">
        <f t="shared" si="42"/>
        <v>47.078184503476209</v>
      </c>
      <c r="R55" s="122">
        <f t="shared" si="42"/>
        <v>45.195057123337158</v>
      </c>
      <c r="S55" s="122">
        <f t="shared" si="42"/>
        <v>43.38725483840367</v>
      </c>
      <c r="T55" s="122">
        <f t="shared" si="42"/>
        <v>41.651764644867519</v>
      </c>
      <c r="U55" s="122">
        <f t="shared" si="42"/>
        <v>39.98569405907282</v>
      </c>
      <c r="V55" s="122">
        <f t="shared" si="42"/>
        <v>38.386266296709906</v>
      </c>
      <c r="W55" s="122">
        <f t="shared" si="42"/>
        <v>36.850815644841511</v>
      </c>
      <c r="X55" s="122">
        <f t="shared" si="42"/>
        <v>35.376783019047849</v>
      </c>
      <c r="Y55" s="122">
        <f t="shared" si="42"/>
        <v>33.961711698285932</v>
      </c>
      <c r="Z55" s="122">
        <f t="shared" si="42"/>
        <v>32.603243230354494</v>
      </c>
    </row>
    <row r="56" spans="1:26" ht="18.5" x14ac:dyDescent="0.45">
      <c r="A56" s="107" t="s">
        <v>142</v>
      </c>
      <c r="B56" s="120">
        <v>0.23148148148148148</v>
      </c>
      <c r="C56" s="118">
        <f t="shared" si="39"/>
        <v>14050.23148148148</v>
      </c>
      <c r="D56" s="120">
        <v>0.23148148148148148</v>
      </c>
      <c r="E56" s="118">
        <f t="shared" si="40"/>
        <v>16851.85185185185</v>
      </c>
      <c r="F56" s="121">
        <v>0.16907</v>
      </c>
      <c r="G56" s="285">
        <f t="shared" si="43"/>
        <v>40012.434947222224</v>
      </c>
      <c r="H56" s="122">
        <v>53.59</v>
      </c>
      <c r="I56" s="214">
        <f t="shared" si="41"/>
        <v>40741061.387611143</v>
      </c>
      <c r="J56" s="291">
        <v>57.46</v>
      </c>
      <c r="K56" s="122">
        <f t="shared" si="42"/>
        <v>55.1616</v>
      </c>
      <c r="L56" s="122">
        <f t="shared" si="42"/>
        <v>52.955135999999996</v>
      </c>
      <c r="M56" s="122">
        <f t="shared" si="42"/>
        <v>50.836930559999992</v>
      </c>
      <c r="N56" s="122">
        <f t="shared" si="42"/>
        <v>48.80345333759999</v>
      </c>
      <c r="O56" s="122">
        <f t="shared" si="42"/>
        <v>46.851315204095989</v>
      </c>
      <c r="P56" s="122">
        <f t="shared" si="42"/>
        <v>44.977262595932146</v>
      </c>
      <c r="Q56" s="122">
        <f t="shared" si="42"/>
        <v>43.178172092094862</v>
      </c>
      <c r="R56" s="122">
        <f t="shared" si="42"/>
        <v>41.451045208411067</v>
      </c>
      <c r="S56" s="122">
        <f t="shared" si="42"/>
        <v>39.793003400074625</v>
      </c>
      <c r="T56" s="122">
        <f t="shared" si="42"/>
        <v>38.201283264071641</v>
      </c>
      <c r="U56" s="122">
        <f t="shared" si="42"/>
        <v>36.673231933508774</v>
      </c>
      <c r="V56" s="122">
        <f t="shared" si="42"/>
        <v>35.206302656168418</v>
      </c>
      <c r="W56" s="122">
        <f t="shared" si="42"/>
        <v>33.798050549921683</v>
      </c>
      <c r="X56" s="122">
        <f t="shared" si="42"/>
        <v>32.446128527924813</v>
      </c>
      <c r="Y56" s="122">
        <f t="shared" si="42"/>
        <v>31.148283386807819</v>
      </c>
      <c r="Z56" s="122">
        <f t="shared" si="42"/>
        <v>29.902352051335505</v>
      </c>
    </row>
    <row r="57" spans="1:26" ht="18.5" x14ac:dyDescent="0.45">
      <c r="A57" s="107" t="s">
        <v>143</v>
      </c>
      <c r="B57" s="120">
        <v>0</v>
      </c>
      <c r="C57" s="118">
        <f t="shared" si="39"/>
        <v>0</v>
      </c>
      <c r="D57" s="120">
        <v>0</v>
      </c>
      <c r="E57" s="118">
        <f t="shared" si="40"/>
        <v>0</v>
      </c>
      <c r="F57" s="121">
        <v>0.16900000000000001</v>
      </c>
      <c r="G57" s="285">
        <f t="shared" ref="G57" si="44">F57*E57*8760/1000</f>
        <v>0</v>
      </c>
      <c r="H57" s="122">
        <v>37.229999999999997</v>
      </c>
      <c r="I57" s="214">
        <f t="shared" si="41"/>
        <v>0</v>
      </c>
      <c r="J57" s="291">
        <v>43.49</v>
      </c>
      <c r="K57" s="122">
        <f t="shared" si="42"/>
        <v>41.750399999999999</v>
      </c>
      <c r="L57" s="122">
        <f t="shared" si="42"/>
        <v>40.080383999999995</v>
      </c>
      <c r="M57" s="122">
        <f t="shared" si="42"/>
        <v>38.477168639999995</v>
      </c>
      <c r="N57" s="122">
        <f t="shared" si="42"/>
        <v>36.938081894399993</v>
      </c>
      <c r="O57" s="122">
        <f t="shared" si="42"/>
        <v>35.460558618623992</v>
      </c>
      <c r="P57" s="122">
        <f t="shared" si="42"/>
        <v>34.042136273879031</v>
      </c>
      <c r="Q57" s="122">
        <f t="shared" si="42"/>
        <v>32.680450822923866</v>
      </c>
      <c r="R57" s="122">
        <f t="shared" si="42"/>
        <v>31.373232790006909</v>
      </c>
      <c r="S57" s="122">
        <f t="shared" si="42"/>
        <v>30.118303478406631</v>
      </c>
      <c r="T57" s="122">
        <f t="shared" si="42"/>
        <v>28.913571339270366</v>
      </c>
      <c r="U57" s="122">
        <f t="shared" si="42"/>
        <v>27.75702848569955</v>
      </c>
      <c r="V57" s="122">
        <f t="shared" si="42"/>
        <v>26.646747346271567</v>
      </c>
      <c r="W57" s="122">
        <f t="shared" si="42"/>
        <v>25.580877452420705</v>
      </c>
      <c r="X57" s="122">
        <f t="shared" si="42"/>
        <v>24.557642354323875</v>
      </c>
      <c r="Y57" s="122">
        <f t="shared" si="42"/>
        <v>23.575336660150917</v>
      </c>
      <c r="Z57" s="122">
        <f t="shared" si="42"/>
        <v>22.632323193744881</v>
      </c>
    </row>
    <row r="58" spans="1:26" ht="18.5" x14ac:dyDescent="0.45">
      <c r="A58" s="111" t="s">
        <v>155</v>
      </c>
      <c r="B58" s="113">
        <v>0.04</v>
      </c>
      <c r="C58" s="114">
        <f>B4*B58</f>
        <v>26680</v>
      </c>
      <c r="D58" s="113">
        <v>0.04</v>
      </c>
      <c r="E58" s="114">
        <f>D4*D58</f>
        <v>32000</v>
      </c>
      <c r="F58" s="111"/>
      <c r="G58" s="287"/>
      <c r="H58" s="115"/>
      <c r="I58" s="216"/>
      <c r="J58" s="131"/>
      <c r="K58" s="115"/>
      <c r="L58" s="115"/>
      <c r="M58" s="115"/>
      <c r="N58" s="115"/>
      <c r="O58" s="115"/>
      <c r="P58" s="115"/>
      <c r="Q58" s="123"/>
      <c r="R58" s="123"/>
      <c r="S58" s="123"/>
      <c r="T58" s="123"/>
      <c r="U58" s="123"/>
      <c r="V58" s="123"/>
      <c r="W58" s="123"/>
      <c r="X58" s="123"/>
      <c r="Y58" s="123"/>
      <c r="Z58" s="123"/>
    </row>
    <row r="59" spans="1:26" ht="18.5" x14ac:dyDescent="0.45">
      <c r="A59" s="116" t="s">
        <v>156</v>
      </c>
      <c r="B59" s="120">
        <v>0.3</v>
      </c>
      <c r="C59" s="118">
        <f>C58*0.3</f>
        <v>8004</v>
      </c>
      <c r="D59" s="120">
        <v>0.3</v>
      </c>
      <c r="E59" s="118">
        <f>E58*0.3</f>
        <v>9600</v>
      </c>
      <c r="F59" s="121">
        <v>0.16907</v>
      </c>
      <c r="G59" s="285"/>
      <c r="H59" s="123"/>
      <c r="I59" s="214">
        <f>SUM(I60:I74)</f>
        <v>29142238.577340052</v>
      </c>
      <c r="J59" s="132"/>
      <c r="K59" s="123"/>
      <c r="L59" s="123"/>
      <c r="M59" s="123"/>
      <c r="N59" s="123"/>
      <c r="O59" s="123"/>
      <c r="P59" s="123"/>
      <c r="Q59" s="123"/>
      <c r="R59" s="123"/>
      <c r="S59" s="123"/>
      <c r="T59" s="123"/>
      <c r="U59" s="123"/>
      <c r="V59" s="123"/>
      <c r="W59" s="123"/>
      <c r="X59" s="123"/>
      <c r="Y59" s="123"/>
      <c r="Z59" s="123"/>
    </row>
    <row r="60" spans="1:26" ht="18.5" x14ac:dyDescent="0.45">
      <c r="A60" s="107" t="s">
        <v>133</v>
      </c>
      <c r="B60" s="120">
        <v>0</v>
      </c>
      <c r="C60" s="118">
        <v>0</v>
      </c>
      <c r="D60" s="120"/>
      <c r="E60" s="118">
        <v>0</v>
      </c>
      <c r="F60" s="121">
        <v>0.16907</v>
      </c>
      <c r="G60" s="285">
        <f t="shared" ref="G60:G66" si="45">F60*E60*8760/1000</f>
        <v>0</v>
      </c>
      <c r="H60" s="122"/>
      <c r="I60" s="214">
        <f t="shared" ref="I60:I66" si="46">H60*G60*15*0.96</f>
        <v>0</v>
      </c>
      <c r="J60" s="291">
        <v>0</v>
      </c>
      <c r="K60" s="122">
        <f>J60*0.96</f>
        <v>0</v>
      </c>
      <c r="L60" s="122">
        <f t="shared" ref="K60:P66" si="47">K60*0.96</f>
        <v>0</v>
      </c>
      <c r="M60" s="122">
        <f t="shared" si="47"/>
        <v>0</v>
      </c>
      <c r="N60" s="122">
        <f t="shared" si="47"/>
        <v>0</v>
      </c>
      <c r="O60" s="122">
        <f t="shared" si="47"/>
        <v>0</v>
      </c>
      <c r="P60" s="122">
        <f t="shared" si="47"/>
        <v>0</v>
      </c>
      <c r="Q60" s="122">
        <f t="shared" ref="Q60:Z66" si="48">P60*$B$93</f>
        <v>0</v>
      </c>
      <c r="R60" s="122">
        <f t="shared" si="48"/>
        <v>0</v>
      </c>
      <c r="S60" s="122">
        <f t="shared" si="48"/>
        <v>0</v>
      </c>
      <c r="T60" s="122">
        <f t="shared" si="48"/>
        <v>0</v>
      </c>
      <c r="U60" s="122">
        <f t="shared" si="48"/>
        <v>0</v>
      </c>
      <c r="V60" s="122">
        <f t="shared" si="48"/>
        <v>0</v>
      </c>
      <c r="W60" s="122">
        <f t="shared" si="48"/>
        <v>0</v>
      </c>
      <c r="X60" s="122">
        <f t="shared" si="48"/>
        <v>0</v>
      </c>
      <c r="Y60" s="122">
        <f t="shared" si="48"/>
        <v>0</v>
      </c>
      <c r="Z60" s="122">
        <f t="shared" si="48"/>
        <v>0</v>
      </c>
    </row>
    <row r="61" spans="1:26" ht="18.5" x14ac:dyDescent="0.45">
      <c r="A61" s="107" t="s">
        <v>134</v>
      </c>
      <c r="B61" s="120">
        <v>0</v>
      </c>
      <c r="C61" s="118">
        <v>0</v>
      </c>
      <c r="D61" s="120"/>
      <c r="E61" s="118">
        <v>0</v>
      </c>
      <c r="F61" s="121">
        <v>0.16907</v>
      </c>
      <c r="G61" s="285">
        <f t="shared" si="45"/>
        <v>0</v>
      </c>
      <c r="H61" s="122">
        <v>71.101018017650617</v>
      </c>
      <c r="I61" s="214">
        <f t="shared" si="46"/>
        <v>0</v>
      </c>
      <c r="J61" s="291">
        <v>73.819999999999993</v>
      </c>
      <c r="K61" s="122">
        <f t="shared" si="47"/>
        <v>70.867199999999997</v>
      </c>
      <c r="L61" s="122">
        <f t="shared" si="47"/>
        <v>68.032511999999997</v>
      </c>
      <c r="M61" s="122">
        <f t="shared" si="47"/>
        <v>65.311211520000001</v>
      </c>
      <c r="N61" s="122">
        <f t="shared" si="47"/>
        <v>62.698763059199997</v>
      </c>
      <c r="O61" s="122">
        <f t="shared" si="47"/>
        <v>60.190812536831999</v>
      </c>
      <c r="P61" s="122">
        <f t="shared" si="47"/>
        <v>57.783180035358718</v>
      </c>
      <c r="Q61" s="122">
        <f t="shared" si="48"/>
        <v>55.471852833944368</v>
      </c>
      <c r="R61" s="122">
        <f t="shared" si="48"/>
        <v>53.25297872058659</v>
      </c>
      <c r="S61" s="122">
        <f t="shared" si="48"/>
        <v>51.122859571763122</v>
      </c>
      <c r="T61" s="122">
        <f t="shared" si="48"/>
        <v>49.077945188892599</v>
      </c>
      <c r="U61" s="122">
        <f t="shared" si="48"/>
        <v>47.114827381336895</v>
      </c>
      <c r="V61" s="122">
        <f t="shared" si="48"/>
        <v>45.230234286083416</v>
      </c>
      <c r="W61" s="122">
        <f t="shared" si="48"/>
        <v>43.421024914640078</v>
      </c>
      <c r="X61" s="122">
        <f t="shared" si="48"/>
        <v>41.684183918054472</v>
      </c>
      <c r="Y61" s="122">
        <f t="shared" si="48"/>
        <v>40.016816561332291</v>
      </c>
      <c r="Z61" s="122">
        <f t="shared" si="48"/>
        <v>38.416143898879</v>
      </c>
    </row>
    <row r="62" spans="1:26" ht="18.5" x14ac:dyDescent="0.45">
      <c r="A62" s="107" t="s">
        <v>145</v>
      </c>
      <c r="B62" s="120">
        <v>0</v>
      </c>
      <c r="C62" s="118">
        <v>0</v>
      </c>
      <c r="D62" s="120"/>
      <c r="E62" s="118">
        <v>0</v>
      </c>
      <c r="F62" s="121">
        <v>0.16907</v>
      </c>
      <c r="G62" s="285">
        <f t="shared" si="45"/>
        <v>0</v>
      </c>
      <c r="H62" s="122">
        <v>76.163110962617708</v>
      </c>
      <c r="I62" s="214">
        <f t="shared" si="46"/>
        <v>0</v>
      </c>
      <c r="J62" s="291">
        <v>75.400000000000006</v>
      </c>
      <c r="K62" s="122">
        <f t="shared" si="47"/>
        <v>72.384</v>
      </c>
      <c r="L62" s="122">
        <f t="shared" si="47"/>
        <v>69.488640000000004</v>
      </c>
      <c r="M62" s="122">
        <f t="shared" si="47"/>
        <v>66.709094399999998</v>
      </c>
      <c r="N62" s="122">
        <f t="shared" si="47"/>
        <v>64.040730623999991</v>
      </c>
      <c r="O62" s="122">
        <f t="shared" si="47"/>
        <v>61.47910139903999</v>
      </c>
      <c r="P62" s="122">
        <f t="shared" si="47"/>
        <v>59.019937343078389</v>
      </c>
      <c r="Q62" s="122">
        <f t="shared" si="48"/>
        <v>56.659139849355249</v>
      </c>
      <c r="R62" s="122">
        <f t="shared" si="48"/>
        <v>54.392774255381035</v>
      </c>
      <c r="S62" s="122">
        <f t="shared" si="48"/>
        <v>52.217063285165793</v>
      </c>
      <c r="T62" s="122">
        <f t="shared" si="48"/>
        <v>50.12838075375916</v>
      </c>
      <c r="U62" s="122">
        <f t="shared" si="48"/>
        <v>48.123245523608794</v>
      </c>
      <c r="V62" s="122">
        <f t="shared" si="48"/>
        <v>46.198315702664438</v>
      </c>
      <c r="W62" s="122">
        <f t="shared" si="48"/>
        <v>44.350383074557861</v>
      </c>
      <c r="X62" s="122">
        <f t="shared" si="48"/>
        <v>42.576367751575546</v>
      </c>
      <c r="Y62" s="122">
        <f t="shared" si="48"/>
        <v>40.873313041512525</v>
      </c>
      <c r="Z62" s="122">
        <f t="shared" si="48"/>
        <v>39.238380519852022</v>
      </c>
    </row>
    <row r="63" spans="1:26" ht="18.5" x14ac:dyDescent="0.45">
      <c r="A63" s="107" t="s">
        <v>140</v>
      </c>
      <c r="B63" s="120">
        <v>0</v>
      </c>
      <c r="C63" s="118">
        <v>0</v>
      </c>
      <c r="D63" s="120"/>
      <c r="E63" s="118">
        <v>0</v>
      </c>
      <c r="F63" s="121">
        <v>0.16907</v>
      </c>
      <c r="G63" s="285">
        <f t="shared" si="45"/>
        <v>0</v>
      </c>
      <c r="H63" s="122">
        <v>78.330099132419932</v>
      </c>
      <c r="I63" s="214">
        <f t="shared" si="46"/>
        <v>0</v>
      </c>
      <c r="J63" s="291">
        <v>73.28</v>
      </c>
      <c r="K63" s="122">
        <f t="shared" si="47"/>
        <v>70.348799999999997</v>
      </c>
      <c r="L63" s="122">
        <f t="shared" si="47"/>
        <v>67.534847999999997</v>
      </c>
      <c r="M63" s="122">
        <f t="shared" si="47"/>
        <v>64.833454079999996</v>
      </c>
      <c r="N63" s="122">
        <f t="shared" si="47"/>
        <v>62.240115916799994</v>
      </c>
      <c r="O63" s="122">
        <f t="shared" si="47"/>
        <v>59.750511280127995</v>
      </c>
      <c r="P63" s="122">
        <f t="shared" si="47"/>
        <v>57.36049082892287</v>
      </c>
      <c r="Q63" s="122">
        <f t="shared" si="48"/>
        <v>55.06607119576595</v>
      </c>
      <c r="R63" s="122">
        <f t="shared" si="48"/>
        <v>52.863428347935312</v>
      </c>
      <c r="S63" s="122">
        <f t="shared" si="48"/>
        <v>50.748891214017895</v>
      </c>
      <c r="T63" s="122">
        <f t="shared" si="48"/>
        <v>48.71893556545718</v>
      </c>
      <c r="U63" s="122">
        <f t="shared" si="48"/>
        <v>46.770178142838894</v>
      </c>
      <c r="V63" s="122">
        <f t="shared" si="48"/>
        <v>44.89937101712534</v>
      </c>
      <c r="W63" s="122">
        <f t="shared" si="48"/>
        <v>43.103396176440327</v>
      </c>
      <c r="X63" s="122">
        <f t="shared" si="48"/>
        <v>41.37926032938271</v>
      </c>
      <c r="Y63" s="122">
        <f t="shared" si="48"/>
        <v>39.724089916207397</v>
      </c>
      <c r="Z63" s="122">
        <f t="shared" si="48"/>
        <v>38.135126319559099</v>
      </c>
    </row>
    <row r="64" spans="1:26" ht="18.5" x14ac:dyDescent="0.45">
      <c r="A64" s="107" t="s">
        <v>141</v>
      </c>
      <c r="B64" s="120">
        <v>0</v>
      </c>
      <c r="C64" s="118">
        <v>0</v>
      </c>
      <c r="D64" s="120"/>
      <c r="E64" s="118">
        <v>0</v>
      </c>
      <c r="F64" s="121">
        <v>0.16907</v>
      </c>
      <c r="G64" s="285">
        <f t="shared" si="45"/>
        <v>0</v>
      </c>
      <c r="H64" s="122">
        <v>73.020557738315659</v>
      </c>
      <c r="I64" s="214">
        <f t="shared" si="46"/>
        <v>0</v>
      </c>
      <c r="J64" s="291">
        <v>67.73</v>
      </c>
      <c r="K64" s="122">
        <f t="shared" si="47"/>
        <v>65.020800000000008</v>
      </c>
      <c r="L64" s="122">
        <f t="shared" si="47"/>
        <v>62.419968000000004</v>
      </c>
      <c r="M64" s="122">
        <f t="shared" si="47"/>
        <v>59.923169280000003</v>
      </c>
      <c r="N64" s="122">
        <f t="shared" si="47"/>
        <v>57.526242508800003</v>
      </c>
      <c r="O64" s="122">
        <f t="shared" si="47"/>
        <v>55.225192808448</v>
      </c>
      <c r="P64" s="122">
        <f t="shared" si="47"/>
        <v>53.016185096110078</v>
      </c>
      <c r="Q64" s="122">
        <f t="shared" si="48"/>
        <v>50.89553769226567</v>
      </c>
      <c r="R64" s="122">
        <f t="shared" si="48"/>
        <v>48.859716184575042</v>
      </c>
      <c r="S64" s="122">
        <f t="shared" si="48"/>
        <v>46.905327537192036</v>
      </c>
      <c r="T64" s="122">
        <f t="shared" si="48"/>
        <v>45.029114435704351</v>
      </c>
      <c r="U64" s="122">
        <f t="shared" si="48"/>
        <v>43.227949858276176</v>
      </c>
      <c r="V64" s="122">
        <f t="shared" si="48"/>
        <v>41.498831863945128</v>
      </c>
      <c r="W64" s="122">
        <f t="shared" si="48"/>
        <v>39.838878589387321</v>
      </c>
      <c r="X64" s="122">
        <f t="shared" si="48"/>
        <v>38.245323445811827</v>
      </c>
      <c r="Y64" s="122">
        <f t="shared" si="48"/>
        <v>36.715510507979353</v>
      </c>
      <c r="Z64" s="122">
        <f t="shared" si="48"/>
        <v>35.246890087660177</v>
      </c>
    </row>
    <row r="65" spans="1:26" ht="18.5" x14ac:dyDescent="0.45">
      <c r="A65" s="107" t="s">
        <v>148</v>
      </c>
      <c r="B65" s="120">
        <v>1</v>
      </c>
      <c r="C65" s="118">
        <v>10005</v>
      </c>
      <c r="D65" s="120"/>
      <c r="E65" s="118">
        <v>10005</v>
      </c>
      <c r="F65" s="121">
        <v>0.16907</v>
      </c>
      <c r="G65" s="285">
        <f>F65*1500*8760/1000</f>
        <v>2221.5798</v>
      </c>
      <c r="H65" s="122">
        <v>63.722290844711253</v>
      </c>
      <c r="I65" s="214">
        <f t="shared" si="46"/>
        <v>2038523.8197648306</v>
      </c>
      <c r="J65" s="291">
        <v>57.93</v>
      </c>
      <c r="K65" s="122">
        <f t="shared" si="47"/>
        <v>55.6128</v>
      </c>
      <c r="L65" s="122">
        <f t="shared" si="47"/>
        <v>53.388287999999996</v>
      </c>
      <c r="M65" s="122">
        <f t="shared" si="47"/>
        <v>51.252756479999995</v>
      </c>
      <c r="N65" s="122">
        <f t="shared" si="47"/>
        <v>49.202646220799991</v>
      </c>
      <c r="O65" s="122">
        <f t="shared" si="47"/>
        <v>47.234540371967988</v>
      </c>
      <c r="P65" s="122">
        <f t="shared" si="47"/>
        <v>45.345158757089266</v>
      </c>
      <c r="Q65" s="122">
        <f t="shared" si="48"/>
        <v>43.531352406805695</v>
      </c>
      <c r="R65" s="122">
        <f t="shared" si="48"/>
        <v>41.790098310533466</v>
      </c>
      <c r="S65" s="122">
        <f t="shared" si="48"/>
        <v>40.118494378112125</v>
      </c>
      <c r="T65" s="122">
        <f t="shared" si="48"/>
        <v>38.513754602987639</v>
      </c>
      <c r="U65" s="122">
        <f t="shared" si="48"/>
        <v>36.973204418868129</v>
      </c>
      <c r="V65" s="122">
        <f t="shared" si="48"/>
        <v>35.494276242113401</v>
      </c>
      <c r="W65" s="122">
        <f t="shared" si="48"/>
        <v>34.074505192428866</v>
      </c>
      <c r="X65" s="122">
        <f t="shared" si="48"/>
        <v>32.71152498473171</v>
      </c>
      <c r="Y65" s="122">
        <f t="shared" si="48"/>
        <v>31.403063985342442</v>
      </c>
      <c r="Z65" s="122">
        <f t="shared" si="48"/>
        <v>30.146941425928745</v>
      </c>
    </row>
    <row r="66" spans="1:26" ht="18.5" x14ac:dyDescent="0.45">
      <c r="A66" s="107" t="s">
        <v>149</v>
      </c>
      <c r="B66" s="120">
        <v>0</v>
      </c>
      <c r="C66" s="118">
        <v>0</v>
      </c>
      <c r="D66" s="120"/>
      <c r="E66" s="118">
        <v>0</v>
      </c>
      <c r="F66" s="121">
        <v>0.16907</v>
      </c>
      <c r="G66" s="285">
        <f t="shared" si="45"/>
        <v>0</v>
      </c>
      <c r="H66" s="122">
        <v>49.328241998484785</v>
      </c>
      <c r="I66" s="214">
        <f t="shared" si="46"/>
        <v>0</v>
      </c>
      <c r="J66" s="291">
        <v>41.94</v>
      </c>
      <c r="K66" s="122">
        <f t="shared" si="47"/>
        <v>40.2624</v>
      </c>
      <c r="L66" s="122">
        <f t="shared" si="47"/>
        <v>38.651903999999995</v>
      </c>
      <c r="M66" s="122">
        <f t="shared" si="47"/>
        <v>37.105827839999996</v>
      </c>
      <c r="N66" s="122">
        <f t="shared" si="47"/>
        <v>35.621594726399998</v>
      </c>
      <c r="O66" s="122">
        <f t="shared" si="47"/>
        <v>34.196730937344</v>
      </c>
      <c r="P66" s="122">
        <f t="shared" si="47"/>
        <v>32.828861699850236</v>
      </c>
      <c r="Q66" s="122">
        <f t="shared" si="48"/>
        <v>31.515707231856226</v>
      </c>
      <c r="R66" s="122">
        <f t="shared" si="48"/>
        <v>30.255078942581974</v>
      </c>
      <c r="S66" s="122">
        <f t="shared" si="48"/>
        <v>29.044875784878695</v>
      </c>
      <c r="T66" s="122">
        <f t="shared" si="48"/>
        <v>27.883080753483547</v>
      </c>
      <c r="U66" s="122">
        <f t="shared" si="48"/>
        <v>26.767757523344205</v>
      </c>
      <c r="V66" s="122">
        <f t="shared" si="48"/>
        <v>25.697047222410436</v>
      </c>
      <c r="W66" s="122">
        <f t="shared" si="48"/>
        <v>24.66916533351402</v>
      </c>
      <c r="X66" s="122">
        <f t="shared" si="48"/>
        <v>23.68239872017346</v>
      </c>
      <c r="Y66" s="122">
        <f t="shared" si="48"/>
        <v>22.73510277136652</v>
      </c>
      <c r="Z66" s="122">
        <f t="shared" si="48"/>
        <v>21.825698660511858</v>
      </c>
    </row>
    <row r="67" spans="1:26" ht="18.5" x14ac:dyDescent="0.45">
      <c r="A67" s="116" t="s">
        <v>157</v>
      </c>
      <c r="B67" s="120">
        <v>0.7</v>
      </c>
      <c r="C67" s="118">
        <f>C58*0.7</f>
        <v>18676</v>
      </c>
      <c r="D67" s="120">
        <v>0.7</v>
      </c>
      <c r="E67" s="118">
        <f>E58*0.7</f>
        <v>22400</v>
      </c>
      <c r="F67" s="121">
        <v>0.16907</v>
      </c>
      <c r="G67" s="285"/>
      <c r="H67" s="123"/>
      <c r="I67" s="214">
        <f>H67*G67*15.96</f>
        <v>0</v>
      </c>
      <c r="J67" s="292"/>
      <c r="K67" s="123"/>
      <c r="L67" s="123"/>
      <c r="M67" s="123"/>
      <c r="N67" s="123"/>
      <c r="O67" s="123"/>
      <c r="P67" s="123"/>
      <c r="Q67" s="123"/>
      <c r="R67" s="123"/>
      <c r="S67" s="123"/>
      <c r="T67" s="123"/>
      <c r="U67" s="123"/>
      <c r="V67" s="123"/>
      <c r="W67" s="123"/>
      <c r="X67" s="123"/>
      <c r="Y67" s="123"/>
      <c r="Z67" s="123"/>
    </row>
    <row r="68" spans="1:26" ht="18.5" x14ac:dyDescent="0.45">
      <c r="A68" s="107" t="s">
        <v>133</v>
      </c>
      <c r="B68" s="120">
        <v>0</v>
      </c>
      <c r="C68" s="118">
        <v>0</v>
      </c>
      <c r="D68" s="120"/>
      <c r="E68" s="118">
        <v>0</v>
      </c>
      <c r="F68" s="121">
        <v>0.16907</v>
      </c>
      <c r="G68" s="285">
        <f t="shared" ref="G68:G74" si="49">F68*E68*8760/1000</f>
        <v>0</v>
      </c>
      <c r="H68" s="122"/>
      <c r="I68" s="214">
        <f t="shared" ref="I68:I74" si="50">H68*G68*15*0.96</f>
        <v>0</v>
      </c>
      <c r="J68" s="291">
        <v>0</v>
      </c>
      <c r="K68" s="122">
        <f t="shared" ref="K68:P74" si="51">J68*0.96</f>
        <v>0</v>
      </c>
      <c r="L68" s="122">
        <f t="shared" si="51"/>
        <v>0</v>
      </c>
      <c r="M68" s="122">
        <f t="shared" si="51"/>
        <v>0</v>
      </c>
      <c r="N68" s="122">
        <f t="shared" si="51"/>
        <v>0</v>
      </c>
      <c r="O68" s="122">
        <f t="shared" si="51"/>
        <v>0</v>
      </c>
      <c r="P68" s="122">
        <f t="shared" si="51"/>
        <v>0</v>
      </c>
      <c r="Q68" s="122">
        <f t="shared" ref="Q68:Z74" si="52">P68*$B$93</f>
        <v>0</v>
      </c>
      <c r="R68" s="122">
        <f t="shared" si="52"/>
        <v>0</v>
      </c>
      <c r="S68" s="122">
        <f t="shared" si="52"/>
        <v>0</v>
      </c>
      <c r="T68" s="122">
        <f t="shared" si="52"/>
        <v>0</v>
      </c>
      <c r="U68" s="122">
        <f t="shared" si="52"/>
        <v>0</v>
      </c>
      <c r="V68" s="122">
        <f t="shared" si="52"/>
        <v>0</v>
      </c>
      <c r="W68" s="122">
        <f t="shared" si="52"/>
        <v>0</v>
      </c>
      <c r="X68" s="122">
        <f t="shared" si="52"/>
        <v>0</v>
      </c>
      <c r="Y68" s="122">
        <f t="shared" si="52"/>
        <v>0</v>
      </c>
      <c r="Z68" s="122">
        <f t="shared" si="52"/>
        <v>0</v>
      </c>
    </row>
    <row r="69" spans="1:26" ht="18.5" x14ac:dyDescent="0.45">
      <c r="A69" s="107" t="s">
        <v>134</v>
      </c>
      <c r="B69" s="120">
        <v>0</v>
      </c>
      <c r="C69" s="118">
        <v>0</v>
      </c>
      <c r="D69" s="120"/>
      <c r="E69" s="118">
        <v>0</v>
      </c>
      <c r="F69" s="121">
        <v>0.16907</v>
      </c>
      <c r="G69" s="285">
        <f t="shared" si="49"/>
        <v>0</v>
      </c>
      <c r="H69" s="122">
        <v>82.366373483428873</v>
      </c>
      <c r="I69" s="214">
        <f t="shared" si="50"/>
        <v>0</v>
      </c>
      <c r="J69" s="291">
        <v>86.71</v>
      </c>
      <c r="K69" s="122">
        <f t="shared" si="51"/>
        <v>83.241599999999991</v>
      </c>
      <c r="L69" s="122">
        <f t="shared" si="51"/>
        <v>79.911935999999983</v>
      </c>
      <c r="M69" s="122">
        <f t="shared" si="51"/>
        <v>76.715458559999988</v>
      </c>
      <c r="N69" s="122">
        <f t="shared" si="51"/>
        <v>73.646840217599987</v>
      </c>
      <c r="O69" s="122">
        <f t="shared" si="51"/>
        <v>70.700966608895982</v>
      </c>
      <c r="P69" s="122">
        <f t="shared" si="51"/>
        <v>67.872927944540137</v>
      </c>
      <c r="Q69" s="122">
        <f t="shared" si="52"/>
        <v>65.158010826758527</v>
      </c>
      <c r="R69" s="122">
        <f t="shared" si="52"/>
        <v>62.551690393688183</v>
      </c>
      <c r="S69" s="122">
        <f t="shared" si="52"/>
        <v>60.049622777940655</v>
      </c>
      <c r="T69" s="122">
        <f t="shared" si="52"/>
        <v>57.647637866823025</v>
      </c>
      <c r="U69" s="122">
        <f t="shared" si="52"/>
        <v>55.341732352150103</v>
      </c>
      <c r="V69" s="122">
        <f t="shared" si="52"/>
        <v>53.1280630580641</v>
      </c>
      <c r="W69" s="122">
        <f t="shared" si="52"/>
        <v>51.002940535741537</v>
      </c>
      <c r="X69" s="122">
        <f t="shared" si="52"/>
        <v>48.962822914311872</v>
      </c>
      <c r="Y69" s="122">
        <f t="shared" si="52"/>
        <v>47.004309997739398</v>
      </c>
      <c r="Z69" s="122">
        <f t="shared" si="52"/>
        <v>45.124137597829822</v>
      </c>
    </row>
    <row r="70" spans="1:26" ht="18.5" x14ac:dyDescent="0.45">
      <c r="A70" s="107" t="s">
        <v>145</v>
      </c>
      <c r="B70" s="120">
        <v>0</v>
      </c>
      <c r="C70" s="118">
        <v>0</v>
      </c>
      <c r="D70" s="120"/>
      <c r="E70" s="118">
        <v>0</v>
      </c>
      <c r="F70" s="121">
        <v>0.16907</v>
      </c>
      <c r="G70" s="285">
        <f t="shared" si="49"/>
        <v>0</v>
      </c>
      <c r="H70" s="122">
        <v>93.60931583412021</v>
      </c>
      <c r="I70" s="214">
        <f t="shared" si="50"/>
        <v>0</v>
      </c>
      <c r="J70" s="291">
        <v>88.44</v>
      </c>
      <c r="K70" s="122">
        <f t="shared" si="51"/>
        <v>84.9024</v>
      </c>
      <c r="L70" s="122">
        <f t="shared" si="51"/>
        <v>81.506304</v>
      </c>
      <c r="M70" s="122">
        <f t="shared" si="51"/>
        <v>78.246051839999993</v>
      </c>
      <c r="N70" s="122">
        <f t="shared" si="51"/>
        <v>75.11620976639999</v>
      </c>
      <c r="O70" s="122">
        <f t="shared" si="51"/>
        <v>72.111561375743989</v>
      </c>
      <c r="P70" s="122">
        <f t="shared" si="51"/>
        <v>69.227098920714226</v>
      </c>
      <c r="Q70" s="122">
        <f t="shared" si="52"/>
        <v>66.45801496388566</v>
      </c>
      <c r="R70" s="122">
        <f t="shared" si="52"/>
        <v>63.799694365330232</v>
      </c>
      <c r="S70" s="122">
        <f t="shared" si="52"/>
        <v>61.247706590717023</v>
      </c>
      <c r="T70" s="122">
        <f t="shared" si="52"/>
        <v>58.797798327088337</v>
      </c>
      <c r="U70" s="122">
        <f t="shared" si="52"/>
        <v>56.445886394004802</v>
      </c>
      <c r="V70" s="122">
        <f t="shared" si="52"/>
        <v>54.188050938244608</v>
      </c>
      <c r="W70" s="122">
        <f t="shared" si="52"/>
        <v>52.020528900714822</v>
      </c>
      <c r="X70" s="122">
        <f t="shared" si="52"/>
        <v>49.939707744686231</v>
      </c>
      <c r="Y70" s="122">
        <f t="shared" si="52"/>
        <v>47.942119434898778</v>
      </c>
      <c r="Z70" s="122">
        <f t="shared" si="52"/>
        <v>46.024434657502823</v>
      </c>
    </row>
    <row r="71" spans="1:26" ht="18.5" x14ac:dyDescent="0.45">
      <c r="A71" s="107" t="s">
        <v>140</v>
      </c>
      <c r="B71" s="120">
        <v>0</v>
      </c>
      <c r="C71" s="118">
        <v>0</v>
      </c>
      <c r="D71" s="120"/>
      <c r="E71" s="118">
        <v>0</v>
      </c>
      <c r="F71" s="121">
        <v>0.16907</v>
      </c>
      <c r="G71" s="285">
        <f t="shared" si="49"/>
        <v>0</v>
      </c>
      <c r="H71" s="122">
        <v>95.124862440548199</v>
      </c>
      <c r="I71" s="214">
        <f t="shared" si="50"/>
        <v>0</v>
      </c>
      <c r="J71" s="291">
        <v>85.41</v>
      </c>
      <c r="K71" s="122">
        <f t="shared" si="51"/>
        <v>81.993600000000001</v>
      </c>
      <c r="L71" s="122">
        <f t="shared" si="51"/>
        <v>78.713855999999993</v>
      </c>
      <c r="M71" s="122">
        <f t="shared" si="51"/>
        <v>75.565301759999997</v>
      </c>
      <c r="N71" s="122">
        <f t="shared" si="51"/>
        <v>72.542689689599996</v>
      </c>
      <c r="O71" s="122">
        <f t="shared" si="51"/>
        <v>69.640982102015997</v>
      </c>
      <c r="P71" s="122">
        <f t="shared" si="51"/>
        <v>66.855342817935352</v>
      </c>
      <c r="Q71" s="122">
        <f t="shared" si="52"/>
        <v>64.181129105217934</v>
      </c>
      <c r="R71" s="122">
        <f t="shared" si="52"/>
        <v>61.613883941009213</v>
      </c>
      <c r="S71" s="122">
        <f t="shared" si="52"/>
        <v>59.149328583368842</v>
      </c>
      <c r="T71" s="122">
        <f t="shared" si="52"/>
        <v>56.783355440034086</v>
      </c>
      <c r="U71" s="122">
        <f t="shared" si="52"/>
        <v>54.512021222432722</v>
      </c>
      <c r="V71" s="122">
        <f t="shared" si="52"/>
        <v>52.331540373535411</v>
      </c>
      <c r="W71" s="122">
        <f t="shared" si="52"/>
        <v>50.238278758593992</v>
      </c>
      <c r="X71" s="122">
        <f t="shared" si="52"/>
        <v>48.228747608250231</v>
      </c>
      <c r="Y71" s="122">
        <f t="shared" si="52"/>
        <v>46.29959770392022</v>
      </c>
      <c r="Z71" s="122">
        <f t="shared" si="52"/>
        <v>44.447613795763409</v>
      </c>
    </row>
    <row r="72" spans="1:26" ht="18.5" x14ac:dyDescent="0.45">
      <c r="A72" s="107" t="s">
        <v>141</v>
      </c>
      <c r="B72" s="120">
        <v>0</v>
      </c>
      <c r="C72" s="118">
        <v>0</v>
      </c>
      <c r="D72" s="120"/>
      <c r="E72" s="118">
        <v>0</v>
      </c>
      <c r="F72" s="121">
        <v>0.16907</v>
      </c>
      <c r="G72" s="285">
        <f t="shared" si="49"/>
        <v>0</v>
      </c>
      <c r="H72" s="122">
        <v>84.098168080061313</v>
      </c>
      <c r="I72" s="214">
        <f t="shared" si="50"/>
        <v>0</v>
      </c>
      <c r="J72" s="291">
        <v>78.8</v>
      </c>
      <c r="K72" s="122">
        <f t="shared" si="51"/>
        <v>75.647999999999996</v>
      </c>
      <c r="L72" s="122">
        <f t="shared" si="51"/>
        <v>72.622079999999997</v>
      </c>
      <c r="M72" s="122">
        <f t="shared" si="51"/>
        <v>69.717196799999996</v>
      </c>
      <c r="N72" s="122">
        <f t="shared" si="51"/>
        <v>66.928508927999999</v>
      </c>
      <c r="O72" s="122">
        <f t="shared" si="51"/>
        <v>64.251368570880004</v>
      </c>
      <c r="P72" s="122">
        <f t="shared" si="51"/>
        <v>61.6813138280448</v>
      </c>
      <c r="Q72" s="122">
        <f t="shared" si="52"/>
        <v>59.214061274923004</v>
      </c>
      <c r="R72" s="122">
        <f t="shared" si="52"/>
        <v>56.845498823926086</v>
      </c>
      <c r="S72" s="122">
        <f t="shared" si="52"/>
        <v>54.571678870969038</v>
      </c>
      <c r="T72" s="122">
        <f t="shared" si="52"/>
        <v>52.388811716130277</v>
      </c>
      <c r="U72" s="122">
        <f t="shared" si="52"/>
        <v>50.293259247485061</v>
      </c>
      <c r="V72" s="122">
        <f t="shared" si="52"/>
        <v>48.281528877585657</v>
      </c>
      <c r="W72" s="122">
        <f t="shared" si="52"/>
        <v>46.350267722482229</v>
      </c>
      <c r="X72" s="122">
        <f t="shared" si="52"/>
        <v>44.496257013582941</v>
      </c>
      <c r="Y72" s="122">
        <f t="shared" si="52"/>
        <v>42.716406733039619</v>
      </c>
      <c r="Z72" s="122">
        <f t="shared" si="52"/>
        <v>41.007750463718033</v>
      </c>
    </row>
    <row r="73" spans="1:26" ht="18.5" x14ac:dyDescent="0.45">
      <c r="A73" s="107" t="s">
        <v>148</v>
      </c>
      <c r="B73" s="120">
        <v>1</v>
      </c>
      <c r="C73" s="118">
        <v>23345</v>
      </c>
      <c r="D73" s="120"/>
      <c r="E73" s="118">
        <v>23345</v>
      </c>
      <c r="F73" s="121">
        <v>0.16907</v>
      </c>
      <c r="G73" s="285">
        <f>F73*17700*8760/1000</f>
        <v>26214.641639999998</v>
      </c>
      <c r="H73" s="122">
        <v>71.799662172322627</v>
      </c>
      <c r="I73" s="214">
        <f t="shared" si="50"/>
        <v>27103714.757575221</v>
      </c>
      <c r="J73" s="291">
        <v>66.03</v>
      </c>
      <c r="K73" s="122">
        <f t="shared" si="51"/>
        <v>63.388799999999996</v>
      </c>
      <c r="L73" s="122">
        <f t="shared" si="51"/>
        <v>60.853247999999994</v>
      </c>
      <c r="M73" s="122">
        <f t="shared" si="51"/>
        <v>58.41911807999999</v>
      </c>
      <c r="N73" s="122">
        <f t="shared" si="51"/>
        <v>56.082353356799992</v>
      </c>
      <c r="O73" s="122">
        <f t="shared" si="51"/>
        <v>53.839059222527993</v>
      </c>
      <c r="P73" s="122">
        <f t="shared" si="51"/>
        <v>51.685496853626873</v>
      </c>
      <c r="Q73" s="122">
        <f t="shared" si="52"/>
        <v>49.618076979481799</v>
      </c>
      <c r="R73" s="122">
        <f t="shared" si="52"/>
        <v>47.633353900302524</v>
      </c>
      <c r="S73" s="122">
        <f t="shared" si="52"/>
        <v>45.728019744290421</v>
      </c>
      <c r="T73" s="122">
        <f t="shared" si="52"/>
        <v>43.898898954518799</v>
      </c>
      <c r="U73" s="122">
        <f t="shared" si="52"/>
        <v>42.142942996338043</v>
      </c>
      <c r="V73" s="122">
        <f t="shared" si="52"/>
        <v>40.457225276484522</v>
      </c>
      <c r="W73" s="122">
        <f t="shared" si="52"/>
        <v>38.83893626542514</v>
      </c>
      <c r="X73" s="122">
        <f t="shared" si="52"/>
        <v>37.285378814808134</v>
      </c>
      <c r="Y73" s="122">
        <f t="shared" si="52"/>
        <v>35.793963662215809</v>
      </c>
      <c r="Z73" s="122">
        <f t="shared" si="52"/>
        <v>34.362205115727178</v>
      </c>
    </row>
    <row r="74" spans="1:26" ht="18.5" x14ac:dyDescent="0.45">
      <c r="A74" s="107" t="s">
        <v>149</v>
      </c>
      <c r="B74" s="120">
        <v>0</v>
      </c>
      <c r="C74" s="118">
        <v>0</v>
      </c>
      <c r="D74" s="120"/>
      <c r="E74" s="118">
        <v>0</v>
      </c>
      <c r="F74" s="121">
        <v>0.16907</v>
      </c>
      <c r="G74" s="285">
        <f t="shared" si="49"/>
        <v>0</v>
      </c>
      <c r="H74" s="122">
        <v>53.313352637016976</v>
      </c>
      <c r="I74" s="214">
        <f t="shared" si="50"/>
        <v>0</v>
      </c>
      <c r="J74" s="291">
        <v>47.66</v>
      </c>
      <c r="K74" s="122">
        <f t="shared" si="51"/>
        <v>45.753599999999992</v>
      </c>
      <c r="L74" s="122">
        <f t="shared" si="51"/>
        <v>43.923455999999987</v>
      </c>
      <c r="M74" s="122">
        <f t="shared" si="51"/>
        <v>42.166517759999984</v>
      </c>
      <c r="N74" s="122">
        <f t="shared" si="51"/>
        <v>40.479857049599985</v>
      </c>
      <c r="O74" s="122">
        <f t="shared" si="51"/>
        <v>38.860662767615985</v>
      </c>
      <c r="P74" s="122">
        <f t="shared" si="51"/>
        <v>37.30623625691134</v>
      </c>
      <c r="Q74" s="122">
        <f t="shared" si="52"/>
        <v>35.813986806634887</v>
      </c>
      <c r="R74" s="122">
        <f t="shared" si="52"/>
        <v>34.381427334369491</v>
      </c>
      <c r="S74" s="122">
        <f t="shared" si="52"/>
        <v>33.006170240994713</v>
      </c>
      <c r="T74" s="122">
        <f t="shared" si="52"/>
        <v>31.685923431354922</v>
      </c>
      <c r="U74" s="122">
        <f t="shared" si="52"/>
        <v>30.418486494100723</v>
      </c>
      <c r="V74" s="122">
        <f t="shared" si="52"/>
        <v>29.201747034336691</v>
      </c>
      <c r="W74" s="122">
        <f t="shared" si="52"/>
        <v>28.033677152963222</v>
      </c>
      <c r="X74" s="122">
        <f t="shared" si="52"/>
        <v>26.912330066844692</v>
      </c>
      <c r="Y74" s="122">
        <f t="shared" si="52"/>
        <v>25.835836864170904</v>
      </c>
      <c r="Z74" s="122">
        <f t="shared" si="52"/>
        <v>24.802403389604066</v>
      </c>
    </row>
    <row r="75" spans="1:26" ht="18.5" x14ac:dyDescent="0.45">
      <c r="A75" s="127" t="s">
        <v>158</v>
      </c>
      <c r="B75" s="113">
        <v>0.2</v>
      </c>
      <c r="C75" s="114">
        <f>B4*B75</f>
        <v>133400</v>
      </c>
      <c r="D75" s="113">
        <v>0.2</v>
      </c>
      <c r="E75" s="114">
        <f>D4*D75</f>
        <v>160000</v>
      </c>
      <c r="F75" s="111"/>
      <c r="G75" s="287"/>
      <c r="H75" s="111"/>
      <c r="I75" s="216">
        <f>SUM(I77:I87)</f>
        <v>73222389.534390002</v>
      </c>
      <c r="J75" s="289"/>
      <c r="K75" s="111"/>
      <c r="L75" s="111"/>
      <c r="M75" s="111"/>
      <c r="N75" s="111"/>
      <c r="O75" s="111"/>
      <c r="P75" s="111"/>
      <c r="Q75" s="111"/>
      <c r="R75" s="111"/>
      <c r="S75" s="111"/>
      <c r="T75" s="111"/>
      <c r="U75" s="111"/>
      <c r="V75" s="111"/>
      <c r="W75" s="111"/>
      <c r="X75" s="111"/>
      <c r="Y75" s="111"/>
      <c r="Z75" s="111"/>
    </row>
    <row r="76" spans="1:26" ht="18.5" x14ac:dyDescent="0.45">
      <c r="A76" s="116" t="s">
        <v>159</v>
      </c>
      <c r="B76" s="117"/>
      <c r="C76" s="118">
        <f>C75*0.3</f>
        <v>40020</v>
      </c>
      <c r="D76" s="117"/>
      <c r="E76" s="118">
        <f>E75*0.3</f>
        <v>48000</v>
      </c>
      <c r="F76" s="118"/>
      <c r="G76" s="286">
        <v>5000</v>
      </c>
      <c r="H76" s="123"/>
      <c r="I76" s="212"/>
      <c r="J76" s="292"/>
      <c r="K76" s="123"/>
      <c r="L76" s="123"/>
      <c r="M76" s="123"/>
      <c r="N76" s="123"/>
      <c r="O76" s="123"/>
      <c r="P76" s="123"/>
      <c r="Q76" s="123"/>
      <c r="R76" s="123"/>
      <c r="S76" s="123"/>
      <c r="T76" s="123"/>
      <c r="U76" s="123"/>
      <c r="V76" s="123"/>
      <c r="W76" s="123"/>
      <c r="X76" s="123"/>
      <c r="Y76" s="123"/>
      <c r="Z76" s="123"/>
    </row>
    <row r="77" spans="1:26" ht="18.5" x14ac:dyDescent="0.45">
      <c r="A77" s="107" t="s">
        <v>139</v>
      </c>
      <c r="B77" s="120">
        <v>8.2589858081657974E-2</v>
      </c>
      <c r="C77" s="118">
        <f>$C$76*B77</f>
        <v>3305.2461204279521</v>
      </c>
      <c r="D77" s="120">
        <v>8.2589858081657974E-2</v>
      </c>
      <c r="E77" s="118">
        <f>$E$76*D77</f>
        <v>3964.3131879195826</v>
      </c>
      <c r="F77" s="121">
        <v>0.15196999999999999</v>
      </c>
      <c r="G77" s="285">
        <f>F77*D77*$G$76*8760/1000</f>
        <v>549.74171609092696</v>
      </c>
      <c r="H77" s="122">
        <f>H15</f>
        <v>59.27799510161713</v>
      </c>
      <c r="I77" s="214">
        <f>H77*G77*15*0.96</f>
        <v>469261.24925173289</v>
      </c>
      <c r="J77" s="291">
        <f>J15</f>
        <v>55.89</v>
      </c>
      <c r="K77" s="122">
        <f>J77*$B$93</f>
        <v>53.654399999999995</v>
      </c>
      <c r="L77" s="122">
        <f t="shared" ref="K77:Z81" si="53">K77*$B$93</f>
        <v>51.508223999999991</v>
      </c>
      <c r="M77" s="122">
        <f t="shared" si="53"/>
        <v>49.447895039999992</v>
      </c>
      <c r="N77" s="122">
        <f t="shared" si="53"/>
        <v>47.469979238399993</v>
      </c>
      <c r="O77" s="122">
        <f t="shared" si="53"/>
        <v>45.571180068863995</v>
      </c>
      <c r="P77" s="122">
        <f t="shared" si="53"/>
        <v>43.748332866109436</v>
      </c>
      <c r="Q77" s="122">
        <f t="shared" si="53"/>
        <v>41.998399551465056</v>
      </c>
      <c r="R77" s="122">
        <f t="shared" si="53"/>
        <v>40.318463569406454</v>
      </c>
      <c r="S77" s="122">
        <f t="shared" si="53"/>
        <v>38.705725026630198</v>
      </c>
      <c r="T77" s="122">
        <f t="shared" si="53"/>
        <v>37.157496025564988</v>
      </c>
      <c r="U77" s="122">
        <f t="shared" si="53"/>
        <v>35.671196184542389</v>
      </c>
      <c r="V77" s="122">
        <f t="shared" si="53"/>
        <v>34.244348337160694</v>
      </c>
      <c r="W77" s="122">
        <f t="shared" si="53"/>
        <v>32.874574403674266</v>
      </c>
      <c r="X77" s="122">
        <f t="shared" si="53"/>
        <v>31.559591427527295</v>
      </c>
      <c r="Y77" s="122">
        <f t="shared" si="53"/>
        <v>30.297207770426201</v>
      </c>
      <c r="Z77" s="122">
        <f t="shared" si="53"/>
        <v>29.085319459609153</v>
      </c>
    </row>
    <row r="78" spans="1:26" ht="18.5" x14ac:dyDescent="0.45">
      <c r="A78" s="107" t="s">
        <v>140</v>
      </c>
      <c r="B78" s="120">
        <v>6.3796727298494463E-2</v>
      </c>
      <c r="C78" s="118">
        <f>$C$76*B78</f>
        <v>2553.1450264857485</v>
      </c>
      <c r="D78" s="120">
        <v>6.3796727298494463E-2</v>
      </c>
      <c r="E78" s="118">
        <f>$E$76*D78</f>
        <v>3062.2429103277341</v>
      </c>
      <c r="F78" s="121">
        <v>0.14819000000000002</v>
      </c>
      <c r="G78" s="285">
        <f t="shared" ref="G78:G81" si="54">F78*D78*$G$76*8760/1000</f>
        <v>414.08682140433865</v>
      </c>
      <c r="H78" s="122">
        <f>H16</f>
        <v>60.436049575549703</v>
      </c>
      <c r="I78" s="214">
        <f>H78*G78*15*0.96</f>
        <v>360371.11200443143</v>
      </c>
      <c r="J78" s="291">
        <f t="shared" ref="J78:J81" si="55">J16</f>
        <v>53.63</v>
      </c>
      <c r="K78" s="122">
        <f t="shared" si="53"/>
        <v>51.4848</v>
      </c>
      <c r="L78" s="122">
        <f t="shared" si="53"/>
        <v>49.425407999999997</v>
      </c>
      <c r="M78" s="122">
        <f t="shared" si="53"/>
        <v>47.448391679999993</v>
      </c>
      <c r="N78" s="122">
        <f t="shared" si="53"/>
        <v>45.550456012799991</v>
      </c>
      <c r="O78" s="122">
        <f t="shared" si="53"/>
        <v>43.72843777228799</v>
      </c>
      <c r="P78" s="122">
        <f t="shared" si="53"/>
        <v>41.979300261396467</v>
      </c>
      <c r="Q78" s="122">
        <f t="shared" si="53"/>
        <v>40.30012825094061</v>
      </c>
      <c r="R78" s="122">
        <f t="shared" si="53"/>
        <v>38.688123120902986</v>
      </c>
      <c r="S78" s="122">
        <f t="shared" si="53"/>
        <v>37.140598196066868</v>
      </c>
      <c r="T78" s="122">
        <f t="shared" si="53"/>
        <v>35.654974268224194</v>
      </c>
      <c r="U78" s="122">
        <f t="shared" si="53"/>
        <v>34.228775297495226</v>
      </c>
      <c r="V78" s="122">
        <f t="shared" si="53"/>
        <v>32.859624285595416</v>
      </c>
      <c r="W78" s="122">
        <f t="shared" si="53"/>
        <v>31.545239314171599</v>
      </c>
      <c r="X78" s="122">
        <f t="shared" si="53"/>
        <v>30.283429741604735</v>
      </c>
      <c r="Y78" s="122">
        <f t="shared" si="53"/>
        <v>29.072092551940543</v>
      </c>
      <c r="Z78" s="122">
        <f t="shared" si="53"/>
        <v>27.909208849862921</v>
      </c>
    </row>
    <row r="79" spans="1:26" ht="18.5" x14ac:dyDescent="0.45">
      <c r="A79" s="107" t="s">
        <v>141</v>
      </c>
      <c r="B79" s="120">
        <v>0.14809231752718796</v>
      </c>
      <c r="C79" s="118">
        <f>$C$76*B79</f>
        <v>5926.6545474380619</v>
      </c>
      <c r="D79" s="120">
        <v>0.14809231752718796</v>
      </c>
      <c r="E79" s="118">
        <f>$E$76*D79</f>
        <v>7108.431241305022</v>
      </c>
      <c r="F79" s="121">
        <v>0.15303</v>
      </c>
      <c r="G79" s="285">
        <f t="shared" si="54"/>
        <v>992.62044998192823</v>
      </c>
      <c r="H79" s="122">
        <f>H17</f>
        <v>53.394693513735859</v>
      </c>
      <c r="I79" s="214">
        <f>H79*G79*15*0.96</f>
        <v>763209.57171242347</v>
      </c>
      <c r="J79" s="291">
        <f t="shared" si="55"/>
        <v>46.58</v>
      </c>
      <c r="K79" s="122">
        <f t="shared" si="53"/>
        <v>44.716799999999999</v>
      </c>
      <c r="L79" s="122">
        <f t="shared" si="53"/>
        <v>42.928128000000001</v>
      </c>
      <c r="M79" s="122">
        <f t="shared" si="53"/>
        <v>41.211002880000002</v>
      </c>
      <c r="N79" s="122">
        <f t="shared" si="53"/>
        <v>39.562562764799999</v>
      </c>
      <c r="O79" s="122">
        <f t="shared" si="53"/>
        <v>37.980060254207999</v>
      </c>
      <c r="P79" s="122">
        <f t="shared" si="53"/>
        <v>36.46085784403968</v>
      </c>
      <c r="Q79" s="122">
        <f t="shared" si="53"/>
        <v>35.002423530278094</v>
      </c>
      <c r="R79" s="122">
        <f t="shared" si="53"/>
        <v>33.602326589066969</v>
      </c>
      <c r="S79" s="122">
        <f t="shared" si="53"/>
        <v>32.258233525504288</v>
      </c>
      <c r="T79" s="122">
        <f t="shared" si="53"/>
        <v>30.967904184484116</v>
      </c>
      <c r="U79" s="122">
        <f t="shared" si="53"/>
        <v>29.72918801710475</v>
      </c>
      <c r="V79" s="122">
        <f t="shared" si="53"/>
        <v>28.54002049642056</v>
      </c>
      <c r="W79" s="122">
        <f t="shared" si="53"/>
        <v>27.398419676563737</v>
      </c>
      <c r="X79" s="122">
        <f t="shared" si="53"/>
        <v>26.302482889501185</v>
      </c>
      <c r="Y79" s="122">
        <f t="shared" si="53"/>
        <v>25.250383573921138</v>
      </c>
      <c r="Z79" s="122">
        <f t="shared" si="53"/>
        <v>24.24036823096429</v>
      </c>
    </row>
    <row r="80" spans="1:26" ht="18.5" x14ac:dyDescent="0.45">
      <c r="A80" s="107" t="s">
        <v>142</v>
      </c>
      <c r="B80" s="120">
        <v>0.7055190579627767</v>
      </c>
      <c r="C80" s="118">
        <f>$C$76*B80</f>
        <v>28234.872699670323</v>
      </c>
      <c r="D80" s="120">
        <v>0.7055190579627767</v>
      </c>
      <c r="E80" s="118">
        <f>$E$76*D80</f>
        <v>33864.91478221328</v>
      </c>
      <c r="F80" s="121">
        <v>0.14410999999999999</v>
      </c>
      <c r="G80" s="285">
        <f t="shared" si="54"/>
        <v>4453.2489932040899</v>
      </c>
      <c r="H80" s="122">
        <f>H18</f>
        <v>50.013495974809175</v>
      </c>
      <c r="I80" s="214">
        <f>H80*G80*15*0.96</f>
        <v>3207204.7285886751</v>
      </c>
      <c r="J80" s="291">
        <f t="shared" si="55"/>
        <v>43.77</v>
      </c>
      <c r="K80" s="122">
        <f t="shared" si="53"/>
        <v>42.019200000000005</v>
      </c>
      <c r="L80" s="122">
        <f t="shared" si="53"/>
        <v>40.338432000000005</v>
      </c>
      <c r="M80" s="122">
        <f t="shared" si="53"/>
        <v>38.724894720000002</v>
      </c>
      <c r="N80" s="122">
        <f t="shared" si="53"/>
        <v>37.175898931200003</v>
      </c>
      <c r="O80" s="122">
        <f t="shared" si="53"/>
        <v>35.688862973951998</v>
      </c>
      <c r="P80" s="122">
        <f t="shared" si="53"/>
        <v>34.261308454993916</v>
      </c>
      <c r="Q80" s="122">
        <f t="shared" si="53"/>
        <v>32.890856116794161</v>
      </c>
      <c r="R80" s="122">
        <f t="shared" si="53"/>
        <v>31.575221872122395</v>
      </c>
      <c r="S80" s="122">
        <f t="shared" si="53"/>
        <v>30.312212997237499</v>
      </c>
      <c r="T80" s="122">
        <f t="shared" si="53"/>
        <v>29.099724477347998</v>
      </c>
      <c r="U80" s="122">
        <f t="shared" si="53"/>
        <v>27.935735498254076</v>
      </c>
      <c r="V80" s="122">
        <f t="shared" si="53"/>
        <v>26.818306078323911</v>
      </c>
      <c r="W80" s="122">
        <f t="shared" si="53"/>
        <v>25.745573835190953</v>
      </c>
      <c r="X80" s="122">
        <f t="shared" si="53"/>
        <v>24.715750881783315</v>
      </c>
      <c r="Y80" s="122">
        <f t="shared" si="53"/>
        <v>23.72712084651198</v>
      </c>
      <c r="Z80" s="122">
        <f t="shared" si="53"/>
        <v>22.778036012651501</v>
      </c>
    </row>
    <row r="81" spans="1:26" ht="18.5" x14ac:dyDescent="0.45">
      <c r="A81" s="107" t="s">
        <v>143</v>
      </c>
      <c r="B81" s="120">
        <v>0</v>
      </c>
      <c r="C81" s="118">
        <f>$C$76*B81</f>
        <v>0</v>
      </c>
      <c r="D81" s="120">
        <v>0</v>
      </c>
      <c r="E81" s="118">
        <f>$E$76*D81</f>
        <v>0</v>
      </c>
      <c r="F81" s="121">
        <v>0.14399999999999999</v>
      </c>
      <c r="G81" s="285">
        <f t="shared" si="54"/>
        <v>0</v>
      </c>
      <c r="H81" s="122">
        <f>H19</f>
        <v>40.157397457835735</v>
      </c>
      <c r="I81" s="214">
        <f>H81*G81*15*0.96</f>
        <v>0</v>
      </c>
      <c r="J81" s="291">
        <f t="shared" si="55"/>
        <v>33.03</v>
      </c>
      <c r="K81" s="122">
        <f t="shared" si="53"/>
        <v>31.7088</v>
      </c>
      <c r="L81" s="122">
        <f t="shared" si="53"/>
        <v>30.440448</v>
      </c>
      <c r="M81" s="122">
        <f t="shared" si="53"/>
        <v>29.222830079999998</v>
      </c>
      <c r="N81" s="122">
        <f t="shared" si="53"/>
        <v>28.053916876799995</v>
      </c>
      <c r="O81" s="122">
        <f t="shared" si="53"/>
        <v>26.931760201727993</v>
      </c>
      <c r="P81" s="122">
        <f t="shared" si="53"/>
        <v>25.854489793658871</v>
      </c>
      <c r="Q81" s="122">
        <f t="shared" si="53"/>
        <v>24.820310201912516</v>
      </c>
      <c r="R81" s="122">
        <f t="shared" si="53"/>
        <v>23.827497793836013</v>
      </c>
      <c r="S81" s="122">
        <f t="shared" si="53"/>
        <v>22.874397882082572</v>
      </c>
      <c r="T81" s="122">
        <f t="shared" si="53"/>
        <v>21.959421966799269</v>
      </c>
      <c r="U81" s="122">
        <f t="shared" si="53"/>
        <v>21.081045088127297</v>
      </c>
      <c r="V81" s="122">
        <f t="shared" si="53"/>
        <v>20.237803284602204</v>
      </c>
      <c r="W81" s="122">
        <f t="shared" si="53"/>
        <v>19.428291153218115</v>
      </c>
      <c r="X81" s="122">
        <f t="shared" si="53"/>
        <v>18.651159507089389</v>
      </c>
      <c r="Y81" s="122">
        <f t="shared" si="53"/>
        <v>17.905113126805812</v>
      </c>
      <c r="Z81" s="122">
        <f t="shared" si="53"/>
        <v>17.18890860173358</v>
      </c>
    </row>
    <row r="82" spans="1:26" ht="18.5" x14ac:dyDescent="0.45">
      <c r="A82" s="116" t="s">
        <v>160</v>
      </c>
      <c r="B82" s="117"/>
      <c r="C82" s="118">
        <f>C75*0.7</f>
        <v>93380</v>
      </c>
      <c r="D82" s="117"/>
      <c r="E82" s="118">
        <f>E75*0.7</f>
        <v>112000</v>
      </c>
      <c r="F82" s="118"/>
      <c r="G82" s="286">
        <v>68070</v>
      </c>
      <c r="H82" s="123"/>
      <c r="I82" s="212"/>
      <c r="J82" s="292"/>
      <c r="K82" s="123"/>
      <c r="L82" s="123"/>
      <c r="M82" s="123"/>
      <c r="N82" s="123"/>
      <c r="O82" s="123"/>
      <c r="P82" s="123"/>
      <c r="Q82" s="123"/>
      <c r="R82" s="123"/>
      <c r="S82" s="123"/>
      <c r="T82" s="123"/>
      <c r="U82" s="123"/>
      <c r="V82" s="123"/>
      <c r="W82" s="123"/>
      <c r="X82" s="123"/>
      <c r="Y82" s="123"/>
      <c r="Z82" s="123"/>
    </row>
    <row r="83" spans="1:26" ht="18.5" x14ac:dyDescent="0.45">
      <c r="A83" s="107" t="s">
        <v>145</v>
      </c>
      <c r="B83" s="120">
        <v>3.7818107834294019E-2</v>
      </c>
      <c r="C83" s="118">
        <f>$C$82*B83</f>
        <v>3531.4549095663756</v>
      </c>
      <c r="D83" s="120">
        <v>3.7818107834294019E-2</v>
      </c>
      <c r="E83" s="118">
        <f>$E$82*D83</f>
        <v>4235.6280774409306</v>
      </c>
      <c r="F83" s="121">
        <v>0.14305999999999999</v>
      </c>
      <c r="G83" s="285">
        <f>F83*D83*$G$82*8760/1000</f>
        <v>3226.1003578315513</v>
      </c>
      <c r="H83" s="122">
        <f>H21</f>
        <v>69.473498635179098</v>
      </c>
      <c r="I83" s="214">
        <f>H83*G83*15*0.96</f>
        <v>3227450.094817359</v>
      </c>
      <c r="J83" s="291">
        <f>J21</f>
        <v>66.02</v>
      </c>
      <c r="K83" s="122">
        <f>J83*$B$93</f>
        <v>63.379199999999997</v>
      </c>
      <c r="L83" s="122">
        <f t="shared" ref="K83:Z87" si="56">K83*$B$93</f>
        <v>60.844031999999999</v>
      </c>
      <c r="M83" s="122">
        <f t="shared" si="56"/>
        <v>58.41027072</v>
      </c>
      <c r="N83" s="122">
        <f t="shared" si="56"/>
        <v>56.073859891199994</v>
      </c>
      <c r="O83" s="122">
        <f t="shared" si="56"/>
        <v>53.830905495551995</v>
      </c>
      <c r="P83" s="122">
        <f t="shared" si="56"/>
        <v>51.677669275729912</v>
      </c>
      <c r="Q83" s="122">
        <f t="shared" si="56"/>
        <v>49.610562504700717</v>
      </c>
      <c r="R83" s="122">
        <f t="shared" si="56"/>
        <v>47.626140004512685</v>
      </c>
      <c r="S83" s="122">
        <f t="shared" si="56"/>
        <v>45.721094404332177</v>
      </c>
      <c r="T83" s="122">
        <f t="shared" si="56"/>
        <v>43.892250628158891</v>
      </c>
      <c r="U83" s="122">
        <f t="shared" si="56"/>
        <v>42.136560603032535</v>
      </c>
      <c r="V83" s="122">
        <f t="shared" si="56"/>
        <v>40.451098178911231</v>
      </c>
      <c r="W83" s="122">
        <f t="shared" si="56"/>
        <v>38.833054251754781</v>
      </c>
      <c r="X83" s="122">
        <f t="shared" si="56"/>
        <v>37.279732081684585</v>
      </c>
      <c r="Y83" s="122">
        <f t="shared" si="56"/>
        <v>35.788542798417204</v>
      </c>
      <c r="Z83" s="122">
        <f t="shared" si="56"/>
        <v>34.357001086480516</v>
      </c>
    </row>
    <row r="84" spans="1:26" ht="18.5" x14ac:dyDescent="0.45">
      <c r="A84" s="107" t="s">
        <v>140</v>
      </c>
      <c r="B84" s="120">
        <v>2.9448996157951057E-2</v>
      </c>
      <c r="C84" s="118">
        <f>$C$82*B84</f>
        <v>2749.9472612294699</v>
      </c>
      <c r="D84" s="120">
        <v>2.9448996157951057E-2</v>
      </c>
      <c r="E84" s="118">
        <f>$E$82*D84</f>
        <v>3298.2875696905185</v>
      </c>
      <c r="F84" s="121">
        <v>0.14176</v>
      </c>
      <c r="G84" s="285">
        <f t="shared" ref="G84:G86" si="57">F84*D84*$G$82*8760/1000</f>
        <v>2489.3390774479572</v>
      </c>
      <c r="H84" s="122">
        <f>H22</f>
        <v>65.962856644973385</v>
      </c>
      <c r="I84" s="214">
        <f>H84*G84*15*0.96</f>
        <v>2364536.4005725905</v>
      </c>
      <c r="J84" s="291">
        <f t="shared" ref="J84:J87" si="58">J22</f>
        <v>59.4</v>
      </c>
      <c r="K84" s="122">
        <f t="shared" si="56"/>
        <v>57.023999999999994</v>
      </c>
      <c r="L84" s="122">
        <f t="shared" si="56"/>
        <v>54.743039999999993</v>
      </c>
      <c r="M84" s="122">
        <f t="shared" si="56"/>
        <v>52.553318399999995</v>
      </c>
      <c r="N84" s="122">
        <f t="shared" si="56"/>
        <v>50.451185663999993</v>
      </c>
      <c r="O84" s="122">
        <f t="shared" si="56"/>
        <v>48.433138237439991</v>
      </c>
      <c r="P84" s="122">
        <f t="shared" si="56"/>
        <v>46.495812707942392</v>
      </c>
      <c r="Q84" s="122">
        <f t="shared" si="56"/>
        <v>44.635980199624697</v>
      </c>
      <c r="R84" s="122">
        <f t="shared" si="56"/>
        <v>42.850540991639704</v>
      </c>
      <c r="S84" s="122">
        <f t="shared" si="56"/>
        <v>41.136519351974115</v>
      </c>
      <c r="T84" s="122">
        <f t="shared" si="56"/>
        <v>39.491058577895153</v>
      </c>
      <c r="U84" s="122">
        <f t="shared" si="56"/>
        <v>37.911416234779345</v>
      </c>
      <c r="V84" s="122">
        <f t="shared" si="56"/>
        <v>36.394959585388172</v>
      </c>
      <c r="W84" s="122">
        <f t="shared" si="56"/>
        <v>34.939161201972645</v>
      </c>
      <c r="X84" s="122">
        <f t="shared" si="56"/>
        <v>33.54159475389374</v>
      </c>
      <c r="Y84" s="122">
        <f t="shared" si="56"/>
        <v>32.199930963737991</v>
      </c>
      <c r="Z84" s="122">
        <f t="shared" si="56"/>
        <v>30.911933725188469</v>
      </c>
    </row>
    <row r="85" spans="1:26" ht="18.5" x14ac:dyDescent="0.45">
      <c r="A85" s="107" t="s">
        <v>141</v>
      </c>
      <c r="B85" s="120">
        <v>0.1091491177452943</v>
      </c>
      <c r="C85" s="118">
        <f>$C$82*B85</f>
        <v>10192.344615055583</v>
      </c>
      <c r="D85" s="120">
        <v>0.1091491177452943</v>
      </c>
      <c r="E85" s="118">
        <f>$E$82*D85</f>
        <v>12224.701187472961</v>
      </c>
      <c r="F85" s="121">
        <v>0.14119000000000001</v>
      </c>
      <c r="G85" s="285">
        <f t="shared" si="57"/>
        <v>9189.3337409226133</v>
      </c>
      <c r="H85" s="122">
        <f>H23</f>
        <v>58.357776139219837</v>
      </c>
      <c r="I85" s="214">
        <f>H85*G85*15*0.96</f>
        <v>7722274.7710273163</v>
      </c>
      <c r="J85" s="291">
        <f t="shared" si="58"/>
        <v>50.93</v>
      </c>
      <c r="K85" s="122">
        <f t="shared" si="56"/>
        <v>48.892800000000001</v>
      </c>
      <c r="L85" s="122">
        <f t="shared" si="56"/>
        <v>46.937088000000003</v>
      </c>
      <c r="M85" s="122">
        <f t="shared" si="56"/>
        <v>45.059604480000004</v>
      </c>
      <c r="N85" s="122">
        <f t="shared" si="56"/>
        <v>43.2572203008</v>
      </c>
      <c r="O85" s="122">
        <f t="shared" si="56"/>
        <v>41.526931488768</v>
      </c>
      <c r="P85" s="122">
        <f t="shared" si="56"/>
        <v>39.865854229217277</v>
      </c>
      <c r="Q85" s="122">
        <f t="shared" si="56"/>
        <v>38.271220060048584</v>
      </c>
      <c r="R85" s="122">
        <f t="shared" si="56"/>
        <v>36.740371257646636</v>
      </c>
      <c r="S85" s="122">
        <f t="shared" si="56"/>
        <v>35.27075640734077</v>
      </c>
      <c r="T85" s="122">
        <f t="shared" si="56"/>
        <v>33.859926151047141</v>
      </c>
      <c r="U85" s="122">
        <f t="shared" si="56"/>
        <v>32.505529105005252</v>
      </c>
      <c r="V85" s="122">
        <f t="shared" si="56"/>
        <v>31.205307940805042</v>
      </c>
      <c r="W85" s="122">
        <f t="shared" si="56"/>
        <v>29.95709562317284</v>
      </c>
      <c r="X85" s="122">
        <f t="shared" si="56"/>
        <v>28.758811798245926</v>
      </c>
      <c r="Y85" s="122">
        <f t="shared" si="56"/>
        <v>27.608459326316087</v>
      </c>
      <c r="Z85" s="122">
        <f t="shared" si="56"/>
        <v>26.504120953263442</v>
      </c>
    </row>
    <row r="86" spans="1:26" ht="18.5" x14ac:dyDescent="0.45">
      <c r="A86" s="107" t="s">
        <v>142</v>
      </c>
      <c r="B86" s="120">
        <v>0.82358343106844789</v>
      </c>
      <c r="C86" s="118">
        <f>$C$82*B86</f>
        <v>76906.220793171669</v>
      </c>
      <c r="D86" s="120">
        <v>0.82358343106844789</v>
      </c>
      <c r="E86" s="118">
        <f>$E$82*D86</f>
        <v>92241.344279666169</v>
      </c>
      <c r="F86" s="121">
        <v>0.1497</v>
      </c>
      <c r="G86" s="285">
        <f t="shared" si="57"/>
        <v>73517.250776943998</v>
      </c>
      <c r="H86" s="122">
        <f>H24</f>
        <v>52.055130885781359</v>
      </c>
      <c r="I86" s="214">
        <f>H86*G86*15*0.96</f>
        <v>55108081.60641548</v>
      </c>
      <c r="J86" s="291">
        <f t="shared" si="58"/>
        <v>46.39</v>
      </c>
      <c r="K86" s="122">
        <f t="shared" si="56"/>
        <v>44.534399999999998</v>
      </c>
      <c r="L86" s="122">
        <f t="shared" si="56"/>
        <v>42.753023999999996</v>
      </c>
      <c r="M86" s="122">
        <f t="shared" si="56"/>
        <v>41.042903039999992</v>
      </c>
      <c r="N86" s="122">
        <f t="shared" si="56"/>
        <v>39.401186918399993</v>
      </c>
      <c r="O86" s="122">
        <f t="shared" si="56"/>
        <v>37.825139441663993</v>
      </c>
      <c r="P86" s="122">
        <f t="shared" si="56"/>
        <v>36.312133863997431</v>
      </c>
      <c r="Q86" s="122">
        <f t="shared" si="56"/>
        <v>34.859648509437534</v>
      </c>
      <c r="R86" s="122">
        <f t="shared" si="56"/>
        <v>33.46526256906003</v>
      </c>
      <c r="S86" s="122">
        <f t="shared" si="56"/>
        <v>32.12665206629763</v>
      </c>
      <c r="T86" s="122">
        <f t="shared" si="56"/>
        <v>30.841585983645725</v>
      </c>
      <c r="U86" s="122">
        <f t="shared" si="56"/>
        <v>29.607922544299896</v>
      </c>
      <c r="V86" s="122">
        <f t="shared" si="56"/>
        <v>28.4236056425279</v>
      </c>
      <c r="W86" s="122">
        <f t="shared" si="56"/>
        <v>27.286661416826782</v>
      </c>
      <c r="X86" s="122">
        <f t="shared" si="56"/>
        <v>26.19519496015371</v>
      </c>
      <c r="Y86" s="122">
        <f t="shared" si="56"/>
        <v>25.14738716174756</v>
      </c>
      <c r="Z86" s="122">
        <f t="shared" si="56"/>
        <v>24.141491675277656</v>
      </c>
    </row>
    <row r="87" spans="1:26" ht="18.5" x14ac:dyDescent="0.45">
      <c r="A87" s="107" t="s">
        <v>143</v>
      </c>
      <c r="B87" s="120">
        <v>0</v>
      </c>
      <c r="C87" s="118">
        <f>$C$82*B87</f>
        <v>0</v>
      </c>
      <c r="D87" s="120">
        <v>0</v>
      </c>
      <c r="E87" s="118">
        <f>$E$82*D87</f>
        <v>0</v>
      </c>
      <c r="F87" s="121">
        <v>0.15</v>
      </c>
      <c r="G87" s="285">
        <f>F87*E87*8760/1000</f>
        <v>0</v>
      </c>
      <c r="H87" s="122">
        <f>H25</f>
        <v>39.558961261811675</v>
      </c>
      <c r="I87" s="214">
        <f>H87*G87*15*0.96</f>
        <v>0</v>
      </c>
      <c r="J87" s="291">
        <f t="shared" si="58"/>
        <v>34.22</v>
      </c>
      <c r="K87" s="122">
        <f t="shared" si="56"/>
        <v>32.851199999999999</v>
      </c>
      <c r="L87" s="122">
        <f t="shared" si="56"/>
        <v>31.537151999999999</v>
      </c>
      <c r="M87" s="122">
        <f t="shared" si="56"/>
        <v>30.275665919999998</v>
      </c>
      <c r="N87" s="122">
        <f t="shared" si="56"/>
        <v>29.064639283199998</v>
      </c>
      <c r="O87" s="122">
        <f t="shared" si="56"/>
        <v>27.902053711871996</v>
      </c>
      <c r="P87" s="122">
        <f t="shared" si="56"/>
        <v>26.785971563397116</v>
      </c>
      <c r="Q87" s="122">
        <f t="shared" si="56"/>
        <v>25.714532700861231</v>
      </c>
      <c r="R87" s="122">
        <f t="shared" si="56"/>
        <v>24.68595139282678</v>
      </c>
      <c r="S87" s="122">
        <f t="shared" si="56"/>
        <v>23.69851333711371</v>
      </c>
      <c r="T87" s="122">
        <f t="shared" si="56"/>
        <v>22.750572803629161</v>
      </c>
      <c r="U87" s="122">
        <f t="shared" si="56"/>
        <v>21.840549891483995</v>
      </c>
      <c r="V87" s="122">
        <f t="shared" si="56"/>
        <v>20.966927895824636</v>
      </c>
      <c r="W87" s="122">
        <f t="shared" si="56"/>
        <v>20.128250779991649</v>
      </c>
      <c r="X87" s="122">
        <f t="shared" si="56"/>
        <v>19.323120748791982</v>
      </c>
      <c r="Y87" s="122">
        <f t="shared" si="56"/>
        <v>18.550195918840302</v>
      </c>
      <c r="Z87" s="122">
        <f t="shared" si="56"/>
        <v>17.808188082086691</v>
      </c>
    </row>
    <row r="88" spans="1:26" ht="18.5" x14ac:dyDescent="0.45">
      <c r="A88" s="106"/>
      <c r="B88" s="106"/>
      <c r="C88" s="106"/>
      <c r="D88" s="106"/>
      <c r="E88" s="106"/>
      <c r="F88" s="106"/>
      <c r="G88" s="280"/>
      <c r="H88" s="106"/>
      <c r="I88" s="210" t="s">
        <v>161</v>
      </c>
      <c r="J88" s="293"/>
      <c r="K88" s="106"/>
      <c r="L88" s="106"/>
      <c r="M88" s="106"/>
      <c r="N88" s="106"/>
      <c r="O88" s="106"/>
      <c r="P88" s="106"/>
    </row>
    <row r="89" spans="1:26" ht="18.5" x14ac:dyDescent="0.45">
      <c r="A89" s="106"/>
      <c r="B89" s="106"/>
      <c r="C89" s="106"/>
      <c r="D89" s="106"/>
      <c r="E89" s="106"/>
      <c r="F89" s="106"/>
      <c r="G89" s="280"/>
      <c r="H89" s="128"/>
      <c r="I89" s="210"/>
      <c r="J89" s="133"/>
      <c r="K89" s="128"/>
      <c r="L89" s="128"/>
      <c r="M89" s="128"/>
      <c r="N89" s="128"/>
      <c r="O89" s="128"/>
      <c r="P89" s="128"/>
      <c r="Q89" s="128"/>
      <c r="R89" s="128"/>
      <c r="S89" s="128"/>
      <c r="T89" s="128"/>
      <c r="U89" s="128"/>
      <c r="V89" s="128"/>
      <c r="W89" s="128"/>
      <c r="X89" s="128"/>
      <c r="Y89" s="128"/>
      <c r="Z89" s="128"/>
    </row>
    <row r="90" spans="1:26" ht="18.5" x14ac:dyDescent="0.45">
      <c r="A90" s="106"/>
      <c r="B90" s="106"/>
      <c r="C90" s="106"/>
      <c r="D90" s="106"/>
      <c r="E90" s="106"/>
      <c r="F90" s="106"/>
      <c r="G90" s="280"/>
      <c r="H90" s="128"/>
      <c r="I90" s="210"/>
      <c r="J90" s="133"/>
      <c r="K90" s="128"/>
      <c r="L90" s="128"/>
      <c r="M90" s="128"/>
      <c r="N90" s="128"/>
      <c r="O90" s="128"/>
      <c r="P90" s="128"/>
      <c r="Q90" s="128"/>
      <c r="R90" s="128"/>
      <c r="S90" s="128"/>
      <c r="T90" s="128"/>
      <c r="U90" s="128"/>
      <c r="V90" s="128"/>
      <c r="W90" s="128"/>
      <c r="X90" s="128"/>
      <c r="Y90" s="128"/>
      <c r="Z90" s="128"/>
    </row>
    <row r="91" spans="1:26" ht="18.5" x14ac:dyDescent="0.45">
      <c r="A91" s="106"/>
      <c r="B91" s="106"/>
      <c r="C91" s="106"/>
      <c r="D91" s="106"/>
      <c r="E91" s="106"/>
      <c r="F91" s="106"/>
      <c r="G91" s="280"/>
      <c r="H91" s="106"/>
      <c r="I91" s="210"/>
      <c r="J91" s="129"/>
      <c r="K91" s="106"/>
      <c r="L91" s="106"/>
      <c r="M91" s="106"/>
      <c r="N91" s="106"/>
      <c r="O91" s="106"/>
      <c r="P91" s="106"/>
    </row>
    <row r="92" spans="1:26" ht="37" x14ac:dyDescent="0.45">
      <c r="A92" s="2" t="s">
        <v>162</v>
      </c>
      <c r="B92" s="2" t="s">
        <v>163</v>
      </c>
      <c r="C92" s="106"/>
      <c r="D92" s="126" t="s">
        <v>84</v>
      </c>
      <c r="E92" s="106"/>
      <c r="F92" s="106"/>
      <c r="G92" s="280"/>
      <c r="H92" s="106"/>
      <c r="I92" s="210"/>
      <c r="J92" s="129"/>
      <c r="K92" s="106"/>
      <c r="L92" s="106"/>
      <c r="M92" s="106"/>
      <c r="N92" s="106"/>
      <c r="O92" s="106"/>
      <c r="P92" s="106"/>
    </row>
    <row r="93" spans="1:26" ht="18.5" x14ac:dyDescent="0.45">
      <c r="A93" s="107">
        <v>2023</v>
      </c>
      <c r="B93" s="107">
        <v>0.96</v>
      </c>
      <c r="C93" s="106"/>
      <c r="D93" s="107">
        <v>0.995</v>
      </c>
      <c r="E93" s="106"/>
      <c r="F93" s="106"/>
      <c r="G93" s="280"/>
      <c r="H93" s="106"/>
      <c r="I93" s="210"/>
      <c r="J93" s="129"/>
      <c r="K93" s="106"/>
      <c r="L93" s="106"/>
      <c r="M93" s="106"/>
      <c r="N93" s="106"/>
      <c r="O93" s="106"/>
      <c r="P93" s="106"/>
    </row>
    <row r="96" spans="1:26" x14ac:dyDescent="0.35">
      <c r="I96" s="217"/>
      <c r="J96"/>
    </row>
    <row r="97" spans="9:10" x14ac:dyDescent="0.35">
      <c r="I97" s="217"/>
      <c r="J97"/>
    </row>
    <row r="98" spans="9:10" x14ac:dyDescent="0.35">
      <c r="I98" s="217"/>
      <c r="J98"/>
    </row>
    <row r="99" spans="9:10" x14ac:dyDescent="0.35">
      <c r="I99" s="217"/>
      <c r="J99"/>
    </row>
    <row r="100" spans="9:10" x14ac:dyDescent="0.35">
      <c r="I100" s="217"/>
      <c r="J100"/>
    </row>
    <row r="101" spans="9:10" x14ac:dyDescent="0.35">
      <c r="I101" s="217"/>
      <c r="J101"/>
    </row>
    <row r="102" spans="9:10" x14ac:dyDescent="0.35">
      <c r="I102" s="217"/>
      <c r="J102"/>
    </row>
    <row r="103" spans="9:10" x14ac:dyDescent="0.35">
      <c r="I103" s="217"/>
      <c r="J103"/>
    </row>
  </sheetData>
  <printOptions horizontalCentered="1" verticalCentered="1"/>
  <pageMargins left="0.25" right="0.25" top="0.75" bottom="0.75" header="0.3" footer="0.3"/>
  <pageSetup scale="49" fitToHeight="2" orientation="landscape" r:id="rId1"/>
  <headerFooter>
    <oddHeader>&amp;A</oddHeader>
  </headerFooter>
  <rowBreaks count="1" manualBreakCount="1">
    <brk id="57" max="16383" man="1"/>
  </rowBreaks>
  <customProperties>
    <customPr name="GUID" r:id="rId2"/>
  </customProperties>
  <ignoredErrors>
    <ignoredError sqref="I67 I77:I81 I83:I87"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2F2CA-7C17-4904-A133-2C85BDF3CD36}">
  <sheetPr>
    <tabColor theme="7" tint="0.59999389629810485"/>
    <pageSetUpPr fitToPage="1"/>
  </sheetPr>
  <dimension ref="B3:X123"/>
  <sheetViews>
    <sheetView topLeftCell="A3" zoomScaleNormal="100" workbookViewId="0">
      <selection activeCell="L3" sqref="L3"/>
    </sheetView>
  </sheetViews>
  <sheetFormatPr defaultColWidth="9.08984375" defaultRowHeight="14.5" x14ac:dyDescent="0.35"/>
  <cols>
    <col min="1" max="1" width="15.453125" customWidth="1"/>
    <col min="2" max="2" width="45.08984375" bestFit="1" customWidth="1"/>
    <col min="3" max="3" width="11.453125" bestFit="1" customWidth="1"/>
    <col min="4" max="4" width="9.453125" bestFit="1" customWidth="1"/>
    <col min="5" max="5" width="17.453125" bestFit="1" customWidth="1"/>
    <col min="6" max="11" width="16.453125" bestFit="1" customWidth="1"/>
    <col min="12" max="13" width="15.54296875" bestFit="1" customWidth="1"/>
    <col min="14" max="21" width="16.453125" bestFit="1" customWidth="1"/>
    <col min="22" max="23" width="15.54296875" bestFit="1" customWidth="1"/>
    <col min="24" max="24" width="16.453125" bestFit="1" customWidth="1"/>
  </cols>
  <sheetData>
    <row r="3" spans="2:24" x14ac:dyDescent="0.35">
      <c r="B3" s="148" t="s">
        <v>164</v>
      </c>
      <c r="C3" s="31"/>
    </row>
    <row r="4" spans="2:24" ht="15.5" x14ac:dyDescent="0.35">
      <c r="B4" s="221"/>
      <c r="C4" s="221"/>
      <c r="D4" s="221"/>
      <c r="E4" s="221"/>
      <c r="F4" s="220" t="s">
        <v>23</v>
      </c>
      <c r="G4" s="220" t="s">
        <v>24</v>
      </c>
      <c r="H4" s="220" t="s">
        <v>25</v>
      </c>
      <c r="I4" s="220" t="s">
        <v>26</v>
      </c>
      <c r="J4" s="220" t="s">
        <v>27</v>
      </c>
      <c r="K4" s="220" t="s">
        <v>28</v>
      </c>
      <c r="L4" s="220" t="s">
        <v>29</v>
      </c>
      <c r="M4" s="220" t="s">
        <v>30</v>
      </c>
      <c r="N4" s="220" t="s">
        <v>31</v>
      </c>
      <c r="O4" s="220" t="s">
        <v>32</v>
      </c>
      <c r="P4" s="220" t="s">
        <v>33</v>
      </c>
      <c r="Q4" s="220" t="s">
        <v>34</v>
      </c>
      <c r="R4" s="220" t="s">
        <v>35</v>
      </c>
      <c r="S4" s="220" t="s">
        <v>36</v>
      </c>
      <c r="T4" s="220" t="s">
        <v>37</v>
      </c>
      <c r="U4" s="220" t="s">
        <v>38</v>
      </c>
      <c r="V4" s="220" t="s">
        <v>39</v>
      </c>
      <c r="W4" s="220" t="s">
        <v>40</v>
      </c>
      <c r="X4" s="220" t="s">
        <v>165</v>
      </c>
    </row>
    <row r="5" spans="2:24" ht="15.5" x14ac:dyDescent="0.35">
      <c r="B5" s="179"/>
      <c r="C5" s="220" t="s">
        <v>166</v>
      </c>
      <c r="D5" s="220" t="s">
        <v>167</v>
      </c>
      <c r="E5" s="220" t="s">
        <v>168</v>
      </c>
      <c r="F5" s="220">
        <v>2025</v>
      </c>
      <c r="G5" s="220">
        <f t="shared" ref="G5:X5" si="0">F5+1</f>
        <v>2026</v>
      </c>
      <c r="H5" s="220">
        <f t="shared" si="0"/>
        <v>2027</v>
      </c>
      <c r="I5" s="220">
        <f t="shared" si="0"/>
        <v>2028</v>
      </c>
      <c r="J5" s="220">
        <f t="shared" si="0"/>
        <v>2029</v>
      </c>
      <c r="K5" s="220">
        <f t="shared" si="0"/>
        <v>2030</v>
      </c>
      <c r="L5" s="220">
        <f t="shared" si="0"/>
        <v>2031</v>
      </c>
      <c r="M5" s="220">
        <f t="shared" si="0"/>
        <v>2032</v>
      </c>
      <c r="N5" s="220">
        <f t="shared" si="0"/>
        <v>2033</v>
      </c>
      <c r="O5" s="220">
        <f t="shared" si="0"/>
        <v>2034</v>
      </c>
      <c r="P5" s="220">
        <f t="shared" si="0"/>
        <v>2035</v>
      </c>
      <c r="Q5" s="220">
        <f t="shared" si="0"/>
        <v>2036</v>
      </c>
      <c r="R5" s="220">
        <f t="shared" si="0"/>
        <v>2037</v>
      </c>
      <c r="S5" s="220">
        <f t="shared" si="0"/>
        <v>2038</v>
      </c>
      <c r="T5" s="220">
        <f t="shared" si="0"/>
        <v>2039</v>
      </c>
      <c r="U5" s="220">
        <f t="shared" si="0"/>
        <v>2040</v>
      </c>
      <c r="V5" s="220">
        <f t="shared" si="0"/>
        <v>2041</v>
      </c>
      <c r="W5" s="220">
        <f t="shared" si="0"/>
        <v>2042</v>
      </c>
      <c r="X5" s="220">
        <f t="shared" si="0"/>
        <v>2043</v>
      </c>
    </row>
    <row r="6" spans="2:24" x14ac:dyDescent="0.35">
      <c r="B6" s="162" t="s">
        <v>169</v>
      </c>
      <c r="C6" s="147"/>
      <c r="D6" s="100"/>
      <c r="E6" s="147">
        <f>SUM(E9:E62)</f>
        <v>14372308.445732476</v>
      </c>
      <c r="F6" s="153"/>
      <c r="G6" s="153"/>
      <c r="H6" s="153"/>
      <c r="I6" s="153"/>
      <c r="J6" s="153"/>
      <c r="K6" s="153"/>
      <c r="L6" s="153"/>
      <c r="M6" s="153"/>
      <c r="N6" s="153"/>
      <c r="O6" s="153"/>
      <c r="P6" s="153"/>
      <c r="Q6" s="153"/>
      <c r="R6" s="153"/>
      <c r="S6" s="153"/>
      <c r="T6" s="153"/>
      <c r="U6" s="153"/>
      <c r="V6" s="153"/>
      <c r="W6" s="153"/>
      <c r="X6" s="153"/>
    </row>
    <row r="7" spans="2:24" x14ac:dyDescent="0.35">
      <c r="B7" s="161" t="s">
        <v>130</v>
      </c>
      <c r="C7" s="160">
        <f>C9+C16+C29+C32+C47+C50</f>
        <v>667000</v>
      </c>
      <c r="D7" s="100"/>
      <c r="E7" s="147">
        <f>SUM(F7:X7)</f>
        <v>14372308.445732472</v>
      </c>
      <c r="F7" s="153">
        <f>F11+F12+F14+F15+F18+F19+F20+F21+F24+F25+F26+F27+F30+F31+F34+F35+F36+F37+F38+F41+F42+F43+F44+F45+F40+F48+F49+F52+F53+F54+F55+F58+F59+F60+F61</f>
        <v>602273.92248011334</v>
      </c>
      <c r="G7" s="153">
        <f>G11+G12+G14+G15+G18+G19+G20+G21+G24+G25+G26+G27+G30+G31+G34+G35+G36+G37+G38+G41+G42+G43+G44+G45+G40+G48+G49+G52+G53+G54+G55+G58+G59+G60+G61</f>
        <v>905499.92303171277</v>
      </c>
      <c r="H7" s="153">
        <f t="shared" ref="H7:X7" si="1">H11+H12+H14+H15+H18+H19+H20+H21+H24+H25+H26+H27+H30+H31+H34+H35+H36+H37+H38+H41+H42+H43+H44+H45+H40+H48+H49+H52+H53+H54+H55+H58+H59+H60+H61</f>
        <v>900972.42341655423</v>
      </c>
      <c r="I7" s="153">
        <f t="shared" si="1"/>
        <v>896467.56129947142</v>
      </c>
      <c r="J7" s="153">
        <f t="shared" si="1"/>
        <v>891985.22349297418</v>
      </c>
      <c r="K7" s="153">
        <f t="shared" si="1"/>
        <v>887525.29737550905</v>
      </c>
      <c r="L7" s="153">
        <f t="shared" si="1"/>
        <v>883087.67088863149</v>
      </c>
      <c r="M7" s="153">
        <f t="shared" si="1"/>
        <v>878672.23253418843</v>
      </c>
      <c r="N7" s="153">
        <f t="shared" si="1"/>
        <v>874278.87137151742</v>
      </c>
      <c r="O7" s="153">
        <f t="shared" si="1"/>
        <v>869907.47701465979</v>
      </c>
      <c r="P7" s="153">
        <f t="shared" si="1"/>
        <v>865557.93962958688</v>
      </c>
      <c r="Q7" s="153">
        <f t="shared" si="1"/>
        <v>861230.14993143862</v>
      </c>
      <c r="R7" s="153">
        <f t="shared" si="1"/>
        <v>856923.99918178155</v>
      </c>
      <c r="S7" s="153">
        <f t="shared" si="1"/>
        <v>852639.37918587239</v>
      </c>
      <c r="T7" s="153">
        <f t="shared" si="1"/>
        <v>848376.1822899431</v>
      </c>
      <c r="U7" s="153">
        <f t="shared" si="1"/>
        <v>404604.07633604377</v>
      </c>
      <c r="V7" s="153">
        <f t="shared" si="1"/>
        <v>365928.63251479471</v>
      </c>
      <c r="W7" s="153">
        <f t="shared" si="1"/>
        <v>364098.98935222079</v>
      </c>
      <c r="X7" s="153">
        <f t="shared" si="1"/>
        <v>362278.49440545967</v>
      </c>
    </row>
    <row r="8" spans="2:24" x14ac:dyDescent="0.35">
      <c r="B8" s="161" t="s">
        <v>130</v>
      </c>
      <c r="C8" s="160">
        <f>C10+C13+C17+C23+C30+C31+C33+C40+C48+C49+C51+C57</f>
        <v>667000</v>
      </c>
      <c r="D8" s="100"/>
      <c r="E8" s="147">
        <f>SUM(E9:E61)</f>
        <v>14372308.445732476</v>
      </c>
      <c r="F8" s="153">
        <f>F9+F16+F29+F32+F47+F50</f>
        <v>602273.92248011334</v>
      </c>
      <c r="G8" s="153"/>
      <c r="H8" s="153"/>
      <c r="I8" s="153"/>
      <c r="J8" s="153"/>
      <c r="K8" s="153"/>
      <c r="L8" s="153"/>
      <c r="M8" s="153"/>
      <c r="N8" s="153"/>
      <c r="O8" s="153"/>
      <c r="P8" s="153"/>
      <c r="Q8" s="153"/>
      <c r="R8" s="153"/>
      <c r="S8" s="153"/>
      <c r="T8" s="153"/>
      <c r="U8" s="159"/>
      <c r="V8" s="159"/>
      <c r="W8" s="159"/>
      <c r="X8" s="159"/>
    </row>
    <row r="9" spans="2:24" x14ac:dyDescent="0.35">
      <c r="B9" s="14" t="s">
        <v>131</v>
      </c>
      <c r="C9" s="79">
        <f>'ABP Future Assumptions'!C6</f>
        <v>120060</v>
      </c>
      <c r="D9" s="79"/>
      <c r="E9" s="155"/>
      <c r="F9" s="79">
        <f>SUM(F10:F15)</f>
        <v>145906.86007555202</v>
      </c>
      <c r="G9" s="79">
        <f t="shared" ref="G9:X9" si="2">SUM(G10:G15)</f>
        <v>145177.32577517425</v>
      </c>
      <c r="H9" s="79">
        <f>SUM(H10:H15)</f>
        <v>144451.43914629839</v>
      </c>
      <c r="I9" s="79">
        <f t="shared" si="2"/>
        <v>143729.18195056688</v>
      </c>
      <c r="J9" s="79">
        <f t="shared" si="2"/>
        <v>143010.53604081407</v>
      </c>
      <c r="K9" s="79">
        <f t="shared" si="2"/>
        <v>142295.48336060997</v>
      </c>
      <c r="L9" s="79">
        <f t="shared" si="2"/>
        <v>141584.00594380693</v>
      </c>
      <c r="M9" s="79">
        <f t="shared" si="2"/>
        <v>140876.08591408789</v>
      </c>
      <c r="N9" s="79">
        <f t="shared" si="2"/>
        <v>140171.70548451744</v>
      </c>
      <c r="O9" s="79">
        <f t="shared" si="2"/>
        <v>139470.84695709485</v>
      </c>
      <c r="P9" s="79">
        <f t="shared" si="2"/>
        <v>138773.49272230937</v>
      </c>
      <c r="Q9" s="79">
        <f t="shared" si="2"/>
        <v>138079.62525869784</v>
      </c>
      <c r="R9" s="79">
        <f t="shared" si="2"/>
        <v>137389.22713240434</v>
      </c>
      <c r="S9" s="79">
        <f t="shared" si="2"/>
        <v>136702.28099674231</v>
      </c>
      <c r="T9" s="79">
        <f t="shared" si="2"/>
        <v>136018.76959175861</v>
      </c>
      <c r="U9" s="79">
        <f t="shared" si="2"/>
        <v>0</v>
      </c>
      <c r="V9" s="79">
        <f t="shared" si="2"/>
        <v>0</v>
      </c>
      <c r="W9" s="79">
        <f t="shared" si="2"/>
        <v>0</v>
      </c>
      <c r="X9" s="79">
        <f t="shared" si="2"/>
        <v>0</v>
      </c>
    </row>
    <row r="10" spans="2:24" x14ac:dyDescent="0.35">
      <c r="B10" s="179" t="s">
        <v>132</v>
      </c>
      <c r="C10" s="174">
        <f>'ABP Future Assumptions'!C7</f>
        <v>36018</v>
      </c>
      <c r="D10" s="174"/>
      <c r="E10" s="154"/>
      <c r="F10" s="153"/>
      <c r="G10" s="153"/>
      <c r="H10" s="153"/>
      <c r="I10" s="153"/>
      <c r="J10" s="153"/>
      <c r="K10" s="153"/>
      <c r="L10" s="153"/>
      <c r="M10" s="153"/>
      <c r="N10" s="153"/>
      <c r="O10" s="153"/>
      <c r="P10" s="153"/>
      <c r="Q10" s="153"/>
      <c r="R10" s="153"/>
      <c r="S10" s="153"/>
      <c r="T10" s="153"/>
      <c r="U10" s="179"/>
      <c r="V10" s="179"/>
      <c r="W10" s="179"/>
      <c r="X10" s="179"/>
    </row>
    <row r="11" spans="2:24" x14ac:dyDescent="0.35">
      <c r="B11" s="221" t="s">
        <v>133</v>
      </c>
      <c r="C11" s="79">
        <f>'ABP Future Assumptions'!C8</f>
        <v>13686.84</v>
      </c>
      <c r="D11" s="151">
        <f>'ABP Future Assumptions'!F8</f>
        <v>0.14884</v>
      </c>
      <c r="E11" s="155">
        <f>SUM(F11:X11)</f>
        <v>258512.54410614632</v>
      </c>
      <c r="F11" s="13">
        <f>(C11*D11*8760)/1000</f>
        <v>17845.427566656002</v>
      </c>
      <c r="G11" s="13">
        <f>F11*'ABP Future Assumptions'!$D$93</f>
        <v>17756.200428822722</v>
      </c>
      <c r="H11" s="13">
        <f>G11*'ABP Future Assumptions'!$D$93</f>
        <v>17667.419426678607</v>
      </c>
      <c r="I11" s="13">
        <f>H11*'ABP Future Assumptions'!$D$93</f>
        <v>17579.082329545214</v>
      </c>
      <c r="J11" s="13">
        <f>I11*'ABP Future Assumptions'!$D$93</f>
        <v>17491.186917897488</v>
      </c>
      <c r="K11" s="13">
        <f>J11*'ABP Future Assumptions'!$D$93</f>
        <v>17403.730983308</v>
      </c>
      <c r="L11" s="13">
        <f>K11*'ABP Future Assumptions'!$D$93</f>
        <v>17316.712328391459</v>
      </c>
      <c r="M11" s="13">
        <f>L11*'ABP Future Assumptions'!$D$93</f>
        <v>17230.128766749502</v>
      </c>
      <c r="N11" s="13">
        <f>M11*'ABP Future Assumptions'!$D$93</f>
        <v>17143.978122915752</v>
      </c>
      <c r="O11" s="13">
        <f>N11*'ABP Future Assumptions'!$D$93</f>
        <v>17058.258232301174</v>
      </c>
      <c r="P11" s="13">
        <f>O11*'ABP Future Assumptions'!$D$93</f>
        <v>16972.966941139668</v>
      </c>
      <c r="Q11" s="13">
        <f>P11*'ABP Future Assumptions'!$D$93</f>
        <v>16888.102106433969</v>
      </c>
      <c r="R11" s="13">
        <f>Q11*'ABP Future Assumptions'!$D$93</f>
        <v>16803.661595901798</v>
      </c>
      <c r="S11" s="13">
        <f>R11*'ABP Future Assumptions'!$D$93</f>
        <v>16719.643287922288</v>
      </c>
      <c r="T11" s="13">
        <f>S11*'ABP Future Assumptions'!$D$93</f>
        <v>16636.045071482677</v>
      </c>
      <c r="U11" s="149"/>
      <c r="V11" s="149"/>
      <c r="W11" s="149"/>
      <c r="X11" s="149"/>
    </row>
    <row r="12" spans="2:24" x14ac:dyDescent="0.35">
      <c r="B12" s="221" t="s">
        <v>134</v>
      </c>
      <c r="C12" s="79">
        <f>'ABP Future Assumptions'!C9</f>
        <v>22331.16</v>
      </c>
      <c r="D12" s="151">
        <f>'ABP Future Assumptions'!F9</f>
        <v>0.15130000000000002</v>
      </c>
      <c r="E12" s="155">
        <f>SUM(F12:X12)</f>
        <v>428754.78635520238</v>
      </c>
      <c r="F12" s="13">
        <f>(C12*D12*8760)/1000</f>
        <v>29597.451490080002</v>
      </c>
      <c r="G12" s="13">
        <f>F12*'ABP Future Assumptions'!$D$93</f>
        <v>29449.464232629602</v>
      </c>
      <c r="H12" s="13">
        <f>G12*'ABP Future Assumptions'!$D$93</f>
        <v>29302.216911466454</v>
      </c>
      <c r="I12" s="13">
        <f>H12*'ABP Future Assumptions'!$D$93</f>
        <v>29155.705826909121</v>
      </c>
      <c r="J12" s="13">
        <f>I12*'ABP Future Assumptions'!$D$93</f>
        <v>29009.927297774575</v>
      </c>
      <c r="K12" s="13">
        <f>J12*'ABP Future Assumptions'!$D$93</f>
        <v>28864.877661285704</v>
      </c>
      <c r="L12" s="13">
        <f>K12*'ABP Future Assumptions'!$D$93</f>
        <v>28720.553272979276</v>
      </c>
      <c r="M12" s="13">
        <f>L12*'ABP Future Assumptions'!$D$93</f>
        <v>28576.950506614379</v>
      </c>
      <c r="N12" s="13">
        <f>M12*'ABP Future Assumptions'!$D$93</f>
        <v>28434.065754081308</v>
      </c>
      <c r="O12" s="13">
        <f>N12*'ABP Future Assumptions'!$D$93</f>
        <v>28291.8954253109</v>
      </c>
      <c r="P12" s="13">
        <f>O12*'ABP Future Assumptions'!$D$93</f>
        <v>28150.435948184346</v>
      </c>
      <c r="Q12" s="13">
        <f>P12*'ABP Future Assumptions'!$D$93</f>
        <v>28009.683768443425</v>
      </c>
      <c r="R12" s="13">
        <f>Q12*'ABP Future Assumptions'!$D$93</f>
        <v>27869.635349601209</v>
      </c>
      <c r="S12" s="13">
        <f>R12*'ABP Future Assumptions'!$D$93</f>
        <v>27730.287172853201</v>
      </c>
      <c r="T12" s="13">
        <f>S12*'ABP Future Assumptions'!$D$93</f>
        <v>27591.635736988934</v>
      </c>
      <c r="U12" s="149"/>
      <c r="V12" s="149"/>
      <c r="W12" s="149"/>
      <c r="X12" s="149"/>
    </row>
    <row r="13" spans="2:24" x14ac:dyDescent="0.35">
      <c r="B13" s="179" t="s">
        <v>135</v>
      </c>
      <c r="C13" s="174">
        <f>'ABP Future Assumptions'!C10</f>
        <v>84042</v>
      </c>
      <c r="D13" s="151"/>
      <c r="E13" s="154"/>
      <c r="F13" s="153"/>
      <c r="G13" s="13"/>
      <c r="H13" s="153"/>
      <c r="I13" s="153"/>
      <c r="J13" s="153"/>
      <c r="K13" s="153"/>
      <c r="L13" s="153"/>
      <c r="M13" s="153"/>
      <c r="N13" s="153"/>
      <c r="O13" s="153"/>
      <c r="P13" s="153"/>
      <c r="Q13" s="153"/>
      <c r="R13" s="153"/>
      <c r="S13" s="153"/>
      <c r="T13" s="153"/>
      <c r="U13" s="179"/>
      <c r="V13" s="179"/>
      <c r="W13" s="179"/>
      <c r="X13" s="179"/>
    </row>
    <row r="14" spans="2:24" x14ac:dyDescent="0.35">
      <c r="B14" s="221" t="s">
        <v>136</v>
      </c>
      <c r="C14" s="79">
        <f>'ABP Future Assumptions'!C11</f>
        <v>31935.96</v>
      </c>
      <c r="D14" s="151">
        <f>'ABP Future Assumptions'!F11</f>
        <v>0.13464999999999999</v>
      </c>
      <c r="E14" s="155">
        <f>SUM(F14:X14)</f>
        <v>545688.87943932682</v>
      </c>
      <c r="F14" s="13">
        <f>(C14*D14*8760)/1000</f>
        <v>37669.550642640002</v>
      </c>
      <c r="G14" s="13">
        <f>F14*'ABP Future Assumptions'!$D$93</f>
        <v>37481.202889426801</v>
      </c>
      <c r="H14" s="13">
        <f>G14*'ABP Future Assumptions'!$D$93</f>
        <v>37293.796874979664</v>
      </c>
      <c r="I14" s="13">
        <f>H14*'ABP Future Assumptions'!$D$93</f>
        <v>37107.327890604764</v>
      </c>
      <c r="J14" s="13">
        <f>I14*'ABP Future Assumptions'!$D$93</f>
        <v>36921.791251151742</v>
      </c>
      <c r="K14" s="13">
        <f>J14*'ABP Future Assumptions'!$D$93</f>
        <v>36737.182294895982</v>
      </c>
      <c r="L14" s="13">
        <f>K14*'ABP Future Assumptions'!$D$93</f>
        <v>36553.496383421501</v>
      </c>
      <c r="M14" s="13">
        <f>L14*'ABP Future Assumptions'!$D$93</f>
        <v>36370.728901504393</v>
      </c>
      <c r="N14" s="13">
        <f>M14*'ABP Future Assumptions'!$D$93</f>
        <v>36188.875256996871</v>
      </c>
      <c r="O14" s="13">
        <f>N14*'ABP Future Assumptions'!$D$93</f>
        <v>36007.930880711887</v>
      </c>
      <c r="P14" s="13">
        <f>O14*'ABP Future Assumptions'!$D$93</f>
        <v>35827.891226308326</v>
      </c>
      <c r="Q14" s="13">
        <f>P14*'ABP Future Assumptions'!$D$93</f>
        <v>35648.751770176787</v>
      </c>
      <c r="R14" s="13">
        <f>Q14*'ABP Future Assumptions'!$D$93</f>
        <v>35470.508011325903</v>
      </c>
      <c r="S14" s="13">
        <f>R14*'ABP Future Assumptions'!$D$93</f>
        <v>35293.155471269274</v>
      </c>
      <c r="T14" s="13">
        <f>S14*'ABP Future Assumptions'!$D$93</f>
        <v>35116.689693912929</v>
      </c>
      <c r="U14" s="149"/>
      <c r="V14" s="149"/>
      <c r="W14" s="149"/>
      <c r="X14" s="149"/>
    </row>
    <row r="15" spans="2:24" x14ac:dyDescent="0.35">
      <c r="B15" s="221" t="s">
        <v>134</v>
      </c>
      <c r="C15" s="79">
        <f>'ABP Future Assumptions'!C12</f>
        <v>52106.04</v>
      </c>
      <c r="D15" s="151">
        <f>'ABP Future Assumptions'!F12</f>
        <v>0.13319</v>
      </c>
      <c r="E15" s="155">
        <f>SUM(F15:X15)</f>
        <v>880680.6564497595</v>
      </c>
      <c r="F15" s="13">
        <f>(C15*D15*8760)/1000</f>
        <v>60794.430376176009</v>
      </c>
      <c r="G15" s="13">
        <f>F15*'ABP Future Assumptions'!$D$93</f>
        <v>60490.458224295129</v>
      </c>
      <c r="H15" s="13">
        <f>G15*'ABP Future Assumptions'!$D$93</f>
        <v>60188.005933173656</v>
      </c>
      <c r="I15" s="13">
        <f>H15*'ABP Future Assumptions'!$D$93</f>
        <v>59887.065903507784</v>
      </c>
      <c r="J15" s="13">
        <f>I15*'ABP Future Assumptions'!$D$93</f>
        <v>59587.630573990245</v>
      </c>
      <c r="K15" s="13">
        <f>J15*'ABP Future Assumptions'!$D$93</f>
        <v>59289.692421120293</v>
      </c>
      <c r="L15" s="13">
        <f>K15*'ABP Future Assumptions'!$D$93</f>
        <v>58993.24395901469</v>
      </c>
      <c r="M15" s="13">
        <f>L15*'ABP Future Assumptions'!$D$93</f>
        <v>58698.277739219615</v>
      </c>
      <c r="N15" s="13">
        <f>M15*'ABP Future Assumptions'!$D$93</f>
        <v>58404.786350523515</v>
      </c>
      <c r="O15" s="13">
        <f>N15*'ABP Future Assumptions'!$D$93</f>
        <v>58112.762418770893</v>
      </c>
      <c r="P15" s="13">
        <f>O15*'ABP Future Assumptions'!$D$93</f>
        <v>57822.198606677041</v>
      </c>
      <c r="Q15" s="13">
        <f>P15*'ABP Future Assumptions'!$D$93</f>
        <v>57533.087613643656</v>
      </c>
      <c r="R15" s="13">
        <f>Q15*'ABP Future Assumptions'!$D$93</f>
        <v>57245.422175575441</v>
      </c>
      <c r="S15" s="13">
        <f>R15*'ABP Future Assumptions'!$D$93</f>
        <v>56959.19506469756</v>
      </c>
      <c r="T15" s="13">
        <f>S15*'ABP Future Assumptions'!$D$93</f>
        <v>56674.39908937407</v>
      </c>
      <c r="U15" s="149"/>
      <c r="V15" s="149"/>
      <c r="W15" s="149"/>
      <c r="X15" s="149"/>
    </row>
    <row r="16" spans="2:24" x14ac:dyDescent="0.35">
      <c r="B16" s="14" t="s">
        <v>137</v>
      </c>
      <c r="C16" s="79">
        <f>'ABP Future Assumptions'!C13</f>
        <v>120060</v>
      </c>
      <c r="D16" s="157"/>
      <c r="E16" s="154"/>
      <c r="F16" s="156">
        <f>SUM(F18:F27)</f>
        <v>155342.33973121329</v>
      </c>
      <c r="G16" s="156">
        <f t="shared" ref="G16:X16" si="3">SUM(G18:G27)</f>
        <v>154565.6280325572</v>
      </c>
      <c r="H16" s="156">
        <f t="shared" si="3"/>
        <v>153792.79989239443</v>
      </c>
      <c r="I16" s="156">
        <f t="shared" si="3"/>
        <v>153023.83589293246</v>
      </c>
      <c r="J16" s="156">
        <f t="shared" si="3"/>
        <v>152258.71671346779</v>
      </c>
      <c r="K16" s="156">
        <f t="shared" si="3"/>
        <v>151497.42312990045</v>
      </c>
      <c r="L16" s="156">
        <f t="shared" si="3"/>
        <v>150739.93601425094</v>
      </c>
      <c r="M16" s="156">
        <f t="shared" si="3"/>
        <v>149986.2363341797</v>
      </c>
      <c r="N16" s="156">
        <f t="shared" si="3"/>
        <v>149236.30515250878</v>
      </c>
      <c r="O16" s="156">
        <f t="shared" si="3"/>
        <v>148490.12362674624</v>
      </c>
      <c r="P16" s="156">
        <f t="shared" si="3"/>
        <v>147747.6730086125</v>
      </c>
      <c r="Q16" s="156">
        <f t="shared" si="3"/>
        <v>147008.93464356946</v>
      </c>
      <c r="R16" s="156">
        <f t="shared" si="3"/>
        <v>146273.88997035159</v>
      </c>
      <c r="S16" s="156">
        <f t="shared" si="3"/>
        <v>145542.52052049985</v>
      </c>
      <c r="T16" s="156">
        <f t="shared" si="3"/>
        <v>144814.80791789736</v>
      </c>
      <c r="U16" s="156">
        <f t="shared" si="3"/>
        <v>0</v>
      </c>
      <c r="V16" s="156">
        <f t="shared" si="3"/>
        <v>0</v>
      </c>
      <c r="W16" s="156">
        <f t="shared" si="3"/>
        <v>0</v>
      </c>
      <c r="X16" s="156">
        <f t="shared" si="3"/>
        <v>0</v>
      </c>
    </row>
    <row r="17" spans="2:24" x14ac:dyDescent="0.35">
      <c r="B17" s="179" t="s">
        <v>138</v>
      </c>
      <c r="C17" s="174">
        <f>'ABP Future Assumptions'!C14</f>
        <v>36018</v>
      </c>
      <c r="D17" s="104"/>
      <c r="E17" s="154"/>
      <c r="F17" s="153"/>
      <c r="G17" s="153"/>
      <c r="H17" s="153"/>
      <c r="I17" s="153"/>
      <c r="J17" s="153"/>
      <c r="K17" s="153"/>
      <c r="L17" s="153"/>
      <c r="M17" s="153"/>
      <c r="N17" s="153"/>
      <c r="O17" s="153"/>
      <c r="P17" s="153"/>
      <c r="Q17" s="153"/>
      <c r="R17" s="153"/>
      <c r="S17" s="153"/>
      <c r="T17" s="153"/>
      <c r="U17" s="179"/>
      <c r="V17" s="179"/>
      <c r="W17" s="179"/>
      <c r="X17" s="179"/>
    </row>
    <row r="18" spans="2:24" x14ac:dyDescent="0.35">
      <c r="B18" s="221" t="s">
        <v>139</v>
      </c>
      <c r="C18" s="79">
        <f>'ABP Future Assumptions'!C15</f>
        <v>2974.721508385157</v>
      </c>
      <c r="D18" s="151">
        <f>'ABP Future Assumptions'!F15</f>
        <v>0.15196999999999999</v>
      </c>
      <c r="E18" s="155">
        <f>SUM(F18:X18)</f>
        <v>57367.106726022539</v>
      </c>
      <c r="F18" s="13">
        <f>(C18*D18*8760)/1000</f>
        <v>3960.1194260326006</v>
      </c>
      <c r="G18" s="13">
        <f>F18*'ABP Future Assumptions'!$D$93</f>
        <v>3940.3188289024374</v>
      </c>
      <c r="H18" s="13">
        <f>G18*'ABP Future Assumptions'!$D$93</f>
        <v>3920.6172347579254</v>
      </c>
      <c r="I18" s="13">
        <f>H18*'ABP Future Assumptions'!$D$93</f>
        <v>3901.0141485841359</v>
      </c>
      <c r="J18" s="13">
        <f>I18*'ABP Future Assumptions'!$D$93</f>
        <v>3881.509077841215</v>
      </c>
      <c r="K18" s="13">
        <f>J18*'ABP Future Assumptions'!$D$93</f>
        <v>3862.101532452009</v>
      </c>
      <c r="L18" s="13">
        <f>K18*'ABP Future Assumptions'!$D$93</f>
        <v>3842.7910247897489</v>
      </c>
      <c r="M18" s="13">
        <f>L18*'ABP Future Assumptions'!$D$93</f>
        <v>3823.5770696658001</v>
      </c>
      <c r="N18" s="13">
        <f>M18*'ABP Future Assumptions'!$D$93</f>
        <v>3804.4591843174712</v>
      </c>
      <c r="O18" s="13">
        <f>N18*'ABP Future Assumptions'!$D$93</f>
        <v>3785.4368883958837</v>
      </c>
      <c r="P18" s="13">
        <f>O18*'ABP Future Assumptions'!$D$93</f>
        <v>3766.5097039539041</v>
      </c>
      <c r="Q18" s="13">
        <f>P18*'ABP Future Assumptions'!$D$93</f>
        <v>3747.6771554341344</v>
      </c>
      <c r="R18" s="13">
        <f>Q18*'ABP Future Assumptions'!$D$93</f>
        <v>3728.9387696569638</v>
      </c>
      <c r="S18" s="13">
        <f>R18*'ABP Future Assumptions'!$D$93</f>
        <v>3710.2940758086788</v>
      </c>
      <c r="T18" s="13">
        <f>S18*'ABP Future Assumptions'!$D$93</f>
        <v>3691.7426054296352</v>
      </c>
      <c r="U18" s="149"/>
      <c r="V18" s="149"/>
      <c r="W18" s="149"/>
      <c r="X18" s="149"/>
    </row>
    <row r="19" spans="2:24" x14ac:dyDescent="0.35">
      <c r="B19" s="221" t="s">
        <v>140</v>
      </c>
      <c r="C19" s="79">
        <f>'ABP Future Assumptions'!C16</f>
        <v>2297.8305238371736</v>
      </c>
      <c r="D19" s="151">
        <f>'ABP Future Assumptions'!F16</f>
        <v>0.14819000000000002</v>
      </c>
      <c r="E19" s="155">
        <f>SUM(F19:X19)</f>
        <v>43211.133850742874</v>
      </c>
      <c r="F19" s="13">
        <f>(C19*D19*8760)/1000</f>
        <v>2982.9158266682939</v>
      </c>
      <c r="G19" s="13">
        <f>F19*'ABP Future Assumptions'!$D$93</f>
        <v>2968.0012475349522</v>
      </c>
      <c r="H19" s="13">
        <f>G19*'ABP Future Assumptions'!$D$93</f>
        <v>2953.1612412972772</v>
      </c>
      <c r="I19" s="13">
        <f>H19*'ABP Future Assumptions'!$D$93</f>
        <v>2938.3954350907907</v>
      </c>
      <c r="J19" s="13">
        <f>I19*'ABP Future Assumptions'!$D$93</f>
        <v>2923.7034579153369</v>
      </c>
      <c r="K19" s="13">
        <f>J19*'ABP Future Assumptions'!$D$93</f>
        <v>2909.0849406257603</v>
      </c>
      <c r="L19" s="13">
        <f>K19*'ABP Future Assumptions'!$D$93</f>
        <v>2894.5395159226314</v>
      </c>
      <c r="M19" s="13">
        <f>L19*'ABP Future Assumptions'!$D$93</f>
        <v>2880.066818343018</v>
      </c>
      <c r="N19" s="13">
        <f>M19*'ABP Future Assumptions'!$D$93</f>
        <v>2865.6664842513028</v>
      </c>
      <c r="O19" s="13">
        <f>N19*'ABP Future Assumptions'!$D$93</f>
        <v>2851.3381518300462</v>
      </c>
      <c r="P19" s="13">
        <f>O19*'ABP Future Assumptions'!$D$93</f>
        <v>2837.0814610708958</v>
      </c>
      <c r="Q19" s="13">
        <f>P19*'ABP Future Assumptions'!$D$93</f>
        <v>2822.8960537655412</v>
      </c>
      <c r="R19" s="13">
        <f>Q19*'ABP Future Assumptions'!$D$93</f>
        <v>2808.7815734967135</v>
      </c>
      <c r="S19" s="13">
        <f>R19*'ABP Future Assumptions'!$D$93</f>
        <v>2794.7376656292299</v>
      </c>
      <c r="T19" s="13">
        <f>S19*'ABP Future Assumptions'!$D$93</f>
        <v>2780.7639773010837</v>
      </c>
      <c r="U19" s="149"/>
      <c r="V19" s="149"/>
      <c r="W19" s="149"/>
      <c r="X19" s="149"/>
    </row>
    <row r="20" spans="2:24" x14ac:dyDescent="0.35">
      <c r="B20" s="221" t="s">
        <v>141</v>
      </c>
      <c r="C20" s="79">
        <f>'ABP Future Assumptions'!C17</f>
        <v>5333.9890926942562</v>
      </c>
      <c r="D20" s="151">
        <f>'ABP Future Assumptions'!F17</f>
        <v>0.15303</v>
      </c>
      <c r="E20" s="155">
        <f>SUM(F20:X20)</f>
        <v>103582.75827684751</v>
      </c>
      <c r="F20" s="13">
        <f>(C20*D20*8760)/1000</f>
        <v>7150.4406734898175</v>
      </c>
      <c r="G20" s="13">
        <f>F20*'ABP Future Assumptions'!$D$93</f>
        <v>7114.688470122368</v>
      </c>
      <c r="H20" s="13">
        <f>G20*'ABP Future Assumptions'!$D$93</f>
        <v>7079.1150277717561</v>
      </c>
      <c r="I20" s="13">
        <f>H20*'ABP Future Assumptions'!$D$93</f>
        <v>7043.7194526328976</v>
      </c>
      <c r="J20" s="13">
        <f>I20*'ABP Future Assumptions'!$D$93</f>
        <v>7008.5008553697335</v>
      </c>
      <c r="K20" s="13">
        <f>J20*'ABP Future Assumptions'!$D$93</f>
        <v>6973.4583510928851</v>
      </c>
      <c r="L20" s="13">
        <f>K20*'ABP Future Assumptions'!$D$93</f>
        <v>6938.591059337421</v>
      </c>
      <c r="M20" s="13">
        <f>L20*'ABP Future Assumptions'!$D$93</f>
        <v>6903.8981040407343</v>
      </c>
      <c r="N20" s="13">
        <f>M20*'ABP Future Assumptions'!$D$93</f>
        <v>6869.378613520531</v>
      </c>
      <c r="O20" s="13">
        <f>N20*'ABP Future Assumptions'!$D$93</f>
        <v>6835.0317204529283</v>
      </c>
      <c r="P20" s="13">
        <f>O20*'ABP Future Assumptions'!$D$93</f>
        <v>6800.8565618506636</v>
      </c>
      <c r="Q20" s="13">
        <f>P20*'ABP Future Assumptions'!$D$93</f>
        <v>6766.8522790414099</v>
      </c>
      <c r="R20" s="13">
        <f>Q20*'ABP Future Assumptions'!$D$93</f>
        <v>6733.0180176462027</v>
      </c>
      <c r="S20" s="13">
        <f>R20*'ABP Future Assumptions'!$D$93</f>
        <v>6699.3529275579713</v>
      </c>
      <c r="T20" s="13">
        <f>S20*'ABP Future Assumptions'!$D$93</f>
        <v>6665.8561629201813</v>
      </c>
      <c r="U20" s="149"/>
      <c r="V20" s="149"/>
      <c r="W20" s="149"/>
      <c r="X20" s="149"/>
    </row>
    <row r="21" spans="2:24" x14ac:dyDescent="0.35">
      <c r="B21" s="221" t="s">
        <v>148</v>
      </c>
      <c r="C21" s="79">
        <f>'ABP Future Assumptions'!C18</f>
        <v>25411.385429703292</v>
      </c>
      <c r="D21" s="151">
        <f>'ABP Future Assumptions'!F18</f>
        <v>0.14410999999999999</v>
      </c>
      <c r="E21" s="155">
        <f>SUM(F21:X21)</f>
        <v>464709.1584885965</v>
      </c>
      <c r="F21" s="13">
        <f>(C21*D21*8760)/1000</f>
        <v>32079.424447444984</v>
      </c>
      <c r="G21" s="13">
        <f>F21*'ABP Future Assumptions'!$D$93</f>
        <v>31919.02732520776</v>
      </c>
      <c r="H21" s="13">
        <f>G21*'ABP Future Assumptions'!$D$93</f>
        <v>31759.432188581723</v>
      </c>
      <c r="I21" s="13">
        <f>H21*'ABP Future Assumptions'!$D$93</f>
        <v>31600.635027638815</v>
      </c>
      <c r="J21" s="13">
        <f>I21*'ABP Future Assumptions'!$D$93</f>
        <v>31442.631852500621</v>
      </c>
      <c r="K21" s="13">
        <f>J21*'ABP Future Assumptions'!$D$93</f>
        <v>31285.418693238116</v>
      </c>
      <c r="L21" s="13">
        <f>K21*'ABP Future Assumptions'!$D$93</f>
        <v>31128.991599771925</v>
      </c>
      <c r="M21" s="13">
        <f>L21*'ABP Future Assumptions'!$D$93</f>
        <v>30973.346641773067</v>
      </c>
      <c r="N21" s="13">
        <f>M21*'ABP Future Assumptions'!$D$93</f>
        <v>30818.479908564201</v>
      </c>
      <c r="O21" s="13">
        <f>N21*'ABP Future Assumptions'!$D$93</f>
        <v>30664.387509021381</v>
      </c>
      <c r="P21" s="13">
        <f>O21*'ABP Future Assumptions'!$D$93</f>
        <v>30511.065571476272</v>
      </c>
      <c r="Q21" s="13">
        <f>P21*'ABP Future Assumptions'!$D$93</f>
        <v>30358.51024361889</v>
      </c>
      <c r="R21" s="13">
        <f>Q21*'ABP Future Assumptions'!$D$93</f>
        <v>30206.717692400794</v>
      </c>
      <c r="S21" s="13">
        <f>R21*'ABP Future Assumptions'!$D$93</f>
        <v>30055.684103938791</v>
      </c>
      <c r="T21" s="13">
        <f>S21*'ABP Future Assumptions'!$D$93</f>
        <v>29905.405683419096</v>
      </c>
      <c r="U21" s="149"/>
      <c r="V21" s="149"/>
      <c r="W21" s="149"/>
      <c r="X21" s="149"/>
    </row>
    <row r="22" spans="2:24" x14ac:dyDescent="0.35">
      <c r="B22" s="221" t="s">
        <v>143</v>
      </c>
      <c r="C22" s="79">
        <f>'ABP Future Assumptions'!C19</f>
        <v>0</v>
      </c>
      <c r="D22" s="151">
        <f>'ABP Future Assumptions'!F19</f>
        <v>0</v>
      </c>
      <c r="E22" s="155"/>
      <c r="F22" s="13"/>
      <c r="G22" s="13"/>
      <c r="H22" s="13"/>
      <c r="I22" s="13"/>
      <c r="J22" s="13"/>
      <c r="K22" s="13"/>
      <c r="L22" s="13"/>
      <c r="M22" s="13"/>
      <c r="N22" s="13"/>
      <c r="O22" s="13"/>
      <c r="P22" s="13"/>
      <c r="Q22" s="13"/>
      <c r="R22" s="13"/>
      <c r="S22" s="13"/>
      <c r="T22" s="13"/>
      <c r="U22" s="149"/>
      <c r="V22" s="149"/>
      <c r="W22" s="149"/>
      <c r="X22" s="149"/>
    </row>
    <row r="23" spans="2:24" x14ac:dyDescent="0.35">
      <c r="B23" s="179" t="s">
        <v>144</v>
      </c>
      <c r="C23" s="174">
        <f>'ABP Future Assumptions'!C20</f>
        <v>84042</v>
      </c>
      <c r="D23" s="104"/>
      <c r="E23" s="154"/>
      <c r="F23" s="153"/>
      <c r="G23" s="13"/>
      <c r="H23" s="153"/>
      <c r="I23" s="153"/>
      <c r="J23" s="153"/>
      <c r="K23" s="153"/>
      <c r="L23" s="153"/>
      <c r="M23" s="153"/>
      <c r="N23" s="153"/>
      <c r="O23" s="153"/>
      <c r="P23" s="153"/>
      <c r="Q23" s="153"/>
      <c r="R23" s="153"/>
      <c r="S23" s="153"/>
      <c r="T23" s="153"/>
      <c r="U23" s="179"/>
      <c r="V23" s="179"/>
      <c r="W23" s="179"/>
      <c r="X23" s="179"/>
    </row>
    <row r="24" spans="2:24" x14ac:dyDescent="0.35">
      <c r="B24" s="221" t="s">
        <v>145</v>
      </c>
      <c r="C24" s="79">
        <f>'ABP Future Assumptions'!C21</f>
        <v>3178.3094186097378</v>
      </c>
      <c r="D24" s="151">
        <f>'ABP Future Assumptions'!F21</f>
        <v>0.14305999999999999</v>
      </c>
      <c r="E24" s="155">
        <f>SUM(F24:X24)</f>
        <v>57699.648250603808</v>
      </c>
      <c r="F24" s="13">
        <f>(C24*D24*8760)/1000</f>
        <v>3983.0751619344674</v>
      </c>
      <c r="G24" s="13">
        <f>F24*'ABP Future Assumptions'!$D$93</f>
        <v>3963.1597861247951</v>
      </c>
      <c r="H24" s="13">
        <f>G24*'ABP Future Assumptions'!$D$93</f>
        <v>3943.3439871941709</v>
      </c>
      <c r="I24" s="13">
        <f>H24*'ABP Future Assumptions'!$D$93</f>
        <v>3923.6272672581999</v>
      </c>
      <c r="J24" s="13">
        <f>I24*'ABP Future Assumptions'!$D$93</f>
        <v>3904.0091309219088</v>
      </c>
      <c r="K24" s="13">
        <f>J24*'ABP Future Assumptions'!$D$93</f>
        <v>3884.4890852672993</v>
      </c>
      <c r="L24" s="13">
        <f>K24*'ABP Future Assumptions'!$D$93</f>
        <v>3865.0666398409626</v>
      </c>
      <c r="M24" s="13">
        <f>L24*'ABP Future Assumptions'!$D$93</f>
        <v>3845.7413066417575</v>
      </c>
      <c r="N24" s="13">
        <f>M24*'ABP Future Assumptions'!$D$93</f>
        <v>3826.5126001085487</v>
      </c>
      <c r="O24" s="13">
        <f>N24*'ABP Future Assumptions'!$D$93</f>
        <v>3807.380037108006</v>
      </c>
      <c r="P24" s="13">
        <f>O24*'ABP Future Assumptions'!$D$93</f>
        <v>3788.3431369224659</v>
      </c>
      <c r="Q24" s="13">
        <f>P24*'ABP Future Assumptions'!$D$93</f>
        <v>3769.4014212378534</v>
      </c>
      <c r="R24" s="13">
        <f>Q24*'ABP Future Assumptions'!$D$93</f>
        <v>3750.5544141316641</v>
      </c>
      <c r="S24" s="13">
        <f>R24*'ABP Future Assumptions'!$D$93</f>
        <v>3731.8016420610056</v>
      </c>
      <c r="T24" s="13">
        <f>S24*'ABP Future Assumptions'!$D$93</f>
        <v>3713.1426338507008</v>
      </c>
      <c r="U24" s="149"/>
      <c r="V24" s="149"/>
      <c r="W24" s="149"/>
      <c r="X24" s="149"/>
    </row>
    <row r="25" spans="2:24" x14ac:dyDescent="0.35">
      <c r="B25" s="221" t="s">
        <v>140</v>
      </c>
      <c r="C25" s="79">
        <f>'ABP Future Assumptions'!C22</f>
        <v>2474.9525351065226</v>
      </c>
      <c r="D25" s="151">
        <f>'ABP Future Assumptions'!F22</f>
        <v>0.14176</v>
      </c>
      <c r="E25" s="155">
        <f>SUM(F25:X25)</f>
        <v>44522.480150547606</v>
      </c>
      <c r="F25" s="13">
        <f>(C25*D25*8760)/1000</f>
        <v>3073.4396172598977</v>
      </c>
      <c r="G25" s="13">
        <f>F25*'ABP Future Assumptions'!$D$93</f>
        <v>3058.0724191735981</v>
      </c>
      <c r="H25" s="13">
        <f>G25*'ABP Future Assumptions'!$D$93</f>
        <v>3042.7820570777299</v>
      </c>
      <c r="I25" s="13">
        <f>H25*'ABP Future Assumptions'!$D$93</f>
        <v>3027.5681467923414</v>
      </c>
      <c r="J25" s="13">
        <f>I25*'ABP Future Assumptions'!$D$93</f>
        <v>3012.4303060583798</v>
      </c>
      <c r="K25" s="13">
        <f>J25*'ABP Future Assumptions'!$D$93</f>
        <v>2997.3681545280879</v>
      </c>
      <c r="L25" s="13">
        <f>K25*'ABP Future Assumptions'!$D$93</f>
        <v>2982.3813137554475</v>
      </c>
      <c r="M25" s="13">
        <f>L25*'ABP Future Assumptions'!$D$93</f>
        <v>2967.4694071866702</v>
      </c>
      <c r="N25" s="13">
        <f>M25*'ABP Future Assumptions'!$D$93</f>
        <v>2952.6320601507368</v>
      </c>
      <c r="O25" s="13">
        <f>N25*'ABP Future Assumptions'!$D$93</f>
        <v>2937.8688998499833</v>
      </c>
      <c r="P25" s="13">
        <f>O25*'ABP Future Assumptions'!$D$93</f>
        <v>2923.1795553507336</v>
      </c>
      <c r="Q25" s="13">
        <f>P25*'ABP Future Assumptions'!$D$93</f>
        <v>2908.56365757398</v>
      </c>
      <c r="R25" s="13">
        <f>Q25*'ABP Future Assumptions'!$D$93</f>
        <v>2894.02083928611</v>
      </c>
      <c r="S25" s="13">
        <f>R25*'ABP Future Assumptions'!$D$93</f>
        <v>2879.5507350896796</v>
      </c>
      <c r="T25" s="13">
        <f>S25*'ABP Future Assumptions'!$D$93</f>
        <v>2865.1529814142314</v>
      </c>
      <c r="U25" s="149"/>
      <c r="V25" s="149"/>
      <c r="W25" s="149"/>
      <c r="X25" s="149"/>
    </row>
    <row r="26" spans="2:24" x14ac:dyDescent="0.35">
      <c r="B26" s="221" t="s">
        <v>141</v>
      </c>
      <c r="C26" s="79">
        <f>'ABP Future Assumptions'!C23</f>
        <v>9173.1101535500238</v>
      </c>
      <c r="D26" s="151">
        <f>'ABP Future Assumptions'!F23</f>
        <v>0.14119000000000001</v>
      </c>
      <c r="E26" s="155">
        <f>SUM(F26:X26)</f>
        <v>164353.63618540141</v>
      </c>
      <c r="F26" s="13">
        <f>(C26*D26*8760)/1000</f>
        <v>11345.526461798416</v>
      </c>
      <c r="G26" s="13">
        <f>F26*'ABP Future Assumptions'!$D$93</f>
        <v>11288.798829489424</v>
      </c>
      <c r="H26" s="13">
        <f>G26*'ABP Future Assumptions'!$D$93</f>
        <v>11232.354835341977</v>
      </c>
      <c r="I26" s="13">
        <f>H26*'ABP Future Assumptions'!$D$93</f>
        <v>11176.193061165268</v>
      </c>
      <c r="J26" s="13">
        <f>I26*'ABP Future Assumptions'!$D$93</f>
        <v>11120.312095859441</v>
      </c>
      <c r="K26" s="13">
        <f>J26*'ABP Future Assumptions'!$D$93</f>
        <v>11064.710535380143</v>
      </c>
      <c r="L26" s="13">
        <f>K26*'ABP Future Assumptions'!$D$93</f>
        <v>11009.386982703243</v>
      </c>
      <c r="M26" s="13">
        <f>L26*'ABP Future Assumptions'!$D$93</f>
        <v>10954.340047789727</v>
      </c>
      <c r="N26" s="13">
        <f>M26*'ABP Future Assumptions'!$D$93</f>
        <v>10899.568347550778</v>
      </c>
      <c r="O26" s="13">
        <f>N26*'ABP Future Assumptions'!$D$93</f>
        <v>10845.070505813024</v>
      </c>
      <c r="P26" s="13">
        <f>O26*'ABP Future Assumptions'!$D$93</f>
        <v>10790.845153283959</v>
      </c>
      <c r="Q26" s="13">
        <f>P26*'ABP Future Assumptions'!$D$93</f>
        <v>10736.890927517539</v>
      </c>
      <c r="R26" s="13">
        <f>Q26*'ABP Future Assumptions'!$D$93</f>
        <v>10683.206472879952</v>
      </c>
      <c r="S26" s="13">
        <f>R26*'ABP Future Assumptions'!$D$93</f>
        <v>10629.790440515553</v>
      </c>
      <c r="T26" s="13">
        <f>S26*'ABP Future Assumptions'!$D$93</f>
        <v>10576.641488312975</v>
      </c>
      <c r="U26" s="149"/>
      <c r="V26" s="149"/>
      <c r="W26" s="149"/>
      <c r="X26" s="149"/>
    </row>
    <row r="27" spans="2:24" x14ac:dyDescent="0.35">
      <c r="B27" s="221" t="s">
        <v>148</v>
      </c>
      <c r="C27" s="79">
        <f>'ABP Future Assumptions'!C24</f>
        <v>69215.598713854502</v>
      </c>
      <c r="D27" s="151">
        <f>'ABP Future Assumptions'!F24</f>
        <v>0.1497</v>
      </c>
      <c r="E27" s="155">
        <f>SUM(F27:X27)</f>
        <v>1314875.2486523199</v>
      </c>
      <c r="F27" s="13">
        <f>(C27*D27*8760)/1000</f>
        <v>90767.398116584809</v>
      </c>
      <c r="G27" s="13">
        <f>F27*'ABP Future Assumptions'!$D$93</f>
        <v>90313.561126001878</v>
      </c>
      <c r="H27" s="13">
        <f>G27*'ABP Future Assumptions'!$D$93</f>
        <v>89861.993320371868</v>
      </c>
      <c r="I27" s="13">
        <f>H27*'ABP Future Assumptions'!$D$93</f>
        <v>89412.683353770015</v>
      </c>
      <c r="J27" s="13">
        <f>I27*'ABP Future Assumptions'!$D$93</f>
        <v>88965.61993700116</v>
      </c>
      <c r="K27" s="13">
        <f>J27*'ABP Future Assumptions'!$D$93</f>
        <v>88520.791837316152</v>
      </c>
      <c r="L27" s="13">
        <f>K27*'ABP Future Assumptions'!$D$93</f>
        <v>88078.187878129567</v>
      </c>
      <c r="M27" s="13">
        <f>L27*'ABP Future Assumptions'!$D$93</f>
        <v>87637.796938738917</v>
      </c>
      <c r="N27" s="13">
        <f>M27*'ABP Future Assumptions'!$D$93</f>
        <v>87199.607954045219</v>
      </c>
      <c r="O27" s="13">
        <f>N27*'ABP Future Assumptions'!$D$93</f>
        <v>86763.609914274988</v>
      </c>
      <c r="P27" s="13">
        <f>O27*'ABP Future Assumptions'!$D$93</f>
        <v>86329.791864703613</v>
      </c>
      <c r="Q27" s="13">
        <f>P27*'ABP Future Assumptions'!$D$93</f>
        <v>85898.142905380097</v>
      </c>
      <c r="R27" s="13">
        <f>Q27*'ABP Future Assumptions'!$D$93</f>
        <v>85468.652190853201</v>
      </c>
      <c r="S27" s="13">
        <f>R27*'ABP Future Assumptions'!$D$93</f>
        <v>85041.308929898936</v>
      </c>
      <c r="T27" s="13">
        <f>S27*'ABP Future Assumptions'!$D$93</f>
        <v>84616.10238524944</v>
      </c>
      <c r="U27" s="149"/>
      <c r="V27" s="149"/>
      <c r="W27" s="149"/>
      <c r="X27" s="149"/>
    </row>
    <row r="28" spans="2:24" x14ac:dyDescent="0.35">
      <c r="B28" s="221" t="s">
        <v>143</v>
      </c>
      <c r="C28" s="79">
        <f>'ABP Future Assumptions'!C25</f>
        <v>0</v>
      </c>
      <c r="D28" s="151">
        <f>'ABP Future Assumptions'!F25</f>
        <v>0</v>
      </c>
      <c r="E28" s="155"/>
      <c r="F28" s="13"/>
      <c r="G28" s="13"/>
      <c r="H28" s="13"/>
      <c r="I28" s="13"/>
      <c r="J28" s="13"/>
      <c r="K28" s="13"/>
      <c r="L28" s="13"/>
      <c r="M28" s="13"/>
      <c r="N28" s="13"/>
      <c r="O28" s="13"/>
      <c r="P28" s="13"/>
      <c r="Q28" s="13"/>
      <c r="R28" s="13"/>
      <c r="S28" s="13"/>
      <c r="T28" s="13"/>
      <c r="U28" s="149"/>
      <c r="V28" s="149"/>
      <c r="W28" s="149"/>
      <c r="X28" s="149"/>
    </row>
    <row r="29" spans="2:24" x14ac:dyDescent="0.35">
      <c r="B29" s="14" t="s">
        <v>146</v>
      </c>
      <c r="C29" s="79">
        <f>'ABP Future Assumptions'!C26</f>
        <v>180090</v>
      </c>
      <c r="D29" s="157"/>
      <c r="E29" s="154"/>
      <c r="F29" s="156">
        <f t="shared" ref="F29:X29" si="4">SUM(F30:F31)</f>
        <v>0</v>
      </c>
      <c r="G29" s="156">
        <f t="shared" si="4"/>
        <v>266722.870788</v>
      </c>
      <c r="H29" s="156">
        <f t="shared" si="4"/>
        <v>265389.25643405999</v>
      </c>
      <c r="I29" s="156">
        <f t="shared" si="4"/>
        <v>264062.31015188969</v>
      </c>
      <c r="J29" s="156">
        <f t="shared" si="4"/>
        <v>262741.99860113027</v>
      </c>
      <c r="K29" s="156">
        <f t="shared" si="4"/>
        <v>261428.2886081246</v>
      </c>
      <c r="L29" s="156">
        <f t="shared" si="4"/>
        <v>260121.14716508397</v>
      </c>
      <c r="M29" s="156">
        <f t="shared" si="4"/>
        <v>258820.54142925856</v>
      </c>
      <c r="N29" s="156">
        <f t="shared" si="4"/>
        <v>257526.43872211227</v>
      </c>
      <c r="O29" s="156">
        <f t="shared" si="4"/>
        <v>256238.80652850171</v>
      </c>
      <c r="P29" s="156">
        <f t="shared" si="4"/>
        <v>254957.61249585918</v>
      </c>
      <c r="Q29" s="156">
        <f t="shared" si="4"/>
        <v>253682.82443337986</v>
      </c>
      <c r="R29" s="156">
        <f t="shared" si="4"/>
        <v>252414.41031121297</v>
      </c>
      <c r="S29" s="156">
        <f t="shared" si="4"/>
        <v>251152.33825965691</v>
      </c>
      <c r="T29" s="156">
        <f t="shared" si="4"/>
        <v>249896.57656835864</v>
      </c>
      <c r="U29" s="156">
        <f t="shared" si="4"/>
        <v>248647.09368551683</v>
      </c>
      <c r="V29" s="156">
        <f t="shared" si="4"/>
        <v>247403.85821708923</v>
      </c>
      <c r="W29" s="156">
        <f t="shared" si="4"/>
        <v>246166.83892600378</v>
      </c>
      <c r="X29" s="156">
        <f t="shared" si="4"/>
        <v>244936.00473137377</v>
      </c>
    </row>
    <row r="30" spans="2:24" x14ac:dyDescent="0.35">
      <c r="B30" s="179" t="s">
        <v>147</v>
      </c>
      <c r="C30" s="174">
        <f>'ABP Future Assumptions'!C27</f>
        <v>54027</v>
      </c>
      <c r="D30" s="151">
        <f>'ABP Future Assumptions'!F27</f>
        <v>0.16907</v>
      </c>
      <c r="E30" s="155">
        <f>SUM(F30:X30)</f>
        <v>1380692.7648169841</v>
      </c>
      <c r="F30" s="13"/>
      <c r="G30" s="13">
        <f>(($C30*$D30)*8760)/1000</f>
        <v>80016.861236400015</v>
      </c>
      <c r="H30" s="13">
        <f>G30*'ABP Future Assumptions'!$D$93</f>
        <v>79616.77693021801</v>
      </c>
      <c r="I30" s="13">
        <f>H30*'ABP Future Assumptions'!$D$93</f>
        <v>79218.693045566921</v>
      </c>
      <c r="J30" s="13">
        <f>I30*'ABP Future Assumptions'!$D$93</f>
        <v>78822.599580339083</v>
      </c>
      <c r="K30" s="13">
        <f>J30*'ABP Future Assumptions'!$D$93</f>
        <v>78428.486582437385</v>
      </c>
      <c r="L30" s="13">
        <f>K30*'ABP Future Assumptions'!$D$93</f>
        <v>78036.344149525205</v>
      </c>
      <c r="M30" s="13">
        <f>L30*'ABP Future Assumptions'!$D$93</f>
        <v>77646.162428777578</v>
      </c>
      <c r="N30" s="13">
        <f>M30*'ABP Future Assumptions'!$D$93</f>
        <v>77257.931616633694</v>
      </c>
      <c r="O30" s="13">
        <f>N30*'ABP Future Assumptions'!$D$93</f>
        <v>76871.641958550521</v>
      </c>
      <c r="P30" s="13">
        <f>O30*'ABP Future Assumptions'!$D$93</f>
        <v>76487.283748757764</v>
      </c>
      <c r="Q30" s="13">
        <f>P30*'ABP Future Assumptions'!$D$93</f>
        <v>76104.847330013974</v>
      </c>
      <c r="R30" s="13">
        <f>Q30*'ABP Future Assumptions'!$D$93</f>
        <v>75724.323093363899</v>
      </c>
      <c r="S30" s="13">
        <f>R30*'ABP Future Assumptions'!$D$93</f>
        <v>75345.701477897077</v>
      </c>
      <c r="T30" s="13">
        <f>S30*'ABP Future Assumptions'!$D$93</f>
        <v>74968.972970507588</v>
      </c>
      <c r="U30" s="13">
        <f>T30*'ABP Future Assumptions'!$D$93</f>
        <v>74594.128105655051</v>
      </c>
      <c r="V30" s="13">
        <f>U30*'ABP Future Assumptions'!$D$93</f>
        <v>74221.157465126773</v>
      </c>
      <c r="W30" s="13">
        <f>V30*'ABP Future Assumptions'!$D$93</f>
        <v>73850.051677801137</v>
      </c>
      <c r="X30" s="13">
        <f>W30*'ABP Future Assumptions'!$D$93</f>
        <v>73480.801419412135</v>
      </c>
    </row>
    <row r="31" spans="2:24" x14ac:dyDescent="0.35">
      <c r="B31" s="179" t="s">
        <v>150</v>
      </c>
      <c r="C31" s="174">
        <f>'ABP Future Assumptions'!C35</f>
        <v>126062.99999999999</v>
      </c>
      <c r="D31" s="151">
        <f>'ABP Future Assumptions'!F28</f>
        <v>0.16907</v>
      </c>
      <c r="E31" s="155">
        <f>SUM(F31:X31)</f>
        <v>3221616.4512396283</v>
      </c>
      <c r="F31" s="13"/>
      <c r="G31" s="13">
        <f>(($C31*$D31)*8760)/1000</f>
        <v>186706.00955159997</v>
      </c>
      <c r="H31" s="13">
        <f>G31*'ABP Future Assumptions'!$D$93</f>
        <v>185772.47950384198</v>
      </c>
      <c r="I31" s="13">
        <f>H31*'ABP Future Assumptions'!$D$93</f>
        <v>184843.61710632278</v>
      </c>
      <c r="J31" s="13">
        <f>I31*'ABP Future Assumptions'!$D$93</f>
        <v>183919.39902079117</v>
      </c>
      <c r="K31" s="13">
        <f>J31*'ABP Future Assumptions'!$D$93</f>
        <v>182999.80202568721</v>
      </c>
      <c r="L31" s="13">
        <f>K31*'ABP Future Assumptions'!$D$93</f>
        <v>182084.80301555878</v>
      </c>
      <c r="M31" s="13">
        <f>L31*'ABP Future Assumptions'!$D$93</f>
        <v>181174.37900048099</v>
      </c>
      <c r="N31" s="13">
        <f>M31*'ABP Future Assumptions'!$D$93</f>
        <v>180268.50710547858</v>
      </c>
      <c r="O31" s="13">
        <f>N31*'ABP Future Assumptions'!$D$93</f>
        <v>179367.16456995119</v>
      </c>
      <c r="P31" s="13">
        <f>O31*'ABP Future Assumptions'!$D$93</f>
        <v>178470.32874710142</v>
      </c>
      <c r="Q31" s="13">
        <f>P31*'ABP Future Assumptions'!$D$93</f>
        <v>177577.97710336591</v>
      </c>
      <c r="R31" s="13">
        <f>Q31*'ABP Future Assumptions'!$D$93</f>
        <v>176690.08721784907</v>
      </c>
      <c r="S31" s="13">
        <f>R31*'ABP Future Assumptions'!$D$93</f>
        <v>175806.63678175982</v>
      </c>
      <c r="T31" s="13">
        <f>S31*'ABP Future Assumptions'!$D$93</f>
        <v>174927.60359785103</v>
      </c>
      <c r="U31" s="13">
        <f>T31*'ABP Future Assumptions'!$D$93</f>
        <v>174052.96557986178</v>
      </c>
      <c r="V31" s="13">
        <f>U31*'ABP Future Assumptions'!$D$93</f>
        <v>173182.70075196246</v>
      </c>
      <c r="W31" s="13">
        <f>V31*'ABP Future Assumptions'!$D$93</f>
        <v>172316.78724820266</v>
      </c>
      <c r="X31" s="13">
        <f>W31*'ABP Future Assumptions'!$D$93</f>
        <v>171455.20331196164</v>
      </c>
    </row>
    <row r="32" spans="2:24" x14ac:dyDescent="0.35">
      <c r="B32" s="14" t="s">
        <v>151</v>
      </c>
      <c r="C32" s="79">
        <f>'ABP Future Assumptions'!C43</f>
        <v>86710</v>
      </c>
      <c r="D32" s="157"/>
      <c r="E32" s="154"/>
      <c r="F32" s="156">
        <f t="shared" ref="F32:X32" si="5">SUM(F33:F45)</f>
        <v>128422.12297199998</v>
      </c>
      <c r="G32" s="156">
        <f t="shared" si="5"/>
        <v>127780.01235713999</v>
      </c>
      <c r="H32" s="156">
        <f t="shared" si="5"/>
        <v>127141.11229535428</v>
      </c>
      <c r="I32" s="156">
        <f t="shared" si="5"/>
        <v>126505.40673387751</v>
      </c>
      <c r="J32" s="156">
        <f t="shared" si="5"/>
        <v>125872.87970020811</v>
      </c>
      <c r="K32" s="156">
        <f t="shared" si="5"/>
        <v>125243.51530170708</v>
      </c>
      <c r="L32" s="156">
        <f t="shared" si="5"/>
        <v>124617.29772519854</v>
      </c>
      <c r="M32" s="156">
        <f t="shared" si="5"/>
        <v>123994.21123657255</v>
      </c>
      <c r="N32" s="156">
        <f t="shared" si="5"/>
        <v>123374.24018038969</v>
      </c>
      <c r="O32" s="156">
        <f t="shared" si="5"/>
        <v>122757.36897948774</v>
      </c>
      <c r="P32" s="156">
        <f t="shared" si="5"/>
        <v>122143.58213459028</v>
      </c>
      <c r="Q32" s="156">
        <f t="shared" si="5"/>
        <v>121532.86422391734</v>
      </c>
      <c r="R32" s="156">
        <f t="shared" si="5"/>
        <v>120925.19990279774</v>
      </c>
      <c r="S32" s="156">
        <f t="shared" si="5"/>
        <v>120320.57390328377</v>
      </c>
      <c r="T32" s="156">
        <f t="shared" si="5"/>
        <v>119718.97103376733</v>
      </c>
      <c r="U32" s="156">
        <f t="shared" si="5"/>
        <v>119120.3761785985</v>
      </c>
      <c r="V32" s="156">
        <f t="shared" si="5"/>
        <v>118524.77429770552</v>
      </c>
      <c r="W32" s="156">
        <f t="shared" si="5"/>
        <v>117932.15042621699</v>
      </c>
      <c r="X32" s="156">
        <f t="shared" si="5"/>
        <v>117342.4896740859</v>
      </c>
    </row>
    <row r="33" spans="2:24" x14ac:dyDescent="0.35">
      <c r="B33" s="179" t="s">
        <v>152</v>
      </c>
      <c r="C33" s="174">
        <f>'ABP Future Assumptions'!C44</f>
        <v>26013</v>
      </c>
      <c r="D33" s="104"/>
      <c r="E33" s="155"/>
      <c r="F33" s="13"/>
      <c r="G33" s="13"/>
      <c r="H33" s="13"/>
      <c r="I33" s="13"/>
      <c r="J33" s="13"/>
      <c r="K33" s="13"/>
      <c r="L33" s="13"/>
      <c r="M33" s="13"/>
      <c r="N33" s="13"/>
      <c r="O33" s="13"/>
      <c r="P33" s="13"/>
      <c r="Q33" s="13"/>
      <c r="R33" s="13"/>
      <c r="S33" s="13"/>
      <c r="T33" s="13"/>
      <c r="U33" s="149"/>
      <c r="V33" s="158"/>
      <c r="W33" s="158"/>
      <c r="X33" s="158"/>
    </row>
    <row r="34" spans="2:24" x14ac:dyDescent="0.35">
      <c r="B34" s="221" t="s">
        <v>153</v>
      </c>
      <c r="C34" s="79">
        <f>'ABP Future Assumptions'!C45</f>
        <v>1204.3055555555554</v>
      </c>
      <c r="D34" s="151">
        <f>'ABP Future Assumptions'!F31</f>
        <v>0.16907</v>
      </c>
      <c r="E34" s="155">
        <f>SUM(F34:X34)</f>
        <v>32406.515961901368</v>
      </c>
      <c r="F34" s="13">
        <f>(C34*D34*8760)/1000</f>
        <v>1783.6405968333331</v>
      </c>
      <c r="G34" s="13">
        <f>F34*'ABP Future Assumptions'!$D$93</f>
        <v>1774.7223938491663</v>
      </c>
      <c r="H34" s="13">
        <f>G34*'ABP Future Assumptions'!$D$93</f>
        <v>1765.8487818799206</v>
      </c>
      <c r="I34" s="13">
        <f>H34*'ABP Future Assumptions'!$D$93</f>
        <v>1757.019537970521</v>
      </c>
      <c r="J34" s="13">
        <f>I34*'ABP Future Assumptions'!$D$93</f>
        <v>1748.2344402806684</v>
      </c>
      <c r="K34" s="13">
        <f>J34*'ABP Future Assumptions'!$D$93</f>
        <v>1739.4932680792651</v>
      </c>
      <c r="L34" s="13">
        <f>K34*'ABP Future Assumptions'!$D$93</f>
        <v>1730.7958017388687</v>
      </c>
      <c r="M34" s="13">
        <f>L34*'ABP Future Assumptions'!$D$93</f>
        <v>1722.1418227301745</v>
      </c>
      <c r="N34" s="13">
        <f>M34*'ABP Future Assumptions'!$D$93</f>
        <v>1713.5311136165235</v>
      </c>
      <c r="O34" s="13">
        <f>N34*'ABP Future Assumptions'!$D$93</f>
        <v>1704.9634580484408</v>
      </c>
      <c r="P34" s="13">
        <f>O34*'ABP Future Assumptions'!$D$93</f>
        <v>1696.4386407581985</v>
      </c>
      <c r="Q34" s="13">
        <f>P34*'ABP Future Assumptions'!$D$93</f>
        <v>1687.9564475544075</v>
      </c>
      <c r="R34" s="13">
        <f>Q34*'ABP Future Assumptions'!$D$93</f>
        <v>1679.5166653166355</v>
      </c>
      <c r="S34" s="13">
        <f>R34*'ABP Future Assumptions'!$D$93</f>
        <v>1671.1190819900523</v>
      </c>
      <c r="T34" s="13">
        <f>S34*'ABP Future Assumptions'!$D$93</f>
        <v>1662.7634865801022</v>
      </c>
      <c r="U34" s="13">
        <f>T34*'ABP Future Assumptions'!$D$93</f>
        <v>1654.4496691472016</v>
      </c>
      <c r="V34" s="13">
        <f>U34*'ABP Future Assumptions'!$D$93</f>
        <v>1646.1774208014656</v>
      </c>
      <c r="W34" s="13">
        <f>V34*'ABP Future Assumptions'!$D$93</f>
        <v>1637.9465336974583</v>
      </c>
      <c r="X34" s="13">
        <f>W34*'ABP Future Assumptions'!$D$93</f>
        <v>1629.756801028971</v>
      </c>
    </row>
    <row r="35" spans="2:24" x14ac:dyDescent="0.35">
      <c r="B35" s="221" t="s">
        <v>145</v>
      </c>
      <c r="C35" s="79">
        <f>'ABP Future Assumptions'!C46</f>
        <v>1445.1666666666665</v>
      </c>
      <c r="D35" s="151">
        <f>'ABP Future Assumptions'!F32</f>
        <v>0.16907</v>
      </c>
      <c r="E35" s="155">
        <f>SUM(F35:X35)</f>
        <v>38887.819154281657</v>
      </c>
      <c r="F35" s="13">
        <f>(C35*D35*8760)/1000</f>
        <v>2140.3687161999997</v>
      </c>
      <c r="G35" s="13">
        <f>F35*'ABP Future Assumptions'!$D$93</f>
        <v>2129.6668726189996</v>
      </c>
      <c r="H35" s="13">
        <f>G35*'ABP Future Assumptions'!$D$93</f>
        <v>2119.0185382559048</v>
      </c>
      <c r="I35" s="13">
        <f>H35*'ABP Future Assumptions'!$D$93</f>
        <v>2108.4234455646251</v>
      </c>
      <c r="J35" s="13">
        <f>I35*'ABP Future Assumptions'!$D$93</f>
        <v>2097.8813283368022</v>
      </c>
      <c r="K35" s="13">
        <f>J35*'ABP Future Assumptions'!$D$93</f>
        <v>2087.3919216951181</v>
      </c>
      <c r="L35" s="13">
        <f>K35*'ABP Future Assumptions'!$D$93</f>
        <v>2076.9549620866424</v>
      </c>
      <c r="M35" s="13">
        <f>L35*'ABP Future Assumptions'!$D$93</f>
        <v>2066.5701872762093</v>
      </c>
      <c r="N35" s="13">
        <f>M35*'ABP Future Assumptions'!$D$93</f>
        <v>2056.2373363398283</v>
      </c>
      <c r="O35" s="13">
        <f>N35*'ABP Future Assumptions'!$D$93</f>
        <v>2045.9561496581291</v>
      </c>
      <c r="P35" s="13">
        <f>O35*'ABP Future Assumptions'!$D$93</f>
        <v>2035.7263689098384</v>
      </c>
      <c r="Q35" s="13">
        <f>P35*'ABP Future Assumptions'!$D$93</f>
        <v>2025.5477370652891</v>
      </c>
      <c r="R35" s="13">
        <f>Q35*'ABP Future Assumptions'!$D$93</f>
        <v>2015.4199983799626</v>
      </c>
      <c r="S35" s="13">
        <f>R35*'ABP Future Assumptions'!$D$93</f>
        <v>2005.3428983880628</v>
      </c>
      <c r="T35" s="13">
        <f>S35*'ABP Future Assumptions'!$D$93</f>
        <v>1995.3161838961225</v>
      </c>
      <c r="U35" s="13">
        <f>T35*'ABP Future Assumptions'!$D$93</f>
        <v>1985.339602976642</v>
      </c>
      <c r="V35" s="13">
        <f>U35*'ABP Future Assumptions'!$D$93</f>
        <v>1975.4129049617588</v>
      </c>
      <c r="W35" s="13">
        <f>V35*'ABP Future Assumptions'!$D$93</f>
        <v>1965.5358404369501</v>
      </c>
      <c r="X35" s="13">
        <f>W35*'ABP Future Assumptions'!$D$93</f>
        <v>1955.7081612347654</v>
      </c>
    </row>
    <row r="36" spans="2:24" x14ac:dyDescent="0.35">
      <c r="B36" s="221" t="s">
        <v>140</v>
      </c>
      <c r="C36" s="79">
        <f>'ABP Future Assumptions'!C47</f>
        <v>5539.8055555555557</v>
      </c>
      <c r="D36" s="151">
        <f>'ABP Future Assumptions'!F33</f>
        <v>0.16907</v>
      </c>
      <c r="E36" s="155">
        <f>SUM(F36:X36)</f>
        <v>149069.97342474636</v>
      </c>
      <c r="F36" s="13">
        <f>(C36*D36*8760)/1000</f>
        <v>8204.7467454333328</v>
      </c>
      <c r="G36" s="13">
        <f>F36*'ABP Future Assumptions'!$D$93</f>
        <v>8163.7230117061663</v>
      </c>
      <c r="H36" s="13">
        <f>G36*'ABP Future Assumptions'!$D$93</f>
        <v>8122.9043966476356</v>
      </c>
      <c r="I36" s="13">
        <f>H36*'ABP Future Assumptions'!$D$93</f>
        <v>8082.2898746643978</v>
      </c>
      <c r="J36" s="13">
        <f>I36*'ABP Future Assumptions'!$D$93</f>
        <v>8041.8784252910755</v>
      </c>
      <c r="K36" s="13">
        <f>J36*'ABP Future Assumptions'!$D$93</f>
        <v>8001.6690331646205</v>
      </c>
      <c r="L36" s="13">
        <f>K36*'ABP Future Assumptions'!$D$93</f>
        <v>7961.6606879987976</v>
      </c>
      <c r="M36" s="13">
        <f>L36*'ABP Future Assumptions'!$D$93</f>
        <v>7921.8523845588034</v>
      </c>
      <c r="N36" s="13">
        <f>M36*'ABP Future Assumptions'!$D$93</f>
        <v>7882.2431226360095</v>
      </c>
      <c r="O36" s="13">
        <f>N36*'ABP Future Assumptions'!$D$93</f>
        <v>7842.831907022829</v>
      </c>
      <c r="P36" s="13">
        <f>O36*'ABP Future Assumptions'!$D$93</f>
        <v>7803.617747487715</v>
      </c>
      <c r="Q36" s="13">
        <f>P36*'ABP Future Assumptions'!$D$93</f>
        <v>7764.5996587502759</v>
      </c>
      <c r="R36" s="13">
        <f>Q36*'ABP Future Assumptions'!$D$93</f>
        <v>7725.776660456525</v>
      </c>
      <c r="S36" s="13">
        <f>R36*'ABP Future Assumptions'!$D$93</f>
        <v>7687.1477771542422</v>
      </c>
      <c r="T36" s="13">
        <f>S36*'ABP Future Assumptions'!$D$93</f>
        <v>7648.7120382684707</v>
      </c>
      <c r="U36" s="13">
        <f>T36*'ABP Future Assumptions'!$D$93</f>
        <v>7610.4684780771286</v>
      </c>
      <c r="V36" s="13">
        <f>U36*'ABP Future Assumptions'!$D$93</f>
        <v>7572.4161356867426</v>
      </c>
      <c r="W36" s="13">
        <f>V36*'ABP Future Assumptions'!$D$93</f>
        <v>7534.5540550083088</v>
      </c>
      <c r="X36" s="13">
        <f>W36*'ABP Future Assumptions'!$D$93</f>
        <v>7496.8812847332674</v>
      </c>
    </row>
    <row r="37" spans="2:24" x14ac:dyDescent="0.35">
      <c r="B37" s="221" t="s">
        <v>141</v>
      </c>
      <c r="C37" s="79">
        <f>'ABP Future Assumptions'!C48</f>
        <v>11802.194444444445</v>
      </c>
      <c r="D37" s="151">
        <f>'ABP Future Assumptions'!F34</f>
        <v>0.16907</v>
      </c>
      <c r="E37" s="155">
        <f>SUM(F37:X37)</f>
        <v>317583.85642663349</v>
      </c>
      <c r="F37" s="13">
        <f>(C37*D37*8760)/1000</f>
        <v>17479.677848966669</v>
      </c>
      <c r="G37" s="13">
        <f>F37*'ABP Future Assumptions'!$D$93</f>
        <v>17392.279459721834</v>
      </c>
      <c r="H37" s="13">
        <f>G37*'ABP Future Assumptions'!$D$93</f>
        <v>17305.318062423226</v>
      </c>
      <c r="I37" s="13">
        <f>H37*'ABP Future Assumptions'!$D$93</f>
        <v>17218.791472111112</v>
      </c>
      <c r="J37" s="13">
        <f>I37*'ABP Future Assumptions'!$D$93</f>
        <v>17132.697514750555</v>
      </c>
      <c r="K37" s="13">
        <f>J37*'ABP Future Assumptions'!$D$93</f>
        <v>17047.0340271768</v>
      </c>
      <c r="L37" s="13">
        <f>K37*'ABP Future Assumptions'!$D$93</f>
        <v>16961.798857040914</v>
      </c>
      <c r="M37" s="13">
        <f>L37*'ABP Future Assumptions'!$D$93</f>
        <v>16876.989862755709</v>
      </c>
      <c r="N37" s="13">
        <f>M37*'ABP Future Assumptions'!$D$93</f>
        <v>16792.60491344193</v>
      </c>
      <c r="O37" s="13">
        <f>N37*'ABP Future Assumptions'!$D$93</f>
        <v>16708.641888874721</v>
      </c>
      <c r="P37" s="13">
        <f>O37*'ABP Future Assumptions'!$D$93</f>
        <v>16625.098679430346</v>
      </c>
      <c r="Q37" s="13">
        <f>P37*'ABP Future Assumptions'!$D$93</f>
        <v>16541.973186033196</v>
      </c>
      <c r="R37" s="13">
        <f>Q37*'ABP Future Assumptions'!$D$93</f>
        <v>16459.263320103029</v>
      </c>
      <c r="S37" s="13">
        <f>R37*'ABP Future Assumptions'!$D$93</f>
        <v>16376.967003502514</v>
      </c>
      <c r="T37" s="13">
        <f>S37*'ABP Future Assumptions'!$D$93</f>
        <v>16295.082168485002</v>
      </c>
      <c r="U37" s="13">
        <f>T37*'ABP Future Assumptions'!$D$93</f>
        <v>16213.606757642576</v>
      </c>
      <c r="V37" s="13">
        <f>U37*'ABP Future Assumptions'!$D$93</f>
        <v>16132.538723854363</v>
      </c>
      <c r="W37" s="13">
        <f>V37*'ABP Future Assumptions'!$D$93</f>
        <v>16051.876030235091</v>
      </c>
      <c r="X37" s="13">
        <f>W37*'ABP Future Assumptions'!$D$93</f>
        <v>15971.616650083915</v>
      </c>
    </row>
    <row r="38" spans="2:24" x14ac:dyDescent="0.35">
      <c r="B38" s="221" t="s">
        <v>148</v>
      </c>
      <c r="C38" s="79">
        <f>'ABP Future Assumptions'!C49</f>
        <v>6021.5277777777774</v>
      </c>
      <c r="D38" s="151">
        <f>'ABP Future Assumptions'!F35</f>
        <v>0.16907</v>
      </c>
      <c r="E38" s="155">
        <f>SUM(F38:X38)</f>
        <v>162032.57980950689</v>
      </c>
      <c r="F38" s="13">
        <f>(C38*D38*8760)/1000</f>
        <v>8918.2029841666663</v>
      </c>
      <c r="G38" s="13">
        <f>F38*'ABP Future Assumptions'!$D$93</f>
        <v>8873.6119692458324</v>
      </c>
      <c r="H38" s="13">
        <f>G38*'ABP Future Assumptions'!$D$93</f>
        <v>8829.2439093996036</v>
      </c>
      <c r="I38" s="13">
        <f>H38*'ABP Future Assumptions'!$D$93</f>
        <v>8785.097689852606</v>
      </c>
      <c r="J38" s="13">
        <f>I38*'ABP Future Assumptions'!$D$93</f>
        <v>8741.1722014033421</v>
      </c>
      <c r="K38" s="13">
        <f>J38*'ABP Future Assumptions'!$D$93</f>
        <v>8697.4663403963259</v>
      </c>
      <c r="L38" s="13">
        <f>K38*'ABP Future Assumptions'!$D$93</f>
        <v>8653.9790086943449</v>
      </c>
      <c r="M38" s="13">
        <f>L38*'ABP Future Assumptions'!$D$93</f>
        <v>8610.7091136508734</v>
      </c>
      <c r="N38" s="13">
        <f>M38*'ABP Future Assumptions'!$D$93</f>
        <v>8567.6555680826186</v>
      </c>
      <c r="O38" s="13">
        <f>N38*'ABP Future Assumptions'!$D$93</f>
        <v>8524.8172902422048</v>
      </c>
      <c r="P38" s="13">
        <f>O38*'ABP Future Assumptions'!$D$93</f>
        <v>8482.1932037909937</v>
      </c>
      <c r="Q38" s="13">
        <f>P38*'ABP Future Assumptions'!$D$93</f>
        <v>8439.7822377720386</v>
      </c>
      <c r="R38" s="13">
        <f>Q38*'ABP Future Assumptions'!$D$93</f>
        <v>8397.5833265831789</v>
      </c>
      <c r="S38" s="13">
        <f>R38*'ABP Future Assumptions'!$D$93</f>
        <v>8355.5954099502633</v>
      </c>
      <c r="T38" s="13">
        <f>S38*'ABP Future Assumptions'!$D$93</f>
        <v>8313.8174329005124</v>
      </c>
      <c r="U38" s="13">
        <f>T38*'ABP Future Assumptions'!$D$93</f>
        <v>8272.2483457360104</v>
      </c>
      <c r="V38" s="13">
        <f>U38*'ABP Future Assumptions'!$D$93</f>
        <v>8230.88710400733</v>
      </c>
      <c r="W38" s="13">
        <f>V38*'ABP Future Assumptions'!$D$93</f>
        <v>8189.7326684872933</v>
      </c>
      <c r="X38" s="13">
        <f>W38*'ABP Future Assumptions'!$D$93</f>
        <v>8148.7840051448566</v>
      </c>
    </row>
    <row r="39" spans="2:24" x14ac:dyDescent="0.35">
      <c r="B39" s="221" t="s">
        <v>143</v>
      </c>
      <c r="C39" s="79">
        <f>'ABP Future Assumptions'!C50</f>
        <v>0</v>
      </c>
      <c r="D39" s="151">
        <f>'ABP Future Assumptions'!F36</f>
        <v>0.16907</v>
      </c>
      <c r="E39" s="155"/>
      <c r="F39" s="13"/>
      <c r="G39" s="13"/>
      <c r="H39" s="13"/>
      <c r="I39" s="13"/>
      <c r="J39" s="13"/>
      <c r="K39" s="13"/>
      <c r="L39" s="13"/>
      <c r="M39" s="13"/>
      <c r="N39" s="13"/>
      <c r="O39" s="13"/>
      <c r="P39" s="13"/>
      <c r="Q39" s="13"/>
      <c r="R39" s="13"/>
      <c r="S39" s="13"/>
      <c r="T39" s="13"/>
      <c r="U39" s="13"/>
      <c r="V39" s="13"/>
      <c r="W39" s="13"/>
      <c r="X39" s="13"/>
    </row>
    <row r="40" spans="2:24" x14ac:dyDescent="0.35">
      <c r="B40" s="179" t="s">
        <v>154</v>
      </c>
      <c r="C40" s="174">
        <f>'ABP Future Assumptions'!C51</f>
        <v>60696.999999999993</v>
      </c>
      <c r="D40" s="104"/>
      <c r="E40" s="155"/>
      <c r="F40" s="13"/>
      <c r="G40" s="13"/>
      <c r="H40" s="13"/>
      <c r="I40" s="13"/>
      <c r="J40" s="13"/>
      <c r="K40" s="13"/>
      <c r="L40" s="13"/>
      <c r="M40" s="13"/>
      <c r="N40" s="13"/>
      <c r="O40" s="13"/>
      <c r="P40" s="13"/>
      <c r="Q40" s="13"/>
      <c r="R40" s="13"/>
      <c r="S40" s="13"/>
      <c r="T40" s="13"/>
      <c r="U40" s="13"/>
      <c r="V40" s="13"/>
      <c r="W40" s="13"/>
      <c r="X40" s="13"/>
    </row>
    <row r="41" spans="2:24" x14ac:dyDescent="0.35">
      <c r="B41" s="221" t="s">
        <v>153</v>
      </c>
      <c r="C41" s="79">
        <f>'ABP Future Assumptions'!C52</f>
        <v>2810.0462962962956</v>
      </c>
      <c r="D41" s="151">
        <f>'ABP Future Assumptions'!F38</f>
        <v>0.16907</v>
      </c>
      <c r="E41" s="155">
        <f>SUM(F41:X41)</f>
        <v>75615.203911103192</v>
      </c>
      <c r="F41" s="13">
        <f>(C41*D41*8760)/1000</f>
        <v>4161.8280592777764</v>
      </c>
      <c r="G41" s="13">
        <f>F41*'ABP Future Assumptions'!$D$93</f>
        <v>4141.0189189813873</v>
      </c>
      <c r="H41" s="13">
        <f>G41*'ABP Future Assumptions'!$D$93</f>
        <v>4120.3138243864805</v>
      </c>
      <c r="I41" s="13">
        <f>H41*'ABP Future Assumptions'!$D$93</f>
        <v>4099.7122552645478</v>
      </c>
      <c r="J41" s="13">
        <f>I41*'ABP Future Assumptions'!$D$93</f>
        <v>4079.2136939882253</v>
      </c>
      <c r="K41" s="13">
        <f>J41*'ABP Future Assumptions'!$D$93</f>
        <v>4058.8176255182843</v>
      </c>
      <c r="L41" s="13">
        <f>K41*'ABP Future Assumptions'!$D$93</f>
        <v>4038.523537390693</v>
      </c>
      <c r="M41" s="13">
        <f>L41*'ABP Future Assumptions'!$D$93</f>
        <v>4018.3309197037397</v>
      </c>
      <c r="N41" s="13">
        <f>M41*'ABP Future Assumptions'!$D$93</f>
        <v>3998.239265105221</v>
      </c>
      <c r="O41" s="13">
        <f>N41*'ABP Future Assumptions'!$D$93</f>
        <v>3978.2480687796947</v>
      </c>
      <c r="P41" s="13">
        <f>O41*'ABP Future Assumptions'!$D$93</f>
        <v>3958.3568284357962</v>
      </c>
      <c r="Q41" s="13">
        <f>P41*'ABP Future Assumptions'!$D$93</f>
        <v>3938.5650442936171</v>
      </c>
      <c r="R41" s="13">
        <f>Q41*'ABP Future Assumptions'!$D$93</f>
        <v>3918.8722190721492</v>
      </c>
      <c r="S41" s="13">
        <f>R41*'ABP Future Assumptions'!$D$93</f>
        <v>3899.2778579767883</v>
      </c>
      <c r="T41" s="13">
        <f>S41*'ABP Future Assumptions'!$D$93</f>
        <v>3879.7814686869042</v>
      </c>
      <c r="U41" s="13">
        <f>T41*'ABP Future Assumptions'!$D$93</f>
        <v>3860.3825613434697</v>
      </c>
      <c r="V41" s="13">
        <f>U41*'ABP Future Assumptions'!$D$93</f>
        <v>3841.0806485367525</v>
      </c>
      <c r="W41" s="13">
        <f>V41*'ABP Future Assumptions'!$D$93</f>
        <v>3821.8752452940689</v>
      </c>
      <c r="X41" s="13">
        <f>W41*'ABP Future Assumptions'!$D$93</f>
        <v>3802.7658690675985</v>
      </c>
    </row>
    <row r="42" spans="2:24" x14ac:dyDescent="0.35">
      <c r="B42" s="221" t="s">
        <v>145</v>
      </c>
      <c r="C42" s="79">
        <f>'ABP Future Assumptions'!C53</f>
        <v>3372.0555555555547</v>
      </c>
      <c r="D42" s="151">
        <f>'ABP Future Assumptions'!F39</f>
        <v>0.16907</v>
      </c>
      <c r="E42" s="155">
        <f>SUM(F42:X42)</f>
        <v>90738.244693323824</v>
      </c>
      <c r="F42" s="13">
        <f>(C42*D42*8760)/1000</f>
        <v>4994.1936711333328</v>
      </c>
      <c r="G42" s="13">
        <f>F42*'ABP Future Assumptions'!$D$93</f>
        <v>4969.2227027776662</v>
      </c>
      <c r="H42" s="13">
        <f>G42*'ABP Future Assumptions'!$D$93</f>
        <v>4944.3765892637775</v>
      </c>
      <c r="I42" s="13">
        <f>H42*'ABP Future Assumptions'!$D$93</f>
        <v>4919.6547063174585</v>
      </c>
      <c r="J42" s="13">
        <f>I42*'ABP Future Assumptions'!$D$93</f>
        <v>4895.056432785871</v>
      </c>
      <c r="K42" s="13">
        <f>J42*'ABP Future Assumptions'!$D$93</f>
        <v>4870.5811506219416</v>
      </c>
      <c r="L42" s="13">
        <f>K42*'ABP Future Assumptions'!$D$93</f>
        <v>4846.228244868832</v>
      </c>
      <c r="M42" s="13">
        <f>L42*'ABP Future Assumptions'!$D$93</f>
        <v>4821.9971036444877</v>
      </c>
      <c r="N42" s="13">
        <f>M42*'ABP Future Assumptions'!$D$93</f>
        <v>4797.8871181262648</v>
      </c>
      <c r="O42" s="13">
        <f>N42*'ABP Future Assumptions'!$D$93</f>
        <v>4773.8976825356331</v>
      </c>
      <c r="P42" s="13">
        <f>O42*'ABP Future Assumptions'!$D$93</f>
        <v>4750.028194122955</v>
      </c>
      <c r="Q42" s="13">
        <f>P42*'ABP Future Assumptions'!$D$93</f>
        <v>4726.2780531523404</v>
      </c>
      <c r="R42" s="13">
        <f>Q42*'ABP Future Assumptions'!$D$93</f>
        <v>4702.6466628865783</v>
      </c>
      <c r="S42" s="13">
        <f>R42*'ABP Future Assumptions'!$D$93</f>
        <v>4679.1334295721454</v>
      </c>
      <c r="T42" s="13">
        <f>S42*'ABP Future Assumptions'!$D$93</f>
        <v>4655.7377624242845</v>
      </c>
      <c r="U42" s="13">
        <f>T42*'ABP Future Assumptions'!$D$93</f>
        <v>4632.4590736121627</v>
      </c>
      <c r="V42" s="13">
        <f>U42*'ABP Future Assumptions'!$D$93</f>
        <v>4609.2967782441019</v>
      </c>
      <c r="W42" s="13">
        <f>V42*'ABP Future Assumptions'!$D$93</f>
        <v>4586.2502943528816</v>
      </c>
      <c r="X42" s="13">
        <f>W42*'ABP Future Assumptions'!$D$93</f>
        <v>4563.3190428811167</v>
      </c>
    </row>
    <row r="43" spans="2:24" x14ac:dyDescent="0.35">
      <c r="B43" s="221" t="s">
        <v>140</v>
      </c>
      <c r="C43" s="79">
        <f>'ABP Future Assumptions'!C54</f>
        <v>12926.212962962962</v>
      </c>
      <c r="D43" s="151">
        <f>'ABP Future Assumptions'!F40</f>
        <v>0.16907</v>
      </c>
      <c r="E43" s="155">
        <f>SUM(F43:X43)</f>
        <v>347829.93799107475</v>
      </c>
      <c r="F43" s="13">
        <f>(C43*D43*8760)/1000</f>
        <v>19144.409072677776</v>
      </c>
      <c r="G43" s="13">
        <f>F43*'ABP Future Assumptions'!$D$93</f>
        <v>19048.687027314387</v>
      </c>
      <c r="H43" s="13">
        <f>G43*'ABP Future Assumptions'!$D$93</f>
        <v>18953.443592177813</v>
      </c>
      <c r="I43" s="13">
        <f>H43*'ABP Future Assumptions'!$D$93</f>
        <v>18858.676374216924</v>
      </c>
      <c r="J43" s="13">
        <f>I43*'ABP Future Assumptions'!$D$93</f>
        <v>18764.38299234584</v>
      </c>
      <c r="K43" s="13">
        <f>J43*'ABP Future Assumptions'!$D$93</f>
        <v>18670.561077384111</v>
      </c>
      <c r="L43" s="13">
        <f>K43*'ABP Future Assumptions'!$D$93</f>
        <v>18577.208271997191</v>
      </c>
      <c r="M43" s="13">
        <f>L43*'ABP Future Assumptions'!$D$93</f>
        <v>18484.322230637204</v>
      </c>
      <c r="N43" s="13">
        <f>M43*'ABP Future Assumptions'!$D$93</f>
        <v>18391.900619484019</v>
      </c>
      <c r="O43" s="13">
        <f>N43*'ABP Future Assumptions'!$D$93</f>
        <v>18299.941116386599</v>
      </c>
      <c r="P43" s="13">
        <f>O43*'ABP Future Assumptions'!$D$93</f>
        <v>18208.441410804666</v>
      </c>
      <c r="Q43" s="13">
        <f>P43*'ABP Future Assumptions'!$D$93</f>
        <v>18117.399203750643</v>
      </c>
      <c r="R43" s="13">
        <f>Q43*'ABP Future Assumptions'!$D$93</f>
        <v>18026.812207731891</v>
      </c>
      <c r="S43" s="13">
        <f>R43*'ABP Future Assumptions'!$D$93</f>
        <v>17936.678146693233</v>
      </c>
      <c r="T43" s="13">
        <f>S43*'ABP Future Assumptions'!$D$93</f>
        <v>17846.994755959768</v>
      </c>
      <c r="U43" s="13">
        <f>T43*'ABP Future Assumptions'!$D$93</f>
        <v>17757.759782179968</v>
      </c>
      <c r="V43" s="13">
        <f>U43*'ABP Future Assumptions'!$D$93</f>
        <v>17668.970983269068</v>
      </c>
      <c r="W43" s="13">
        <f>V43*'ABP Future Assumptions'!$D$93</f>
        <v>17580.626128352724</v>
      </c>
      <c r="X43" s="13">
        <f>W43*'ABP Future Assumptions'!$D$93</f>
        <v>17492.72299771096</v>
      </c>
    </row>
    <row r="44" spans="2:24" x14ac:dyDescent="0.35">
      <c r="B44" s="221" t="s">
        <v>141</v>
      </c>
      <c r="C44" s="79">
        <f>'ABP Future Assumptions'!C55</f>
        <v>27538.453703703701</v>
      </c>
      <c r="D44" s="151">
        <f>'ABP Future Assumptions'!F41</f>
        <v>0.16907</v>
      </c>
      <c r="E44" s="155">
        <f>SUM(F44:X44)</f>
        <v>741028.99832881137</v>
      </c>
      <c r="F44" s="13">
        <f>(C44*D44*8760)/1000</f>
        <v>40785.914980922214</v>
      </c>
      <c r="G44" s="13">
        <f>F44*'ABP Future Assumptions'!$D$93</f>
        <v>40581.9854060176</v>
      </c>
      <c r="H44" s="13">
        <f>G44*'ABP Future Assumptions'!$D$93</f>
        <v>40379.075478987514</v>
      </c>
      <c r="I44" s="13">
        <f>H44*'ABP Future Assumptions'!$D$93</f>
        <v>40177.180101592574</v>
      </c>
      <c r="J44" s="13">
        <f>I44*'ABP Future Assumptions'!$D$93</f>
        <v>39976.294201084609</v>
      </c>
      <c r="K44" s="13">
        <f>J44*'ABP Future Assumptions'!$D$93</f>
        <v>39776.412730079188</v>
      </c>
      <c r="L44" s="13">
        <f>K44*'ABP Future Assumptions'!$D$93</f>
        <v>39577.530666428793</v>
      </c>
      <c r="M44" s="13">
        <f>L44*'ABP Future Assumptions'!$D$93</f>
        <v>39379.643013096647</v>
      </c>
      <c r="N44" s="13">
        <f>M44*'ABP Future Assumptions'!$D$93</f>
        <v>39182.744798031163</v>
      </c>
      <c r="O44" s="13">
        <f>N44*'ABP Future Assumptions'!$D$93</f>
        <v>38986.831074041009</v>
      </c>
      <c r="P44" s="13">
        <f>O44*'ABP Future Assumptions'!$D$93</f>
        <v>38791.896918670805</v>
      </c>
      <c r="Q44" s="13">
        <f>P44*'ABP Future Assumptions'!$D$93</f>
        <v>38597.937434077452</v>
      </c>
      <c r="R44" s="13">
        <f>Q44*'ABP Future Assumptions'!$D$93</f>
        <v>38404.947746907063</v>
      </c>
      <c r="S44" s="13">
        <f>R44*'ABP Future Assumptions'!$D$93</f>
        <v>38212.923008172525</v>
      </c>
      <c r="T44" s="13">
        <f>S44*'ABP Future Assumptions'!$D$93</f>
        <v>38021.858393131661</v>
      </c>
      <c r="U44" s="13">
        <f>T44*'ABP Future Assumptions'!$D$93</f>
        <v>37831.749101166002</v>
      </c>
      <c r="V44" s="13">
        <f>U44*'ABP Future Assumptions'!$D$93</f>
        <v>37642.59035566017</v>
      </c>
      <c r="W44" s="13">
        <f>V44*'ABP Future Assumptions'!$D$93</f>
        <v>37454.377403881866</v>
      </c>
      <c r="X44" s="13">
        <f>W44*'ABP Future Assumptions'!$D$93</f>
        <v>37267.105516862459</v>
      </c>
    </row>
    <row r="45" spans="2:24" x14ac:dyDescent="0.35">
      <c r="B45" s="221" t="s">
        <v>148</v>
      </c>
      <c r="C45" s="79">
        <f>'ABP Future Assumptions'!C56</f>
        <v>14050.23148148148</v>
      </c>
      <c r="D45" s="151">
        <f>'ABP Future Assumptions'!F42</f>
        <v>0.16907</v>
      </c>
      <c r="E45" s="155">
        <f>SUM(F45:X45)</f>
        <v>378076.01955551596</v>
      </c>
      <c r="F45" s="13">
        <f>(C45*D45*8760)/1000</f>
        <v>20809.140296388887</v>
      </c>
      <c r="G45" s="13">
        <f>F45*'ABP Future Assumptions'!$D$93</f>
        <v>20705.094594906943</v>
      </c>
      <c r="H45" s="13">
        <f>G45*'ABP Future Assumptions'!$D$93</f>
        <v>20601.569121932407</v>
      </c>
      <c r="I45" s="13">
        <f>H45*'ABP Future Assumptions'!$D$93</f>
        <v>20498.561276322744</v>
      </c>
      <c r="J45" s="13">
        <f>I45*'ABP Future Assumptions'!$D$93</f>
        <v>20396.068469941129</v>
      </c>
      <c r="K45" s="13">
        <f>J45*'ABP Future Assumptions'!$D$93</f>
        <v>20294.088127591422</v>
      </c>
      <c r="L45" s="13">
        <f>K45*'ABP Future Assumptions'!$D$93</f>
        <v>20192.617686953465</v>
      </c>
      <c r="M45" s="13">
        <f>L45*'ABP Future Assumptions'!$D$93</f>
        <v>20091.654598518697</v>
      </c>
      <c r="N45" s="13">
        <f>M45*'ABP Future Assumptions'!$D$93</f>
        <v>19991.196325526103</v>
      </c>
      <c r="O45" s="13">
        <f>N45*'ABP Future Assumptions'!$D$93</f>
        <v>19891.240343898473</v>
      </c>
      <c r="P45" s="13">
        <f>O45*'ABP Future Assumptions'!$D$93</f>
        <v>19791.784142178982</v>
      </c>
      <c r="Q45" s="13">
        <f>P45*'ABP Future Assumptions'!$D$93</f>
        <v>19692.825221468087</v>
      </c>
      <c r="R45" s="13">
        <f>Q45*'ABP Future Assumptions'!$D$93</f>
        <v>19594.361095360746</v>
      </c>
      <c r="S45" s="13">
        <f>R45*'ABP Future Assumptions'!$D$93</f>
        <v>19496.38928988394</v>
      </c>
      <c r="T45" s="13">
        <f>S45*'ABP Future Assumptions'!$D$93</f>
        <v>19398.907343434519</v>
      </c>
      <c r="U45" s="13">
        <f>T45*'ABP Future Assumptions'!$D$93</f>
        <v>19301.912806717348</v>
      </c>
      <c r="V45" s="13">
        <f>U45*'ABP Future Assumptions'!$D$93</f>
        <v>19205.403242683762</v>
      </c>
      <c r="W45" s="13">
        <f>V45*'ABP Future Assumptions'!$D$93</f>
        <v>19109.376226470344</v>
      </c>
      <c r="X45" s="13">
        <f>W45*'ABP Future Assumptions'!$D$93</f>
        <v>19013.829345337992</v>
      </c>
    </row>
    <row r="46" spans="2:24" x14ac:dyDescent="0.35">
      <c r="B46" s="221" t="s">
        <v>143</v>
      </c>
      <c r="C46" s="79">
        <f>'ABP Future Assumptions'!C57</f>
        <v>0</v>
      </c>
      <c r="D46" s="151">
        <f>'ABP Future Assumptions'!F43</f>
        <v>0</v>
      </c>
      <c r="E46" s="155"/>
      <c r="F46" s="13"/>
      <c r="G46" s="13"/>
      <c r="H46" s="13"/>
      <c r="I46" s="13"/>
      <c r="J46" s="13"/>
      <c r="K46" s="13"/>
      <c r="L46" s="13"/>
      <c r="M46" s="13"/>
      <c r="N46" s="13"/>
      <c r="O46" s="13"/>
      <c r="P46" s="13"/>
      <c r="Q46" s="13"/>
      <c r="R46" s="13"/>
      <c r="S46" s="13"/>
      <c r="T46" s="13"/>
      <c r="U46" s="13"/>
      <c r="V46" s="13"/>
      <c r="W46" s="13"/>
      <c r="X46" s="13"/>
    </row>
    <row r="47" spans="2:24" x14ac:dyDescent="0.35">
      <c r="B47" s="14" t="s">
        <v>155</v>
      </c>
      <c r="C47" s="79">
        <f>'ABP Future Assumptions'!C58</f>
        <v>26680</v>
      </c>
      <c r="D47" s="157"/>
      <c r="E47" s="154"/>
      <c r="F47" s="156">
        <f t="shared" ref="F47:X47" si="6">SUM(F48:F49)</f>
        <v>0</v>
      </c>
      <c r="G47" s="156">
        <f t="shared" si="6"/>
        <v>39514.499376</v>
      </c>
      <c r="H47" s="156">
        <f t="shared" si="6"/>
        <v>39316.926879120001</v>
      </c>
      <c r="I47" s="156">
        <f t="shared" si="6"/>
        <v>39120.342244724401</v>
      </c>
      <c r="J47" s="156">
        <f t="shared" si="6"/>
        <v>38924.740533500779</v>
      </c>
      <c r="K47" s="156">
        <f t="shared" si="6"/>
        <v>38730.116830833278</v>
      </c>
      <c r="L47" s="156">
        <f t="shared" si="6"/>
        <v>38536.466246679112</v>
      </c>
      <c r="M47" s="156">
        <f t="shared" si="6"/>
        <v>38343.783915445718</v>
      </c>
      <c r="N47" s="156">
        <f t="shared" si="6"/>
        <v>38152.064995868488</v>
      </c>
      <c r="O47" s="156">
        <f t="shared" si="6"/>
        <v>37961.304670889149</v>
      </c>
      <c r="P47" s="156">
        <f t="shared" si="6"/>
        <v>37771.498147534701</v>
      </c>
      <c r="Q47" s="156">
        <f t="shared" si="6"/>
        <v>37582.640656797026</v>
      </c>
      <c r="R47" s="156">
        <f t="shared" si="6"/>
        <v>37394.727453513042</v>
      </c>
      <c r="S47" s="156">
        <f t="shared" si="6"/>
        <v>37207.753816245473</v>
      </c>
      <c r="T47" s="156">
        <f t="shared" si="6"/>
        <v>37021.715047164245</v>
      </c>
      <c r="U47" s="156">
        <f t="shared" si="6"/>
        <v>36836.606471928426</v>
      </c>
      <c r="V47" s="156">
        <f t="shared" si="6"/>
        <v>0</v>
      </c>
      <c r="W47" s="156">
        <f t="shared" si="6"/>
        <v>0</v>
      </c>
      <c r="X47" s="156">
        <f t="shared" si="6"/>
        <v>0</v>
      </c>
    </row>
    <row r="48" spans="2:24" x14ac:dyDescent="0.35">
      <c r="B48" s="179" t="s">
        <v>156</v>
      </c>
      <c r="C48" s="174">
        <f>'ABP Future Assumptions'!C59</f>
        <v>8004</v>
      </c>
      <c r="D48" s="151">
        <f>'ABP Future Assumptions'!F45</f>
        <v>0.16907</v>
      </c>
      <c r="E48" s="155">
        <f>SUM(F48:X48)</f>
        <v>171724.55618587314</v>
      </c>
      <c r="F48" s="13"/>
      <c r="G48" s="13">
        <f>(C48*D48*8760)/1000</f>
        <v>11854.349812800001</v>
      </c>
      <c r="H48" s="13">
        <f>G48*'ABP Future Assumptions'!$D$93</f>
        <v>11795.078063736</v>
      </c>
      <c r="I48" s="13">
        <f>H48*'ABP Future Assumptions'!$D$93</f>
        <v>11736.102673417321</v>
      </c>
      <c r="J48" s="13">
        <f>I48*'ABP Future Assumptions'!$D$93</f>
        <v>11677.422160050235</v>
      </c>
      <c r="K48" s="13">
        <f>J48*'ABP Future Assumptions'!$D$93</f>
        <v>11619.035049249984</v>
      </c>
      <c r="L48" s="13">
        <f>K48*'ABP Future Assumptions'!$D$93</f>
        <v>11560.939874003734</v>
      </c>
      <c r="M48" s="13">
        <f>L48*'ABP Future Assumptions'!$D$93</f>
        <v>11503.135174633715</v>
      </c>
      <c r="N48" s="13">
        <f>M48*'ABP Future Assumptions'!$D$93</f>
        <v>11445.619498760547</v>
      </c>
      <c r="O48" s="13">
        <f>N48*'ABP Future Assumptions'!$D$93</f>
        <v>11388.391401266745</v>
      </c>
      <c r="P48" s="13">
        <f>O48*'ABP Future Assumptions'!$D$93</f>
        <v>11331.44944426041</v>
      </c>
      <c r="Q48" s="13">
        <f>P48*'ABP Future Assumptions'!$D$93</f>
        <v>11274.792197039107</v>
      </c>
      <c r="R48" s="13">
        <f>Q48*'ABP Future Assumptions'!$D$93</f>
        <v>11218.418236053911</v>
      </c>
      <c r="S48" s="13">
        <f>R48*'ABP Future Assumptions'!$D$93</f>
        <v>11162.326144873641</v>
      </c>
      <c r="T48" s="13">
        <f>S48*'ABP Future Assumptions'!$D$93</f>
        <v>11106.514514149272</v>
      </c>
      <c r="U48" s="13">
        <f>T48*'ABP Future Assumptions'!$D$93</f>
        <v>11050.981941578526</v>
      </c>
      <c r="V48" s="149"/>
      <c r="W48" s="149"/>
      <c r="X48" s="149"/>
    </row>
    <row r="49" spans="2:24" x14ac:dyDescent="0.35">
      <c r="B49" s="179" t="s">
        <v>157</v>
      </c>
      <c r="C49" s="174">
        <f>'ABP Future Assumptions'!C67</f>
        <v>18676</v>
      </c>
      <c r="D49" s="151">
        <f>'ABP Future Assumptions'!F46</f>
        <v>0.16907</v>
      </c>
      <c r="E49" s="155">
        <f>SUM(F49:X49)</f>
        <v>400690.63110037067</v>
      </c>
      <c r="F49" s="13"/>
      <c r="G49" s="13">
        <f>(C49*D49*8760)/1000</f>
        <v>27660.149563200001</v>
      </c>
      <c r="H49" s="13">
        <f>G49*'ABP Future Assumptions'!$D$93</f>
        <v>27521.848815384001</v>
      </c>
      <c r="I49" s="13">
        <f>H49*'ABP Future Assumptions'!$D$93</f>
        <v>27384.23957130708</v>
      </c>
      <c r="J49" s="13">
        <f>I49*'ABP Future Assumptions'!$D$93</f>
        <v>27247.318373450544</v>
      </c>
      <c r="K49" s="13">
        <f>J49*'ABP Future Assumptions'!$D$93</f>
        <v>27111.081781583292</v>
      </c>
      <c r="L49" s="13">
        <f>K49*'ABP Future Assumptions'!$D$93</f>
        <v>26975.526372675376</v>
      </c>
      <c r="M49" s="13">
        <f>L49*'ABP Future Assumptions'!$D$93</f>
        <v>26840.648740812001</v>
      </c>
      <c r="N49" s="13">
        <f>M49*'ABP Future Assumptions'!$D$93</f>
        <v>26706.445497107939</v>
      </c>
      <c r="O49" s="13">
        <f>N49*'ABP Future Assumptions'!$D$93</f>
        <v>26572.913269622401</v>
      </c>
      <c r="P49" s="13">
        <f>O49*'ABP Future Assumptions'!$D$93</f>
        <v>26440.048703274289</v>
      </c>
      <c r="Q49" s="13">
        <f>P49*'ABP Future Assumptions'!$D$93</f>
        <v>26307.848459757919</v>
      </c>
      <c r="R49" s="13">
        <f>Q49*'ABP Future Assumptions'!$D$93</f>
        <v>26176.309217459129</v>
      </c>
      <c r="S49" s="13">
        <f>R49*'ABP Future Assumptions'!$D$93</f>
        <v>26045.427671371832</v>
      </c>
      <c r="T49" s="13">
        <f>S49*'ABP Future Assumptions'!$D$93</f>
        <v>25915.200533014973</v>
      </c>
      <c r="U49" s="13">
        <f>T49*'ABP Future Assumptions'!$D$93</f>
        <v>25785.624530349898</v>
      </c>
      <c r="V49" s="149"/>
      <c r="W49" s="149"/>
      <c r="X49" s="149"/>
    </row>
    <row r="50" spans="2:24" x14ac:dyDescent="0.35">
      <c r="B50" s="99" t="s">
        <v>158</v>
      </c>
      <c r="C50" s="79">
        <f>'ABP Future Assumptions'!C75</f>
        <v>133400</v>
      </c>
      <c r="D50" s="157"/>
      <c r="E50" s="154"/>
      <c r="F50" s="156">
        <f t="shared" ref="F50:X50" si="7">SUM(F51:F61)</f>
        <v>172602.59970134808</v>
      </c>
      <c r="G50" s="156">
        <f t="shared" si="7"/>
        <v>171739.58670284133</v>
      </c>
      <c r="H50" s="156">
        <f t="shared" si="7"/>
        <v>170880.88876932714</v>
      </c>
      <c r="I50" s="156">
        <f t="shared" si="7"/>
        <v>170026.4843254805</v>
      </c>
      <c r="J50" s="156">
        <f t="shared" si="7"/>
        <v>169176.35190385312</v>
      </c>
      <c r="K50" s="156">
        <f t="shared" si="7"/>
        <v>168330.47014433384</v>
      </c>
      <c r="L50" s="156">
        <f t="shared" si="7"/>
        <v>167488.81779361214</v>
      </c>
      <c r="M50" s="156">
        <f t="shared" si="7"/>
        <v>166651.37370464409</v>
      </c>
      <c r="N50" s="156">
        <f t="shared" si="7"/>
        <v>165818.11683612087</v>
      </c>
      <c r="O50" s="156">
        <f t="shared" si="7"/>
        <v>164989.02625194026</v>
      </c>
      <c r="P50" s="156">
        <f t="shared" si="7"/>
        <v>164164.08112068055</v>
      </c>
      <c r="Q50" s="156">
        <f t="shared" si="7"/>
        <v>163343.26071507717</v>
      </c>
      <c r="R50" s="156">
        <f t="shared" si="7"/>
        <v>162526.54441150179</v>
      </c>
      <c r="S50" s="156">
        <f t="shared" si="7"/>
        <v>161713.91168944424</v>
      </c>
      <c r="T50" s="156">
        <f t="shared" si="7"/>
        <v>160905.34213099704</v>
      </c>
      <c r="U50" s="156">
        <f t="shared" si="7"/>
        <v>0</v>
      </c>
      <c r="V50" s="156">
        <f t="shared" si="7"/>
        <v>0</v>
      </c>
      <c r="W50" s="156">
        <f t="shared" si="7"/>
        <v>0</v>
      </c>
      <c r="X50" s="156">
        <f t="shared" si="7"/>
        <v>0</v>
      </c>
    </row>
    <row r="51" spans="2:24" x14ac:dyDescent="0.35">
      <c r="B51" s="179" t="s">
        <v>159</v>
      </c>
      <c r="C51" s="174">
        <f>'ABP Future Assumptions'!C76</f>
        <v>40020</v>
      </c>
      <c r="D51" s="104"/>
      <c r="E51" s="154"/>
      <c r="F51" s="153"/>
      <c r="G51" s="153"/>
      <c r="H51" s="153"/>
      <c r="I51" s="153"/>
      <c r="J51" s="153"/>
      <c r="K51" s="153"/>
      <c r="L51" s="153"/>
      <c r="M51" s="153"/>
      <c r="N51" s="153"/>
      <c r="O51" s="153"/>
      <c r="P51" s="153"/>
      <c r="Q51" s="153"/>
      <c r="R51" s="153"/>
      <c r="S51" s="153"/>
      <c r="T51" s="153"/>
      <c r="U51" s="179"/>
      <c r="V51" s="179"/>
      <c r="W51" s="179"/>
      <c r="X51" s="179"/>
    </row>
    <row r="52" spans="2:24" x14ac:dyDescent="0.35">
      <c r="B52" s="221" t="s">
        <v>139</v>
      </c>
      <c r="C52" s="79">
        <f>'ABP Future Assumptions'!C77</f>
        <v>3305.2461204279521</v>
      </c>
      <c r="D52" s="151">
        <f>'ABP Future Assumptions'!F77</f>
        <v>0.15196999999999999</v>
      </c>
      <c r="E52" s="155">
        <f>SUM(F52:X52)</f>
        <v>63741.229695580587</v>
      </c>
      <c r="F52" s="13">
        <f>(C52*D52*8760)/1000</f>
        <v>4400.1326955917775</v>
      </c>
      <c r="G52" s="13">
        <f>F52*'ABP Future Assumptions'!$D$93</f>
        <v>4378.1320321138182</v>
      </c>
      <c r="H52" s="13">
        <f>G52*'ABP Future Assumptions'!$D$93</f>
        <v>4356.2413719532487</v>
      </c>
      <c r="I52" s="13">
        <f>H52*'ABP Future Assumptions'!$D$93</f>
        <v>4334.4601650934828</v>
      </c>
      <c r="J52" s="13">
        <f>I52*'ABP Future Assumptions'!$D$93</f>
        <v>4312.7878642680153</v>
      </c>
      <c r="K52" s="13">
        <f>J52*'ABP Future Assumptions'!$D$93</f>
        <v>4291.2239249466747</v>
      </c>
      <c r="L52" s="13">
        <f>K52*'ABP Future Assumptions'!$D$93</f>
        <v>4269.7678053219415</v>
      </c>
      <c r="M52" s="13">
        <f>L52*'ABP Future Assumptions'!$D$93</f>
        <v>4248.4189662953322</v>
      </c>
      <c r="N52" s="13">
        <f>M52*'ABP Future Assumptions'!$D$93</f>
        <v>4227.1768714638556</v>
      </c>
      <c r="O52" s="13">
        <f>N52*'ABP Future Assumptions'!$D$93</f>
        <v>4206.0409871065367</v>
      </c>
      <c r="P52" s="13">
        <f>O52*'ABP Future Assumptions'!$D$93</f>
        <v>4185.0107821710044</v>
      </c>
      <c r="Q52" s="13">
        <f>P52*'ABP Future Assumptions'!$D$93</f>
        <v>4164.0857282601492</v>
      </c>
      <c r="R52" s="13">
        <f>Q52*'ABP Future Assumptions'!$D$93</f>
        <v>4143.2652996188481</v>
      </c>
      <c r="S52" s="13">
        <f>R52*'ABP Future Assumptions'!$D$93</f>
        <v>4122.5489731207535</v>
      </c>
      <c r="T52" s="13">
        <f>S52*'ABP Future Assumptions'!$D$93</f>
        <v>4101.9362282551501</v>
      </c>
      <c r="U52" s="149"/>
      <c r="V52" s="149"/>
      <c r="W52" s="149"/>
      <c r="X52" s="149"/>
    </row>
    <row r="53" spans="2:24" x14ac:dyDescent="0.35">
      <c r="B53" s="221" t="s">
        <v>140</v>
      </c>
      <c r="C53" s="79">
        <f>'ABP Future Assumptions'!C78</f>
        <v>2553.1450264857485</v>
      </c>
      <c r="D53" s="151">
        <f>'ABP Future Assumptions'!F78</f>
        <v>0.14819000000000002</v>
      </c>
      <c r="E53" s="155">
        <f>SUM(F53:X53)</f>
        <v>48012.37094526986</v>
      </c>
      <c r="F53" s="13">
        <f>(C53*D53*8760)/1000</f>
        <v>3314.3509185203261</v>
      </c>
      <c r="G53" s="13">
        <f>F53*'ABP Future Assumptions'!$D$93</f>
        <v>3297.7791639277243</v>
      </c>
      <c r="H53" s="13">
        <f>G53*'ABP Future Assumptions'!$D$93</f>
        <v>3281.2902681080855</v>
      </c>
      <c r="I53" s="13">
        <f>H53*'ABP Future Assumptions'!$D$93</f>
        <v>3264.8838167675449</v>
      </c>
      <c r="J53" s="13">
        <f>I53*'ABP Future Assumptions'!$D$93</f>
        <v>3248.5593976837072</v>
      </c>
      <c r="K53" s="13">
        <f>J53*'ABP Future Assumptions'!$D$93</f>
        <v>3232.3166006952888</v>
      </c>
      <c r="L53" s="13">
        <f>K53*'ABP Future Assumptions'!$D$93</f>
        <v>3216.1550176918122</v>
      </c>
      <c r="M53" s="13">
        <f>L53*'ABP Future Assumptions'!$D$93</f>
        <v>3200.074242603353</v>
      </c>
      <c r="N53" s="13">
        <f>M53*'ABP Future Assumptions'!$D$93</f>
        <v>3184.0738713903361</v>
      </c>
      <c r="O53" s="13">
        <f>N53*'ABP Future Assumptions'!$D$93</f>
        <v>3168.1535020333845</v>
      </c>
      <c r="P53" s="13">
        <f>O53*'ABP Future Assumptions'!$D$93</f>
        <v>3152.3127345232174</v>
      </c>
      <c r="Q53" s="13">
        <f>P53*'ABP Future Assumptions'!$D$93</f>
        <v>3136.5511708506015</v>
      </c>
      <c r="R53" s="13">
        <f>Q53*'ABP Future Assumptions'!$D$93</f>
        <v>3120.8684149963483</v>
      </c>
      <c r="S53" s="13">
        <f>R53*'ABP Future Assumptions'!$D$93</f>
        <v>3105.2640729213667</v>
      </c>
      <c r="T53" s="13">
        <f>S53*'ABP Future Assumptions'!$D$93</f>
        <v>3089.7377525567599</v>
      </c>
      <c r="U53" s="149"/>
      <c r="V53" s="149"/>
      <c r="W53" s="149"/>
      <c r="X53" s="149"/>
    </row>
    <row r="54" spans="2:24" x14ac:dyDescent="0.35">
      <c r="B54" s="221" t="s">
        <v>141</v>
      </c>
      <c r="C54" s="79">
        <f>'ABP Future Assumptions'!C79</f>
        <v>5926.6545474380619</v>
      </c>
      <c r="D54" s="151">
        <f>'ABP Future Assumptions'!F79</f>
        <v>0.15303</v>
      </c>
      <c r="E54" s="155">
        <f>SUM(F54:X54)</f>
        <v>115091.95364094165</v>
      </c>
      <c r="F54" s="13">
        <f>(C54*D54*8760)/1000</f>
        <v>7944.9340816553522</v>
      </c>
      <c r="G54" s="13">
        <f>F54*'ABP Future Assumptions'!$D$93</f>
        <v>7905.209411247075</v>
      </c>
      <c r="H54" s="13">
        <f>G54*'ABP Future Assumptions'!$D$93</f>
        <v>7865.6833641908397</v>
      </c>
      <c r="I54" s="13">
        <f>H54*'ABP Future Assumptions'!$D$93</f>
        <v>7826.3549473698858</v>
      </c>
      <c r="J54" s="13">
        <f>I54*'ABP Future Assumptions'!$D$93</f>
        <v>7787.2231726330365</v>
      </c>
      <c r="K54" s="13">
        <f>J54*'ABP Future Assumptions'!$D$93</f>
        <v>7748.287056769871</v>
      </c>
      <c r="L54" s="13">
        <f>K54*'ABP Future Assumptions'!$D$93</f>
        <v>7709.5456214860214</v>
      </c>
      <c r="M54" s="13">
        <f>L54*'ABP Future Assumptions'!$D$93</f>
        <v>7670.9978933785915</v>
      </c>
      <c r="N54" s="13">
        <f>M54*'ABP Future Assumptions'!$D$93</f>
        <v>7632.6429039116983</v>
      </c>
      <c r="O54" s="13">
        <f>N54*'ABP Future Assumptions'!$D$93</f>
        <v>7594.4796893921402</v>
      </c>
      <c r="P54" s="13">
        <f>O54*'ABP Future Assumptions'!$D$93</f>
        <v>7556.5072909451792</v>
      </c>
      <c r="Q54" s="13">
        <f>P54*'ABP Future Assumptions'!$D$93</f>
        <v>7518.7247544904531</v>
      </c>
      <c r="R54" s="13">
        <f>Q54*'ABP Future Assumptions'!$D$93</f>
        <v>7481.1311307180003</v>
      </c>
      <c r="S54" s="13">
        <f>R54*'ABP Future Assumptions'!$D$93</f>
        <v>7443.7254750644106</v>
      </c>
      <c r="T54" s="13">
        <f>S54*'ABP Future Assumptions'!$D$93</f>
        <v>7406.5068476890883</v>
      </c>
      <c r="U54" s="149"/>
      <c r="V54" s="149"/>
      <c r="W54" s="149"/>
      <c r="X54" s="149"/>
    </row>
    <row r="55" spans="2:24" x14ac:dyDescent="0.35">
      <c r="B55" s="221" t="s">
        <v>148</v>
      </c>
      <c r="C55" s="79">
        <f>'ABP Future Assumptions'!C80</f>
        <v>28234.872699670323</v>
      </c>
      <c r="D55" s="151">
        <f>'ABP Future Assumptions'!F80</f>
        <v>0.14410999999999999</v>
      </c>
      <c r="E55" s="155">
        <f>SUM(F55:X55)</f>
        <v>516343.50943177368</v>
      </c>
      <c r="F55" s="13">
        <f>(C55*D55*8760)/1000</f>
        <v>35643.804941605529</v>
      </c>
      <c r="G55" s="13">
        <f>F55*'ABP Future Assumptions'!$D$93</f>
        <v>35465.5859168975</v>
      </c>
      <c r="H55" s="13">
        <f>G55*'ABP Future Assumptions'!$D$93</f>
        <v>35288.257987313016</v>
      </c>
      <c r="I55" s="13">
        <f>H55*'ABP Future Assumptions'!$D$93</f>
        <v>35111.816697376453</v>
      </c>
      <c r="J55" s="13">
        <f>I55*'ABP Future Assumptions'!$D$93</f>
        <v>34936.257613889567</v>
      </c>
      <c r="K55" s="13">
        <f>J55*'ABP Future Assumptions'!$D$93</f>
        <v>34761.576325820119</v>
      </c>
      <c r="L55" s="13">
        <f>K55*'ABP Future Assumptions'!$D$93</f>
        <v>34587.768444191017</v>
      </c>
      <c r="M55" s="13">
        <f>L55*'ABP Future Assumptions'!$D$93</f>
        <v>34414.829601970065</v>
      </c>
      <c r="N55" s="13">
        <f>M55*'ABP Future Assumptions'!$D$93</f>
        <v>34242.755453960213</v>
      </c>
      <c r="O55" s="13">
        <f>N55*'ABP Future Assumptions'!$D$93</f>
        <v>34071.541676690409</v>
      </c>
      <c r="P55" s="13">
        <f>O55*'ABP Future Assumptions'!$D$93</f>
        <v>33901.183968306956</v>
      </c>
      <c r="Q55" s="13">
        <f>P55*'ABP Future Assumptions'!$D$93</f>
        <v>33731.678048465423</v>
      </c>
      <c r="R55" s="13">
        <f>Q55*'ABP Future Assumptions'!$D$93</f>
        <v>33563.019658223093</v>
      </c>
      <c r="S55" s="13">
        <f>R55*'ABP Future Assumptions'!$D$93</f>
        <v>33395.204559931975</v>
      </c>
      <c r="T55" s="13">
        <f>S55*'ABP Future Assumptions'!$D$93</f>
        <v>33228.228537132316</v>
      </c>
      <c r="U55" s="149"/>
      <c r="V55" s="149"/>
      <c r="W55" s="149"/>
      <c r="X55" s="149"/>
    </row>
    <row r="56" spans="2:24" x14ac:dyDescent="0.35">
      <c r="B56" s="221" t="s">
        <v>143</v>
      </c>
      <c r="C56" s="79">
        <f>'ABP Future Assumptions'!C81</f>
        <v>0</v>
      </c>
      <c r="D56" s="151">
        <f>'ABP Future Assumptions'!F81</f>
        <v>0.14399999999999999</v>
      </c>
      <c r="E56" s="155"/>
      <c r="F56" s="13"/>
      <c r="G56" s="13"/>
      <c r="H56" s="13"/>
      <c r="I56" s="13"/>
      <c r="J56" s="13"/>
      <c r="K56" s="13"/>
      <c r="L56" s="13"/>
      <c r="M56" s="13"/>
      <c r="N56" s="13"/>
      <c r="O56" s="13"/>
      <c r="P56" s="13"/>
      <c r="Q56" s="13"/>
      <c r="R56" s="13"/>
      <c r="S56" s="13"/>
      <c r="T56" s="13"/>
      <c r="U56" s="149"/>
      <c r="V56" s="149"/>
      <c r="W56" s="149"/>
      <c r="X56" s="149"/>
    </row>
    <row r="57" spans="2:24" x14ac:dyDescent="0.35">
      <c r="B57" s="179" t="s">
        <v>160</v>
      </c>
      <c r="C57" s="174">
        <f>'ABP Future Assumptions'!C82</f>
        <v>93380</v>
      </c>
      <c r="D57" s="104"/>
      <c r="E57" s="154"/>
      <c r="F57" s="13"/>
      <c r="G57" s="13"/>
      <c r="H57" s="153"/>
      <c r="I57" s="153"/>
      <c r="J57" s="153"/>
      <c r="K57" s="153"/>
      <c r="L57" s="153"/>
      <c r="M57" s="153"/>
      <c r="N57" s="153"/>
      <c r="O57" s="153"/>
      <c r="P57" s="153"/>
      <c r="Q57" s="153"/>
      <c r="R57" s="153"/>
      <c r="S57" s="153"/>
      <c r="T57" s="153"/>
      <c r="U57" s="179"/>
      <c r="V57" s="179"/>
      <c r="W57" s="179"/>
      <c r="X57" s="179"/>
    </row>
    <row r="58" spans="2:24" x14ac:dyDescent="0.35">
      <c r="B58" s="221" t="s">
        <v>145</v>
      </c>
      <c r="C58" s="79">
        <f>'ABP Future Assumptions'!C83</f>
        <v>3531.4549095663756</v>
      </c>
      <c r="D58" s="151">
        <f>'ABP Future Assumptions'!F83</f>
        <v>0.14305999999999999</v>
      </c>
      <c r="E58" s="152">
        <f>SUM(F58:X58)</f>
        <v>64110.72027844868</v>
      </c>
      <c r="F58" s="13">
        <f>(C58*D58*8760)/1000</f>
        <v>4425.6390688160755</v>
      </c>
      <c r="G58" s="13">
        <f>F58*'ABP Future Assumptions'!$D$93</f>
        <v>4403.5108734719952</v>
      </c>
      <c r="H58" s="13">
        <f>G58*'ABP Future Assumptions'!$D$93</f>
        <v>4381.4933191046348</v>
      </c>
      <c r="I58" s="13">
        <f>H58*'ABP Future Assumptions'!$D$93</f>
        <v>4359.5858525091116</v>
      </c>
      <c r="J58" s="13">
        <f>I58*'ABP Future Assumptions'!$D$93</f>
        <v>4337.7879232465657</v>
      </c>
      <c r="K58" s="13">
        <f>J58*'ABP Future Assumptions'!$D$93</f>
        <v>4316.0989836303324</v>
      </c>
      <c r="L58" s="13">
        <f>K58*'ABP Future Assumptions'!$D$93</f>
        <v>4294.5184887121804</v>
      </c>
      <c r="M58" s="13">
        <f>L58*'ABP Future Assumptions'!$D$93</f>
        <v>4273.0458962686198</v>
      </c>
      <c r="N58" s="13">
        <f>M58*'ABP Future Assumptions'!$D$93</f>
        <v>4251.680666787277</v>
      </c>
      <c r="O58" s="13">
        <f>N58*'ABP Future Assumptions'!$D$93</f>
        <v>4230.4222634533407</v>
      </c>
      <c r="P58" s="13">
        <f>O58*'ABP Future Assumptions'!$D$93</f>
        <v>4209.2701521360741</v>
      </c>
      <c r="Q58" s="13">
        <f>P58*'ABP Future Assumptions'!$D$93</f>
        <v>4188.223801375394</v>
      </c>
      <c r="R58" s="13">
        <f>Q58*'ABP Future Assumptions'!$D$93</f>
        <v>4167.2826823685173</v>
      </c>
      <c r="S58" s="13">
        <f>R58*'ABP Future Assumptions'!$D$93</f>
        <v>4146.4462689566744</v>
      </c>
      <c r="T58" s="13">
        <f>S58*'ABP Future Assumptions'!$D$93</f>
        <v>4125.7140376118914</v>
      </c>
      <c r="U58" s="149"/>
      <c r="V58" s="149"/>
      <c r="W58" s="149"/>
      <c r="X58" s="149"/>
    </row>
    <row r="59" spans="2:24" x14ac:dyDescent="0.35">
      <c r="B59" s="221" t="s">
        <v>140</v>
      </c>
      <c r="C59" s="79">
        <f>'ABP Future Assumptions'!C84</f>
        <v>2749.9472612294699</v>
      </c>
      <c r="D59" s="151">
        <f>'ABP Future Assumptions'!F84</f>
        <v>0.14176</v>
      </c>
      <c r="E59" s="152">
        <f>SUM(F59:X59)</f>
        <v>49469.42238949734</v>
      </c>
      <c r="F59" s="13">
        <f>(C59*D59*8760)/1000</f>
        <v>3414.9329080665534</v>
      </c>
      <c r="G59" s="13">
        <f>F59*'ABP Future Assumptions'!$D$93</f>
        <v>3397.8582435262206</v>
      </c>
      <c r="H59" s="13">
        <f>G59*'ABP Future Assumptions'!$D$93</f>
        <v>3380.8689523085895</v>
      </c>
      <c r="I59" s="13">
        <f>H59*'ABP Future Assumptions'!$D$93</f>
        <v>3363.9646075470464</v>
      </c>
      <c r="J59" s="13">
        <f>I59*'ABP Future Assumptions'!$D$93</f>
        <v>3347.1447845093112</v>
      </c>
      <c r="K59" s="13">
        <f>J59*'ABP Future Assumptions'!$D$93</f>
        <v>3330.4090605867646</v>
      </c>
      <c r="L59" s="13">
        <f>K59*'ABP Future Assumptions'!$D$93</f>
        <v>3313.7570152838307</v>
      </c>
      <c r="M59" s="13">
        <f>L59*'ABP Future Assumptions'!$D$93</f>
        <v>3297.1882302074114</v>
      </c>
      <c r="N59" s="13">
        <f>M59*'ABP Future Assumptions'!$D$93</f>
        <v>3280.7022890563744</v>
      </c>
      <c r="O59" s="13">
        <f>N59*'ABP Future Assumptions'!$D$93</f>
        <v>3264.2987776110926</v>
      </c>
      <c r="P59" s="13">
        <f>O59*'ABP Future Assumptions'!$D$93</f>
        <v>3247.9772837230371</v>
      </c>
      <c r="Q59" s="13">
        <f>P59*'ABP Future Assumptions'!$D$93</f>
        <v>3231.7373973044218</v>
      </c>
      <c r="R59" s="13">
        <f>Q59*'ABP Future Assumptions'!$D$93</f>
        <v>3215.5787103178995</v>
      </c>
      <c r="S59" s="13">
        <f>R59*'ABP Future Assumptions'!$D$93</f>
        <v>3199.50081676631</v>
      </c>
      <c r="T59" s="13">
        <f>S59*'ABP Future Assumptions'!$D$93</f>
        <v>3183.5033126824783</v>
      </c>
      <c r="U59" s="149"/>
      <c r="V59" s="149"/>
      <c r="W59" s="149"/>
      <c r="X59" s="149"/>
    </row>
    <row r="60" spans="2:24" x14ac:dyDescent="0.35">
      <c r="B60" s="221" t="s">
        <v>141</v>
      </c>
      <c r="C60" s="79">
        <f>'ABP Future Assumptions'!C85</f>
        <v>10192.344615055583</v>
      </c>
      <c r="D60" s="151">
        <f>'ABP Future Assumptions'!F85</f>
        <v>0.14119000000000001</v>
      </c>
      <c r="E60" s="152">
        <f>SUM(F60:X60)</f>
        <v>182615.15131711276</v>
      </c>
      <c r="F60" s="13">
        <f>(C60*D60*8760)/1000</f>
        <v>12606.140513109354</v>
      </c>
      <c r="G60" s="13">
        <f>F60*'ABP Future Assumptions'!$D$93</f>
        <v>12543.109810543807</v>
      </c>
      <c r="H60" s="13">
        <f>G60*'ABP Future Assumptions'!$D$93</f>
        <v>12480.394261491088</v>
      </c>
      <c r="I60" s="13">
        <f>H60*'ABP Future Assumptions'!$D$93</f>
        <v>12417.992290183633</v>
      </c>
      <c r="J60" s="13">
        <f>I60*'ABP Future Assumptions'!$D$93</f>
        <v>12355.902328732715</v>
      </c>
      <c r="K60" s="13">
        <f>J60*'ABP Future Assumptions'!$D$93</f>
        <v>12294.122817089052</v>
      </c>
      <c r="L60" s="13">
        <f>K60*'ABP Future Assumptions'!$D$93</f>
        <v>12232.652203003607</v>
      </c>
      <c r="M60" s="13">
        <f>L60*'ABP Future Assumptions'!$D$93</f>
        <v>12171.488941988589</v>
      </c>
      <c r="N60" s="13">
        <f>M60*'ABP Future Assumptions'!$D$93</f>
        <v>12110.631497278646</v>
      </c>
      <c r="O60" s="13">
        <f>N60*'ABP Future Assumptions'!$D$93</f>
        <v>12050.078339792253</v>
      </c>
      <c r="P60" s="13">
        <f>O60*'ABP Future Assumptions'!$D$93</f>
        <v>11989.827948093292</v>
      </c>
      <c r="Q60" s="13">
        <f>P60*'ABP Future Assumptions'!$D$93</f>
        <v>11929.878808352825</v>
      </c>
      <c r="R60" s="13">
        <f>Q60*'ABP Future Assumptions'!$D$93</f>
        <v>11870.229414311061</v>
      </c>
      <c r="S60" s="13">
        <f>R60*'ABP Future Assumptions'!$D$93</f>
        <v>11810.878267239506</v>
      </c>
      <c r="T60" s="13">
        <f>S60*'ABP Future Assumptions'!$D$93</f>
        <v>11751.823875903308</v>
      </c>
      <c r="U60" s="149"/>
      <c r="V60" s="149"/>
      <c r="W60" s="149"/>
      <c r="X60" s="149"/>
    </row>
    <row r="61" spans="2:24" x14ac:dyDescent="0.35">
      <c r="B61" s="221" t="s">
        <v>148</v>
      </c>
      <c r="C61" s="79">
        <f>'ABP Future Assumptions'!C86</f>
        <v>76906.220793171669</v>
      </c>
      <c r="D61" s="151">
        <f>'ABP Future Assumptions'!F86</f>
        <v>0.1497</v>
      </c>
      <c r="E61" s="150">
        <f>SUM(F61:X61)</f>
        <v>1460972.4985025774</v>
      </c>
      <c r="F61" s="13">
        <f>(C61*D61*8760)/1000</f>
        <v>100852.66457398311</v>
      </c>
      <c r="G61" s="13">
        <f>F61*'ABP Future Assumptions'!$D$93</f>
        <v>100348.4012511132</v>
      </c>
      <c r="H61" s="13">
        <f>G61*'ABP Future Assumptions'!$D$93</f>
        <v>99846.659244857641</v>
      </c>
      <c r="I61" s="13">
        <f>H61*'ABP Future Assumptions'!$D$93</f>
        <v>99347.425948633347</v>
      </c>
      <c r="J61" s="13">
        <f>I61*'ABP Future Assumptions'!$D$93</f>
        <v>98850.688818890179</v>
      </c>
      <c r="K61" s="13">
        <f>J61*'ABP Future Assumptions'!$D$93</f>
        <v>98356.435374795721</v>
      </c>
      <c r="L61" s="13">
        <f>K61*'ABP Future Assumptions'!$D$93</f>
        <v>97864.65319792174</v>
      </c>
      <c r="M61" s="13">
        <f>L61*'ABP Future Assumptions'!$D$93</f>
        <v>97375.329931932138</v>
      </c>
      <c r="N61" s="13">
        <f>M61*'ABP Future Assumptions'!$D$93</f>
        <v>96888.453282272472</v>
      </c>
      <c r="O61" s="13">
        <f>N61*'ABP Future Assumptions'!$D$93</f>
        <v>96404.011015861106</v>
      </c>
      <c r="P61" s="13">
        <f>O61*'ABP Future Assumptions'!$D$93</f>
        <v>95921.990960781797</v>
      </c>
      <c r="Q61" s="13">
        <f>P61*'ABP Future Assumptions'!$D$93</f>
        <v>95442.381005977892</v>
      </c>
      <c r="R61" s="13">
        <f>Q61*'ABP Future Assumptions'!$D$93</f>
        <v>94965.169100947998</v>
      </c>
      <c r="S61" s="13">
        <f>R61*'ABP Future Assumptions'!$D$93</f>
        <v>94490.343255443251</v>
      </c>
      <c r="T61" s="13">
        <f>S61*'ABP Future Assumptions'!$D$93</f>
        <v>94017.891539166041</v>
      </c>
      <c r="U61" s="149"/>
      <c r="V61" s="149"/>
      <c r="W61" s="149"/>
      <c r="X61" s="149"/>
    </row>
    <row r="62" spans="2:24" x14ac:dyDescent="0.35">
      <c r="B62" s="221" t="s">
        <v>143</v>
      </c>
      <c r="C62" s="79">
        <f>'ABP Future Assumptions'!C87</f>
        <v>0</v>
      </c>
      <c r="D62" s="151">
        <f>'ABP Future Assumptions'!F87</f>
        <v>0.15</v>
      </c>
      <c r="E62" s="150"/>
      <c r="F62" s="13"/>
      <c r="G62" s="13"/>
      <c r="H62" s="13"/>
      <c r="I62" s="13"/>
      <c r="J62" s="13"/>
      <c r="K62" s="13"/>
      <c r="L62" s="13"/>
      <c r="M62" s="13"/>
      <c r="N62" s="13"/>
      <c r="O62" s="13"/>
      <c r="P62" s="13"/>
      <c r="Q62" s="13"/>
      <c r="R62" s="13"/>
      <c r="S62" s="13"/>
      <c r="T62" s="13"/>
      <c r="U62" s="149"/>
      <c r="V62" s="149"/>
      <c r="W62" s="149"/>
      <c r="X62" s="149"/>
    </row>
    <row r="64" spans="2:24" x14ac:dyDescent="0.35">
      <c r="B64" s="148" t="s">
        <v>170</v>
      </c>
    </row>
    <row r="65" spans="2:24" x14ac:dyDescent="0.35">
      <c r="B65" s="221"/>
    </row>
    <row r="66" spans="2:24" ht="15.5" x14ac:dyDescent="0.35">
      <c r="B66" s="179"/>
      <c r="C66" s="220" t="s">
        <v>166</v>
      </c>
      <c r="D66" s="220" t="s">
        <v>171</v>
      </c>
      <c r="E66" s="220" t="s">
        <v>172</v>
      </c>
      <c r="F66" s="220" t="s">
        <v>23</v>
      </c>
      <c r="G66" s="220" t="s">
        <v>24</v>
      </c>
      <c r="H66" s="220" t="s">
        <v>25</v>
      </c>
      <c r="I66" s="220" t="s">
        <v>26</v>
      </c>
      <c r="J66" s="220" t="s">
        <v>27</v>
      </c>
      <c r="K66" s="220" t="s">
        <v>28</v>
      </c>
      <c r="L66" s="220" t="s">
        <v>29</v>
      </c>
      <c r="M66" s="220" t="s">
        <v>30</v>
      </c>
      <c r="N66" s="220" t="s">
        <v>31</v>
      </c>
      <c r="O66" s="220" t="s">
        <v>32</v>
      </c>
      <c r="P66" s="220" t="s">
        <v>33</v>
      </c>
      <c r="Q66" s="220" t="s">
        <v>34</v>
      </c>
      <c r="R66" s="220" t="s">
        <v>35</v>
      </c>
      <c r="S66" s="220" t="s">
        <v>36</v>
      </c>
      <c r="T66" s="220" t="s">
        <v>37</v>
      </c>
      <c r="U66" s="220" t="s">
        <v>38</v>
      </c>
      <c r="V66" s="220" t="s">
        <v>39</v>
      </c>
      <c r="W66" s="220" t="s">
        <v>40</v>
      </c>
      <c r="X66" s="220" t="s">
        <v>165</v>
      </c>
    </row>
    <row r="67" spans="2:24" ht="15.5" x14ac:dyDescent="0.35">
      <c r="B67" s="184" t="s">
        <v>169</v>
      </c>
      <c r="C67" s="220"/>
      <c r="D67" s="220"/>
      <c r="E67" s="146">
        <f>SUM(E70:E123)</f>
        <v>798138003.53859758</v>
      </c>
      <c r="F67" s="220">
        <v>2025</v>
      </c>
      <c r="G67" s="220">
        <f t="shared" ref="G67:X67" si="8">F67+1</f>
        <v>2026</v>
      </c>
      <c r="H67" s="220">
        <f t="shared" si="8"/>
        <v>2027</v>
      </c>
      <c r="I67" s="220">
        <f t="shared" si="8"/>
        <v>2028</v>
      </c>
      <c r="J67" s="220">
        <f t="shared" si="8"/>
        <v>2029</v>
      </c>
      <c r="K67" s="220">
        <f t="shared" si="8"/>
        <v>2030</v>
      </c>
      <c r="L67" s="220">
        <f t="shared" si="8"/>
        <v>2031</v>
      </c>
      <c r="M67" s="220">
        <f t="shared" si="8"/>
        <v>2032</v>
      </c>
      <c r="N67" s="220">
        <f t="shared" si="8"/>
        <v>2033</v>
      </c>
      <c r="O67" s="220">
        <f t="shared" si="8"/>
        <v>2034</v>
      </c>
      <c r="P67" s="220">
        <f t="shared" si="8"/>
        <v>2035</v>
      </c>
      <c r="Q67" s="220">
        <f t="shared" si="8"/>
        <v>2036</v>
      </c>
      <c r="R67" s="220">
        <f t="shared" si="8"/>
        <v>2037</v>
      </c>
      <c r="S67" s="220">
        <f t="shared" si="8"/>
        <v>2038</v>
      </c>
      <c r="T67" s="220">
        <f t="shared" si="8"/>
        <v>2039</v>
      </c>
      <c r="U67" s="220">
        <f t="shared" si="8"/>
        <v>2040</v>
      </c>
      <c r="V67" s="220">
        <f t="shared" si="8"/>
        <v>2041</v>
      </c>
      <c r="W67" s="220">
        <f t="shared" si="8"/>
        <v>2042</v>
      </c>
      <c r="X67" s="220">
        <f t="shared" si="8"/>
        <v>2043</v>
      </c>
    </row>
    <row r="68" spans="2:24" x14ac:dyDescent="0.35">
      <c r="B68" s="98" t="s">
        <v>89</v>
      </c>
      <c r="C68" s="145">
        <f>C70+C77+C90+C93+C108+C111</f>
        <v>667000</v>
      </c>
      <c r="D68" s="147"/>
      <c r="E68" s="146"/>
      <c r="F68" s="146"/>
      <c r="G68" s="146"/>
      <c r="H68" s="146"/>
      <c r="I68" s="146"/>
      <c r="J68" s="146"/>
      <c r="K68" s="146"/>
      <c r="L68" s="146"/>
      <c r="M68" s="146"/>
      <c r="N68" s="146"/>
      <c r="O68" s="146"/>
      <c r="P68" s="146"/>
      <c r="Q68" s="146"/>
      <c r="R68" s="146"/>
      <c r="S68" s="146"/>
      <c r="T68" s="146"/>
      <c r="U68" s="146"/>
      <c r="V68" s="146"/>
      <c r="W68" s="146"/>
      <c r="X68" s="146"/>
    </row>
    <row r="69" spans="2:24" x14ac:dyDescent="0.35">
      <c r="B69" s="98" t="s">
        <v>130</v>
      </c>
      <c r="C69" s="145">
        <f>C72+C73+C75+C76+C79+C80+C81+C82+C85+C86+C87+C88+C91+C92+C95+C96+C97+C98+C99+C102+C103+C104+C105+C106+C109+C110+C113+C114+C115+C116+C119+C120+C121+C122</f>
        <v>666999.78334878595</v>
      </c>
      <c r="D69" s="101"/>
      <c r="E69" s="18">
        <f t="shared" ref="E69:X69" si="9">E70+E77+E90+E93+E108+E111</f>
        <v>798138003.53859758</v>
      </c>
      <c r="F69" s="18">
        <f>F70+F77+F90+F93+F108+F111</f>
        <v>197605304.35144299</v>
      </c>
      <c r="G69" s="18">
        <f>G70+G77+G90+G93+G108+G111</f>
        <v>58932244.76181452</v>
      </c>
      <c r="H69" s="18">
        <f t="shared" si="9"/>
        <v>58520780.22689563</v>
      </c>
      <c r="I69" s="18">
        <f t="shared" si="9"/>
        <v>58413236.16366674</v>
      </c>
      <c r="J69" s="18">
        <f t="shared" si="9"/>
        <v>58306229.820753992</v>
      </c>
      <c r="K69" s="18">
        <f t="shared" si="9"/>
        <v>58199758.509555802</v>
      </c>
      <c r="L69" s="18">
        <f t="shared" si="9"/>
        <v>58093819.554913595</v>
      </c>
      <c r="M69" s="18">
        <f t="shared" si="9"/>
        <v>26133903.551377345</v>
      </c>
      <c r="N69" s="18">
        <f t="shared" si="9"/>
        <v>20871560.500358649</v>
      </c>
      <c r="O69" s="18">
        <f t="shared" si="9"/>
        <v>20767202.697856858</v>
      </c>
      <c r="P69" s="18">
        <f t="shared" si="9"/>
        <v>20663366.684367571</v>
      </c>
      <c r="Q69" s="18">
        <f t="shared" si="9"/>
        <v>20560049.850945733</v>
      </c>
      <c r="R69" s="18">
        <f t="shared" si="9"/>
        <v>20457249.601691004</v>
      </c>
      <c r="S69" s="18">
        <f t="shared" si="9"/>
        <v>20354963.353682548</v>
      </c>
      <c r="T69" s="18">
        <f t="shared" si="9"/>
        <v>20253188.536914136</v>
      </c>
      <c r="U69" s="18">
        <f t="shared" si="9"/>
        <v>20151922.594229564</v>
      </c>
      <c r="V69" s="18">
        <f t="shared" si="9"/>
        <v>20051162.981258415</v>
      </c>
      <c r="W69" s="18">
        <f t="shared" si="9"/>
        <v>19950907.166352123</v>
      </c>
      <c r="X69" s="18">
        <f t="shared" si="9"/>
        <v>19851152.630520362</v>
      </c>
    </row>
    <row r="70" spans="2:24" x14ac:dyDescent="0.35">
      <c r="B70" s="14" t="s">
        <v>131</v>
      </c>
      <c r="C70" s="79">
        <f>'ABP Future Assumptions'!C6</f>
        <v>120060</v>
      </c>
      <c r="D70" s="102"/>
      <c r="E70" s="18">
        <f>SUM(F70:Y70)</f>
        <v>155651140.42152998</v>
      </c>
      <c r="F70" s="144">
        <f t="shared" ref="F70:X70" si="10">F72+F73+F75+F76</f>
        <v>155651140.42152998</v>
      </c>
      <c r="G70" s="144">
        <f t="shared" si="10"/>
        <v>0</v>
      </c>
      <c r="H70" s="144">
        <f t="shared" si="10"/>
        <v>0</v>
      </c>
      <c r="I70" s="144">
        <f t="shared" si="10"/>
        <v>0</v>
      </c>
      <c r="J70" s="144">
        <f t="shared" si="10"/>
        <v>0</v>
      </c>
      <c r="K70" s="144">
        <f t="shared" si="10"/>
        <v>0</v>
      </c>
      <c r="L70" s="144">
        <f t="shared" si="10"/>
        <v>0</v>
      </c>
      <c r="M70" s="144">
        <f t="shared" si="10"/>
        <v>0</v>
      </c>
      <c r="N70" s="144">
        <f t="shared" si="10"/>
        <v>0</v>
      </c>
      <c r="O70" s="144">
        <f t="shared" si="10"/>
        <v>0</v>
      </c>
      <c r="P70" s="144">
        <f t="shared" si="10"/>
        <v>0</v>
      </c>
      <c r="Q70" s="144">
        <f t="shared" si="10"/>
        <v>0</v>
      </c>
      <c r="R70" s="144">
        <f t="shared" si="10"/>
        <v>0</v>
      </c>
      <c r="S70" s="144">
        <f t="shared" si="10"/>
        <v>0</v>
      </c>
      <c r="T70" s="144">
        <f t="shared" si="10"/>
        <v>0</v>
      </c>
      <c r="U70" s="144">
        <f t="shared" si="10"/>
        <v>0</v>
      </c>
      <c r="V70" s="144">
        <f t="shared" si="10"/>
        <v>0</v>
      </c>
      <c r="W70" s="144">
        <f t="shared" si="10"/>
        <v>0</v>
      </c>
      <c r="X70" s="144">
        <f t="shared" si="10"/>
        <v>0</v>
      </c>
    </row>
    <row r="71" spans="2:24" x14ac:dyDescent="0.35">
      <c r="B71" s="179" t="s">
        <v>132</v>
      </c>
      <c r="C71" s="174">
        <f>'ABP Future Assumptions'!C7</f>
        <v>36018</v>
      </c>
      <c r="D71" s="176"/>
      <c r="E71" s="179"/>
      <c r="F71" s="143"/>
      <c r="G71" s="176"/>
      <c r="H71" s="176"/>
      <c r="I71" s="176"/>
      <c r="J71" s="176"/>
      <c r="K71" s="176"/>
      <c r="L71" s="176"/>
      <c r="M71" s="176"/>
      <c r="N71" s="176"/>
      <c r="O71" s="176"/>
      <c r="P71" s="176"/>
      <c r="Q71" s="176"/>
      <c r="R71" s="176"/>
      <c r="S71" s="176"/>
      <c r="T71" s="176"/>
      <c r="U71" s="176"/>
      <c r="V71" s="176"/>
      <c r="W71" s="176"/>
      <c r="X71" s="176"/>
    </row>
    <row r="72" spans="2:24" x14ac:dyDescent="0.35">
      <c r="B72" s="221" t="s">
        <v>133</v>
      </c>
      <c r="C72" s="79">
        <f>'ABP Future Assumptions'!C8</f>
        <v>13686.84</v>
      </c>
      <c r="D72" s="80">
        <f>'ABP Future Assumptions'!J8</f>
        <v>73.709999999999994</v>
      </c>
      <c r="E72" s="221"/>
      <c r="F72" s="141">
        <f>E11*D72</f>
        <v>19054959.626064043</v>
      </c>
      <c r="G72" s="42"/>
      <c r="H72" s="42"/>
      <c r="I72" s="42"/>
      <c r="J72" s="42"/>
      <c r="K72" s="42"/>
      <c r="L72" s="42"/>
      <c r="M72" s="42"/>
      <c r="N72" s="42"/>
      <c r="O72" s="42"/>
      <c r="P72" s="42"/>
      <c r="Q72" s="42"/>
      <c r="R72" s="42"/>
      <c r="S72" s="42"/>
      <c r="T72" s="42"/>
      <c r="U72" s="42"/>
      <c r="V72" s="42"/>
      <c r="W72" s="42"/>
      <c r="X72" s="42"/>
    </row>
    <row r="73" spans="2:24" x14ac:dyDescent="0.35">
      <c r="B73" s="221" t="s">
        <v>134</v>
      </c>
      <c r="C73" s="79">
        <f>'ABP Future Assumptions'!C9</f>
        <v>22331.16</v>
      </c>
      <c r="D73" s="80">
        <f>'ABP Future Assumptions'!J9</f>
        <v>63.53</v>
      </c>
      <c r="E73" s="221"/>
      <c r="F73" s="141">
        <f>E12*D73</f>
        <v>27238791.577146009</v>
      </c>
      <c r="G73" s="42"/>
      <c r="H73" s="42"/>
      <c r="I73" s="42"/>
      <c r="J73" s="42"/>
      <c r="K73" s="42"/>
      <c r="L73" s="42"/>
      <c r="M73" s="42"/>
      <c r="N73" s="42"/>
      <c r="O73" s="42"/>
      <c r="P73" s="42"/>
      <c r="Q73" s="42"/>
      <c r="R73" s="42"/>
      <c r="S73" s="42"/>
      <c r="T73" s="42"/>
      <c r="U73" s="42"/>
      <c r="V73" s="42"/>
      <c r="W73" s="42"/>
      <c r="X73" s="42"/>
    </row>
    <row r="74" spans="2:24" x14ac:dyDescent="0.35">
      <c r="B74" s="179" t="s">
        <v>135</v>
      </c>
      <c r="C74" s="174">
        <f>'ABP Future Assumptions'!C10</f>
        <v>84042</v>
      </c>
      <c r="D74" s="103"/>
      <c r="E74" s="179"/>
      <c r="F74" s="142"/>
      <c r="G74" s="176"/>
      <c r="H74" s="176"/>
      <c r="I74" s="176"/>
      <c r="J74" s="176"/>
      <c r="K74" s="176"/>
      <c r="L74" s="176"/>
      <c r="M74" s="176"/>
      <c r="N74" s="176"/>
      <c r="O74" s="176"/>
      <c r="P74" s="176"/>
      <c r="Q74" s="176"/>
      <c r="R74" s="176"/>
      <c r="S74" s="176"/>
      <c r="T74" s="176"/>
      <c r="U74" s="176"/>
      <c r="V74" s="176"/>
      <c r="W74" s="176"/>
      <c r="X74" s="176"/>
    </row>
    <row r="75" spans="2:24" x14ac:dyDescent="0.35">
      <c r="B75" s="221" t="s">
        <v>136</v>
      </c>
      <c r="C75" s="79">
        <f>'ABP Future Assumptions'!C11</f>
        <v>31935.96</v>
      </c>
      <c r="D75" s="80">
        <f>'ABP Future Assumptions'!J11</f>
        <v>81.12</v>
      </c>
      <c r="E75" s="221"/>
      <c r="F75" s="141">
        <f>E14*D75</f>
        <v>44266281.900118195</v>
      </c>
      <c r="G75" s="42"/>
      <c r="H75" s="42"/>
      <c r="I75" s="42"/>
      <c r="J75" s="42"/>
      <c r="K75" s="42"/>
      <c r="L75" s="42"/>
      <c r="M75" s="42"/>
      <c r="N75" s="42"/>
      <c r="O75" s="42"/>
      <c r="P75" s="42"/>
      <c r="Q75" s="42"/>
      <c r="R75" s="42"/>
      <c r="S75" s="42"/>
      <c r="T75" s="42"/>
      <c r="U75" s="42"/>
      <c r="V75" s="42"/>
      <c r="W75" s="42"/>
      <c r="X75" s="42"/>
    </row>
    <row r="76" spans="2:24" x14ac:dyDescent="0.35">
      <c r="B76" s="221" t="s">
        <v>134</v>
      </c>
      <c r="C76" s="79">
        <f>'ABP Future Assumptions'!C12</f>
        <v>52106.04</v>
      </c>
      <c r="D76" s="80">
        <f>'ABP Future Assumptions'!J12</f>
        <v>73.91</v>
      </c>
      <c r="E76" s="221"/>
      <c r="F76" s="141">
        <f>E15*D76</f>
        <v>65091107.318201721</v>
      </c>
      <c r="G76" s="42"/>
      <c r="H76" s="42"/>
      <c r="I76" s="42"/>
      <c r="J76" s="42"/>
      <c r="K76" s="42"/>
      <c r="L76" s="42"/>
      <c r="M76" s="42"/>
      <c r="N76" s="42"/>
      <c r="O76" s="42"/>
      <c r="P76" s="42"/>
      <c r="Q76" s="42"/>
      <c r="R76" s="42"/>
      <c r="S76" s="42"/>
      <c r="T76" s="42"/>
      <c r="U76" s="42"/>
      <c r="V76" s="42"/>
      <c r="W76" s="42"/>
      <c r="X76" s="42"/>
    </row>
    <row r="77" spans="2:24" x14ac:dyDescent="0.35">
      <c r="B77" s="14" t="s">
        <v>137</v>
      </c>
      <c r="C77" s="79">
        <f>'ABP Future Assumptions'!C13</f>
        <v>120060</v>
      </c>
      <c r="D77" s="102"/>
      <c r="E77" s="18">
        <f>SUM(F77:Y77)</f>
        <v>106510425.02526516</v>
      </c>
      <c r="F77" s="135">
        <f t="shared" ref="F77:X77" si="11">SUM(F79:F88)</f>
        <v>15976563.753789775</v>
      </c>
      <c r="G77" s="135">
        <f t="shared" si="11"/>
        <v>15088976.878579233</v>
      </c>
      <c r="H77" s="135">
        <f t="shared" si="11"/>
        <v>15088976.878579233</v>
      </c>
      <c r="I77" s="135">
        <f t="shared" si="11"/>
        <v>15088976.878579233</v>
      </c>
      <c r="J77" s="135">
        <f t="shared" si="11"/>
        <v>15088976.878579233</v>
      </c>
      <c r="K77" s="135">
        <f t="shared" si="11"/>
        <v>15088976.878579233</v>
      </c>
      <c r="L77" s="135">
        <f t="shared" si="11"/>
        <v>15088976.878579233</v>
      </c>
      <c r="M77" s="135">
        <f t="shared" si="11"/>
        <v>0</v>
      </c>
      <c r="N77" s="135">
        <f t="shared" si="11"/>
        <v>0</v>
      </c>
      <c r="O77" s="135">
        <f t="shared" si="11"/>
        <v>0</v>
      </c>
      <c r="P77" s="135">
        <f t="shared" si="11"/>
        <v>0</v>
      </c>
      <c r="Q77" s="135">
        <f t="shared" si="11"/>
        <v>0</v>
      </c>
      <c r="R77" s="135">
        <f t="shared" si="11"/>
        <v>0</v>
      </c>
      <c r="S77" s="135">
        <f t="shared" si="11"/>
        <v>0</v>
      </c>
      <c r="T77" s="135">
        <f t="shared" si="11"/>
        <v>0</v>
      </c>
      <c r="U77" s="135">
        <f t="shared" si="11"/>
        <v>0</v>
      </c>
      <c r="V77" s="135">
        <f t="shared" si="11"/>
        <v>0</v>
      </c>
      <c r="W77" s="135">
        <f t="shared" si="11"/>
        <v>0</v>
      </c>
      <c r="X77" s="135">
        <f t="shared" si="11"/>
        <v>0</v>
      </c>
    </row>
    <row r="78" spans="2:24" x14ac:dyDescent="0.35">
      <c r="B78" s="179" t="s">
        <v>138</v>
      </c>
      <c r="C78" s="174">
        <f>'ABP Future Assumptions'!C14</f>
        <v>36018</v>
      </c>
      <c r="D78" s="103"/>
      <c r="E78" s="179"/>
      <c r="F78" s="176"/>
      <c r="G78" s="176"/>
      <c r="H78" s="176"/>
      <c r="I78" s="176"/>
      <c r="J78" s="176"/>
      <c r="K78" s="176"/>
      <c r="L78" s="176"/>
      <c r="M78" s="176"/>
      <c r="N78" s="176"/>
      <c r="O78" s="176"/>
      <c r="P78" s="176"/>
      <c r="Q78" s="176"/>
      <c r="R78" s="176"/>
      <c r="S78" s="176"/>
      <c r="T78" s="176"/>
      <c r="U78" s="176"/>
      <c r="V78" s="176"/>
      <c r="W78" s="176"/>
      <c r="X78" s="176"/>
    </row>
    <row r="79" spans="2:24" x14ac:dyDescent="0.35">
      <c r="B79" s="221" t="s">
        <v>139</v>
      </c>
      <c r="C79" s="79">
        <f>'ABP Future Assumptions'!C15</f>
        <v>2974.721508385157</v>
      </c>
      <c r="D79" s="80">
        <f>'ABP Future Assumptions'!J15</f>
        <v>55.89</v>
      </c>
      <c r="E79" s="221"/>
      <c r="F79" s="42">
        <f>(E18*D79)*0.15</f>
        <v>480937.13923760992</v>
      </c>
      <c r="G79" s="42">
        <f>((E18*D79)-F79)/6</f>
        <v>454218.40927996504</v>
      </c>
      <c r="H79" s="42">
        <f t="shared" ref="H79:L82" si="12">G79</f>
        <v>454218.40927996504</v>
      </c>
      <c r="I79" s="42">
        <f t="shared" si="12"/>
        <v>454218.40927996504</v>
      </c>
      <c r="J79" s="42">
        <f t="shared" si="12"/>
        <v>454218.40927996504</v>
      </c>
      <c r="K79" s="42">
        <f t="shared" si="12"/>
        <v>454218.40927996504</v>
      </c>
      <c r="L79" s="42">
        <f t="shared" si="12"/>
        <v>454218.40927996504</v>
      </c>
      <c r="M79" s="42"/>
      <c r="N79" s="42"/>
      <c r="O79" s="42"/>
      <c r="P79" s="42"/>
      <c r="Q79" s="42"/>
      <c r="R79" s="42"/>
      <c r="S79" s="42"/>
      <c r="T79" s="42"/>
      <c r="U79" s="42"/>
      <c r="V79" s="42"/>
      <c r="W79" s="42"/>
      <c r="X79" s="42"/>
    </row>
    <row r="80" spans="2:24" x14ac:dyDescent="0.35">
      <c r="B80" s="221" t="s">
        <v>140</v>
      </c>
      <c r="C80" s="79">
        <f>'ABP Future Assumptions'!C16</f>
        <v>2297.8305238371736</v>
      </c>
      <c r="D80" s="80">
        <f>'ABP Future Assumptions'!J16</f>
        <v>53.63</v>
      </c>
      <c r="E80" s="221"/>
      <c r="F80" s="42">
        <f>(E19*D80)*0.15</f>
        <v>347611.96626230108</v>
      </c>
      <c r="G80" s="42">
        <f>((E19*D80)-F80)/6</f>
        <v>328300.19035883993</v>
      </c>
      <c r="H80" s="42">
        <f t="shared" si="12"/>
        <v>328300.19035883993</v>
      </c>
      <c r="I80" s="42">
        <f t="shared" si="12"/>
        <v>328300.19035883993</v>
      </c>
      <c r="J80" s="42">
        <f t="shared" si="12"/>
        <v>328300.19035883993</v>
      </c>
      <c r="K80" s="42">
        <f t="shared" si="12"/>
        <v>328300.19035883993</v>
      </c>
      <c r="L80" s="42">
        <f t="shared" si="12"/>
        <v>328300.19035883993</v>
      </c>
      <c r="M80" s="42"/>
      <c r="N80" s="42"/>
      <c r="O80" s="42"/>
      <c r="P80" s="42"/>
      <c r="Q80" s="42"/>
      <c r="R80" s="42"/>
      <c r="S80" s="42"/>
      <c r="T80" s="42"/>
      <c r="U80" s="42"/>
      <c r="V80" s="42"/>
      <c r="W80" s="42"/>
      <c r="X80" s="42"/>
    </row>
    <row r="81" spans="2:24" x14ac:dyDescent="0.35">
      <c r="B81" s="221" t="s">
        <v>141</v>
      </c>
      <c r="C81" s="79">
        <f>'ABP Future Assumptions'!C17</f>
        <v>5333.9890926942562</v>
      </c>
      <c r="D81" s="80">
        <f>'ABP Future Assumptions'!J17</f>
        <v>46.58</v>
      </c>
      <c r="E81" s="221"/>
      <c r="F81" s="42">
        <f>(E20*D81)*0.15</f>
        <v>723732.73208033352</v>
      </c>
      <c r="G81" s="42">
        <f>((E20*D81)-F81)/6</f>
        <v>683525.35807587055</v>
      </c>
      <c r="H81" s="42">
        <f t="shared" si="12"/>
        <v>683525.35807587055</v>
      </c>
      <c r="I81" s="42">
        <f t="shared" si="12"/>
        <v>683525.35807587055</v>
      </c>
      <c r="J81" s="42">
        <f t="shared" si="12"/>
        <v>683525.35807587055</v>
      </c>
      <c r="K81" s="42">
        <f t="shared" si="12"/>
        <v>683525.35807587055</v>
      </c>
      <c r="L81" s="42">
        <f t="shared" si="12"/>
        <v>683525.35807587055</v>
      </c>
      <c r="M81" s="42"/>
      <c r="N81" s="42"/>
      <c r="O81" s="42"/>
      <c r="P81" s="42"/>
      <c r="Q81" s="42"/>
      <c r="R81" s="42"/>
      <c r="S81" s="42"/>
      <c r="T81" s="42"/>
      <c r="U81" s="42"/>
      <c r="V81" s="42"/>
      <c r="W81" s="42"/>
      <c r="X81" s="42"/>
    </row>
    <row r="82" spans="2:24" x14ac:dyDescent="0.35">
      <c r="B82" s="221" t="s">
        <v>148</v>
      </c>
      <c r="C82" s="79">
        <f>'ABP Future Assumptions'!C18</f>
        <v>25411.385429703292</v>
      </c>
      <c r="D82" s="80">
        <f>'ABP Future Assumptions'!J18</f>
        <v>43.77</v>
      </c>
      <c r="E82" s="221"/>
      <c r="F82" s="42">
        <f>(E21*D82)*0.15</f>
        <v>3051047.9800568805</v>
      </c>
      <c r="G82" s="42">
        <f>((E21*D82)-F82)/6</f>
        <v>2881545.3144981652</v>
      </c>
      <c r="H82" s="42">
        <f t="shared" si="12"/>
        <v>2881545.3144981652</v>
      </c>
      <c r="I82" s="42">
        <f t="shared" si="12"/>
        <v>2881545.3144981652</v>
      </c>
      <c r="J82" s="42">
        <f t="shared" si="12"/>
        <v>2881545.3144981652</v>
      </c>
      <c r="K82" s="42">
        <f t="shared" si="12"/>
        <v>2881545.3144981652</v>
      </c>
      <c r="L82" s="42">
        <f t="shared" si="12"/>
        <v>2881545.3144981652</v>
      </c>
      <c r="M82" s="42"/>
      <c r="N82" s="42"/>
      <c r="O82" s="42"/>
      <c r="P82" s="42"/>
      <c r="Q82" s="42"/>
      <c r="R82" s="42"/>
      <c r="S82" s="42"/>
      <c r="T82" s="42"/>
      <c r="U82" s="42"/>
      <c r="V82" s="42"/>
      <c r="W82" s="42"/>
      <c r="X82" s="42"/>
    </row>
    <row r="83" spans="2:24" x14ac:dyDescent="0.35">
      <c r="B83" s="221" t="s">
        <v>143</v>
      </c>
      <c r="C83" s="79">
        <f>'ABP Future Assumptions'!C19</f>
        <v>0</v>
      </c>
      <c r="D83" s="80">
        <f>'ABP Future Assumptions'!J19</f>
        <v>33.03</v>
      </c>
      <c r="E83" s="221"/>
      <c r="F83" s="42"/>
      <c r="G83" s="42"/>
      <c r="H83" s="42"/>
      <c r="I83" s="42"/>
      <c r="J83" s="42"/>
      <c r="K83" s="42"/>
      <c r="L83" s="42"/>
      <c r="M83" s="42"/>
      <c r="N83" s="42"/>
      <c r="O83" s="42"/>
      <c r="P83" s="42"/>
      <c r="Q83" s="42"/>
      <c r="R83" s="42"/>
      <c r="S83" s="42"/>
      <c r="T83" s="42"/>
      <c r="U83" s="42"/>
      <c r="V83" s="42"/>
      <c r="W83" s="42"/>
      <c r="X83" s="42"/>
    </row>
    <row r="84" spans="2:24" x14ac:dyDescent="0.35">
      <c r="B84" s="179" t="s">
        <v>144</v>
      </c>
      <c r="C84" s="174">
        <f>'ABP Future Assumptions'!C20</f>
        <v>84042</v>
      </c>
      <c r="D84" s="103"/>
      <c r="E84" s="179"/>
      <c r="F84" s="140"/>
      <c r="G84" s="140"/>
      <c r="H84" s="176"/>
      <c r="I84" s="176"/>
      <c r="J84" s="176"/>
      <c r="K84" s="176"/>
      <c r="L84" s="176"/>
      <c r="M84" s="176"/>
      <c r="N84" s="176"/>
      <c r="O84" s="176"/>
      <c r="P84" s="176"/>
      <c r="Q84" s="176"/>
      <c r="R84" s="176"/>
      <c r="S84" s="176"/>
      <c r="T84" s="176"/>
      <c r="U84" s="176"/>
      <c r="V84" s="176"/>
      <c r="W84" s="176"/>
      <c r="X84" s="176"/>
    </row>
    <row r="85" spans="2:24" x14ac:dyDescent="0.35">
      <c r="B85" s="221" t="s">
        <v>145</v>
      </c>
      <c r="C85" s="79">
        <f>'ABP Future Assumptions'!C21</f>
        <v>3178.3094186097378</v>
      </c>
      <c r="D85" s="80">
        <f>'ABP Future Assumptions'!J21</f>
        <v>66.02</v>
      </c>
      <c r="E85" s="221"/>
      <c r="F85" s="42">
        <f>(E24*D85)*0.15</f>
        <v>571399.61662572948</v>
      </c>
      <c r="G85" s="42">
        <f>((E24*D85)-F85)/6</f>
        <v>539655.19347985566</v>
      </c>
      <c r="H85" s="42">
        <f t="shared" ref="H85:L88" si="13">G85</f>
        <v>539655.19347985566</v>
      </c>
      <c r="I85" s="42">
        <f t="shared" si="13"/>
        <v>539655.19347985566</v>
      </c>
      <c r="J85" s="42">
        <f t="shared" si="13"/>
        <v>539655.19347985566</v>
      </c>
      <c r="K85" s="42">
        <f t="shared" si="13"/>
        <v>539655.19347985566</v>
      </c>
      <c r="L85" s="42">
        <f t="shared" si="13"/>
        <v>539655.19347985566</v>
      </c>
      <c r="M85" s="42"/>
      <c r="N85" s="42"/>
      <c r="O85" s="42"/>
      <c r="P85" s="42"/>
      <c r="Q85" s="42"/>
      <c r="R85" s="42"/>
      <c r="S85" s="42"/>
      <c r="T85" s="42"/>
      <c r="U85" s="42"/>
      <c r="V85" s="42"/>
      <c r="W85" s="42"/>
      <c r="X85" s="42"/>
    </row>
    <row r="86" spans="2:24" x14ac:dyDescent="0.35">
      <c r="B86" s="221" t="s">
        <v>140</v>
      </c>
      <c r="C86" s="79">
        <f>'ABP Future Assumptions'!C22</f>
        <v>2474.9525351065226</v>
      </c>
      <c r="D86" s="80">
        <f>'ABP Future Assumptions'!J22</f>
        <v>59.4</v>
      </c>
      <c r="E86" s="221"/>
      <c r="F86" s="42">
        <f>(E25*D86)*0.15</f>
        <v>396695.29814137914</v>
      </c>
      <c r="G86" s="42">
        <f>((E25*D86)-F86)/6</f>
        <v>374656.67046685814</v>
      </c>
      <c r="H86" s="42">
        <f t="shared" si="13"/>
        <v>374656.67046685814</v>
      </c>
      <c r="I86" s="42">
        <f t="shared" si="13"/>
        <v>374656.67046685814</v>
      </c>
      <c r="J86" s="42">
        <f t="shared" si="13"/>
        <v>374656.67046685814</v>
      </c>
      <c r="K86" s="42">
        <f t="shared" si="13"/>
        <v>374656.67046685814</v>
      </c>
      <c r="L86" s="42">
        <f t="shared" si="13"/>
        <v>374656.67046685814</v>
      </c>
      <c r="M86" s="42"/>
      <c r="N86" s="42"/>
      <c r="O86" s="42"/>
      <c r="P86" s="42"/>
      <c r="Q86" s="42"/>
      <c r="R86" s="42"/>
      <c r="S86" s="42"/>
      <c r="T86" s="42"/>
      <c r="U86" s="42"/>
      <c r="V86" s="42"/>
      <c r="W86" s="42"/>
      <c r="X86" s="42"/>
    </row>
    <row r="87" spans="2:24" x14ac:dyDescent="0.35">
      <c r="B87" s="221" t="s">
        <v>141</v>
      </c>
      <c r="C87" s="79">
        <f>'ABP Future Assumptions'!C23</f>
        <v>9173.1101535500238</v>
      </c>
      <c r="D87" s="80">
        <f>'ABP Future Assumptions'!J23</f>
        <v>50.93</v>
      </c>
      <c r="E87" s="221"/>
      <c r="F87" s="42">
        <f>(E26*D87)*0.15</f>
        <v>1255579.603638374</v>
      </c>
      <c r="G87" s="42">
        <f>((E26*D87)-F87)/6</f>
        <v>1185825.1812140199</v>
      </c>
      <c r="H87" s="42">
        <f t="shared" si="13"/>
        <v>1185825.1812140199</v>
      </c>
      <c r="I87" s="42">
        <f t="shared" si="13"/>
        <v>1185825.1812140199</v>
      </c>
      <c r="J87" s="42">
        <f t="shared" si="13"/>
        <v>1185825.1812140199</v>
      </c>
      <c r="K87" s="42">
        <f t="shared" si="13"/>
        <v>1185825.1812140199</v>
      </c>
      <c r="L87" s="42">
        <f t="shared" si="13"/>
        <v>1185825.1812140199</v>
      </c>
      <c r="M87" s="42"/>
      <c r="N87" s="42"/>
      <c r="O87" s="42"/>
      <c r="P87" s="42"/>
      <c r="Q87" s="42"/>
      <c r="R87" s="42"/>
      <c r="S87" s="42"/>
      <c r="T87" s="42"/>
      <c r="U87" s="42"/>
      <c r="V87" s="42"/>
      <c r="W87" s="42"/>
      <c r="X87" s="42"/>
    </row>
    <row r="88" spans="2:24" x14ac:dyDescent="0.35">
      <c r="B88" s="221" t="s">
        <v>148</v>
      </c>
      <c r="C88" s="79">
        <f>'ABP Future Assumptions'!C24</f>
        <v>69215.598713854502</v>
      </c>
      <c r="D88" s="80">
        <f>'ABP Future Assumptions'!J24</f>
        <v>46.39</v>
      </c>
      <c r="E88" s="221"/>
      <c r="F88" s="42">
        <f>(E27*D88)*0.15</f>
        <v>9149559.4177471679</v>
      </c>
      <c r="G88" s="42">
        <f>((E27*D88)-F88)/6</f>
        <v>8641250.5612056591</v>
      </c>
      <c r="H88" s="42">
        <f t="shared" si="13"/>
        <v>8641250.5612056591</v>
      </c>
      <c r="I88" s="42">
        <f t="shared" si="13"/>
        <v>8641250.5612056591</v>
      </c>
      <c r="J88" s="42">
        <f t="shared" si="13"/>
        <v>8641250.5612056591</v>
      </c>
      <c r="K88" s="42">
        <f t="shared" si="13"/>
        <v>8641250.5612056591</v>
      </c>
      <c r="L88" s="42">
        <f t="shared" si="13"/>
        <v>8641250.5612056591</v>
      </c>
      <c r="M88" s="42"/>
      <c r="N88" s="42"/>
      <c r="O88" s="42"/>
      <c r="P88" s="42"/>
      <c r="Q88" s="42"/>
      <c r="R88" s="42"/>
      <c r="S88" s="42"/>
      <c r="T88" s="42"/>
      <c r="U88" s="42"/>
      <c r="V88" s="42"/>
      <c r="W88" s="42"/>
      <c r="X88" s="42"/>
    </row>
    <row r="89" spans="2:24" x14ac:dyDescent="0.35">
      <c r="B89" s="221" t="s">
        <v>143</v>
      </c>
      <c r="C89" s="79">
        <f>'ABP Future Assumptions'!C25</f>
        <v>0</v>
      </c>
      <c r="D89" s="80">
        <f>'ABP Future Assumptions'!J25</f>
        <v>34.22</v>
      </c>
      <c r="E89" s="221"/>
      <c r="F89" s="42"/>
      <c r="G89" s="42"/>
      <c r="H89" s="42"/>
      <c r="I89" s="42"/>
      <c r="J89" s="42"/>
      <c r="K89" s="42"/>
      <c r="L89" s="42"/>
      <c r="M89" s="42"/>
      <c r="N89" s="42"/>
      <c r="O89" s="42"/>
      <c r="P89" s="42"/>
      <c r="Q89" s="42"/>
      <c r="R89" s="42"/>
      <c r="S89" s="42"/>
      <c r="T89" s="42"/>
      <c r="U89" s="42"/>
      <c r="V89" s="42"/>
      <c r="W89" s="42"/>
      <c r="X89" s="42"/>
    </row>
    <row r="90" spans="2:24" x14ac:dyDescent="0.35">
      <c r="B90" s="14" t="s">
        <v>173</v>
      </c>
      <c r="C90" s="79">
        <f>'ABP Future Assumptions'!C26</f>
        <v>180090</v>
      </c>
      <c r="D90" s="102"/>
      <c r="E90" s="135">
        <f>SUM(F90:X90)</f>
        <v>231772292.12061101</v>
      </c>
      <c r="F90" s="135">
        <f t="shared" ref="F90:X90" si="14">SUM(F91:F92)</f>
        <v>0</v>
      </c>
      <c r="G90" s="135">
        <f t="shared" si="14"/>
        <v>13432163.77288368</v>
      </c>
      <c r="H90" s="135">
        <f t="shared" si="14"/>
        <v>13365002.954019262</v>
      </c>
      <c r="I90" s="135">
        <f t="shared" si="14"/>
        <v>13298177.939249165</v>
      </c>
      <c r="J90" s="135">
        <f t="shared" si="14"/>
        <v>13231687.049552921</v>
      </c>
      <c r="K90" s="135">
        <f t="shared" si="14"/>
        <v>13165528.614305153</v>
      </c>
      <c r="L90" s="135">
        <f t="shared" si="14"/>
        <v>13099700.971233629</v>
      </c>
      <c r="M90" s="135">
        <f t="shared" si="14"/>
        <v>13034202.466377461</v>
      </c>
      <c r="N90" s="135">
        <f t="shared" si="14"/>
        <v>12969031.454045575</v>
      </c>
      <c r="O90" s="135">
        <f t="shared" si="14"/>
        <v>12904186.296775347</v>
      </c>
      <c r="P90" s="135">
        <f t="shared" si="14"/>
        <v>12839665.365291469</v>
      </c>
      <c r="Q90" s="135">
        <f t="shared" si="14"/>
        <v>12775467.038465012</v>
      </c>
      <c r="R90" s="135">
        <f t="shared" si="14"/>
        <v>12711589.703272685</v>
      </c>
      <c r="S90" s="135">
        <f t="shared" si="14"/>
        <v>12648031.754756322</v>
      </c>
      <c r="T90" s="135">
        <f t="shared" si="14"/>
        <v>12584791.59598254</v>
      </c>
      <c r="U90" s="135">
        <f t="shared" si="14"/>
        <v>12521867.638002627</v>
      </c>
      <c r="V90" s="135">
        <f t="shared" si="14"/>
        <v>12459258.299812613</v>
      </c>
      <c r="W90" s="135">
        <f t="shared" si="14"/>
        <v>12396962.008313552</v>
      </c>
      <c r="X90" s="135">
        <f t="shared" si="14"/>
        <v>12334977.198271982</v>
      </c>
    </row>
    <row r="91" spans="2:24" x14ac:dyDescent="0.35">
      <c r="B91" s="179" t="s">
        <v>147</v>
      </c>
      <c r="C91" s="174">
        <f>'ABP Future Assumptions'!C27</f>
        <v>54027</v>
      </c>
      <c r="D91" s="80">
        <f>'ABP Future Assumptions'!J33</f>
        <v>46.02</v>
      </c>
      <c r="E91" s="221"/>
      <c r="F91" s="137"/>
      <c r="G91" s="42">
        <f>'24-25 ABP Activities'!G30*$D91</f>
        <v>3682375.954099129</v>
      </c>
      <c r="H91" s="42">
        <f t="shared" ref="H91:X91" si="15">H30*$D91</f>
        <v>3663964.074328633</v>
      </c>
      <c r="I91" s="42">
        <f t="shared" si="15"/>
        <v>3645644.2539569899</v>
      </c>
      <c r="J91" s="42">
        <f t="shared" si="15"/>
        <v>3627416.0326872049</v>
      </c>
      <c r="K91" s="42">
        <f t="shared" si="15"/>
        <v>3609278.9525237689</v>
      </c>
      <c r="L91" s="42">
        <f t="shared" si="15"/>
        <v>3591232.5577611499</v>
      </c>
      <c r="M91" s="42">
        <f t="shared" si="15"/>
        <v>3573276.3949723444</v>
      </c>
      <c r="N91" s="42">
        <f t="shared" si="15"/>
        <v>3555410.0129974829</v>
      </c>
      <c r="O91" s="42">
        <f t="shared" si="15"/>
        <v>3537632.9629324954</v>
      </c>
      <c r="P91" s="42">
        <f t="shared" si="15"/>
        <v>3519944.7981178327</v>
      </c>
      <c r="Q91" s="42">
        <f t="shared" si="15"/>
        <v>3502345.0741272434</v>
      </c>
      <c r="R91" s="42">
        <f t="shared" si="15"/>
        <v>3484833.3487566067</v>
      </c>
      <c r="S91" s="42">
        <f t="shared" si="15"/>
        <v>3467409.1820128239</v>
      </c>
      <c r="T91" s="42">
        <f t="shared" si="15"/>
        <v>3450072.1361027593</v>
      </c>
      <c r="U91" s="42">
        <f t="shared" si="15"/>
        <v>3432821.7754222457</v>
      </c>
      <c r="V91" s="42">
        <f t="shared" si="15"/>
        <v>3415657.6665451345</v>
      </c>
      <c r="W91" s="42">
        <f t="shared" si="15"/>
        <v>3398579.3782124086</v>
      </c>
      <c r="X91" s="42">
        <f t="shared" si="15"/>
        <v>3381586.4813213465</v>
      </c>
    </row>
    <row r="92" spans="2:24" x14ac:dyDescent="0.35">
      <c r="B92" s="179" t="s">
        <v>150</v>
      </c>
      <c r="C92" s="174">
        <f>'ABP Future Assumptions'!C35</f>
        <v>126062.99999999999</v>
      </c>
      <c r="D92" s="80">
        <f>'ABP Future Assumptions'!J41</f>
        <v>52.22</v>
      </c>
      <c r="E92" s="221"/>
      <c r="F92" s="137"/>
      <c r="G92" s="42">
        <f>'24-25 ABP Activities'!G31*$D92</f>
        <v>9749787.8187845498</v>
      </c>
      <c r="H92" s="42">
        <f t="shared" ref="H92:X92" si="16">H31*$D92</f>
        <v>9701038.8796906285</v>
      </c>
      <c r="I92" s="42">
        <f t="shared" si="16"/>
        <v>9652533.685292175</v>
      </c>
      <c r="J92" s="42">
        <f t="shared" si="16"/>
        <v>9604271.0168657154</v>
      </c>
      <c r="K92" s="42">
        <f t="shared" si="16"/>
        <v>9556249.6617813855</v>
      </c>
      <c r="L92" s="42">
        <f t="shared" si="16"/>
        <v>9508468.4134724792</v>
      </c>
      <c r="M92" s="42">
        <f t="shared" si="16"/>
        <v>9460926.0714051165</v>
      </c>
      <c r="N92" s="42">
        <f t="shared" si="16"/>
        <v>9413621.4410480913</v>
      </c>
      <c r="O92" s="42">
        <f t="shared" si="16"/>
        <v>9366553.3338428512</v>
      </c>
      <c r="P92" s="42">
        <f t="shared" si="16"/>
        <v>9319720.5671736356</v>
      </c>
      <c r="Q92" s="42">
        <f t="shared" si="16"/>
        <v>9273121.964337768</v>
      </c>
      <c r="R92" s="42">
        <f t="shared" si="16"/>
        <v>9226756.3545160778</v>
      </c>
      <c r="S92" s="42">
        <f t="shared" si="16"/>
        <v>9180622.5727434978</v>
      </c>
      <c r="T92" s="42">
        <f t="shared" si="16"/>
        <v>9134719.4598797802</v>
      </c>
      <c r="U92" s="42">
        <f t="shared" si="16"/>
        <v>9089045.8625803813</v>
      </c>
      <c r="V92" s="42">
        <f t="shared" si="16"/>
        <v>9043600.633267479</v>
      </c>
      <c r="W92" s="42">
        <f t="shared" si="16"/>
        <v>8998382.6301011425</v>
      </c>
      <c r="X92" s="42">
        <f t="shared" si="16"/>
        <v>8953390.7169506364</v>
      </c>
    </row>
    <row r="93" spans="2:24" x14ac:dyDescent="0.35">
      <c r="B93" s="14" t="s">
        <v>151</v>
      </c>
      <c r="C93" s="79">
        <f>'ABP Future Assumptions'!C43</f>
        <v>86710</v>
      </c>
      <c r="D93" s="102"/>
      <c r="E93" s="18">
        <f>SUM(F93:Y93)</f>
        <v>149453623.36504731</v>
      </c>
      <c r="F93" s="135">
        <f t="shared" ref="F93:X93" si="17">SUM(F94:F106)</f>
        <v>8225862.6719123758</v>
      </c>
      <c r="G93" s="135">
        <f t="shared" si="17"/>
        <v>8184733.3585528135</v>
      </c>
      <c r="H93" s="135">
        <f t="shared" si="17"/>
        <v>8143809.6917600501</v>
      </c>
      <c r="I93" s="135">
        <f t="shared" si="17"/>
        <v>8103090.6433012495</v>
      </c>
      <c r="J93" s="135">
        <f t="shared" si="17"/>
        <v>8062575.1900847424</v>
      </c>
      <c r="K93" s="135">
        <f t="shared" si="17"/>
        <v>8022262.3141343202</v>
      </c>
      <c r="L93" s="135">
        <f t="shared" si="17"/>
        <v>7982151.002563647</v>
      </c>
      <c r="M93" s="135">
        <f t="shared" si="17"/>
        <v>7942240.2475508302</v>
      </c>
      <c r="N93" s="135">
        <f t="shared" si="17"/>
        <v>7902529.0463130753</v>
      </c>
      <c r="O93" s="135">
        <f t="shared" si="17"/>
        <v>7863016.4010815108</v>
      </c>
      <c r="P93" s="135">
        <f t="shared" si="17"/>
        <v>7823701.3190761032</v>
      </c>
      <c r="Q93" s="135">
        <f t="shared" si="17"/>
        <v>7784582.8124807235</v>
      </c>
      <c r="R93" s="135">
        <f t="shared" si="17"/>
        <v>7745659.8984183175</v>
      </c>
      <c r="S93" s="135">
        <f t="shared" si="17"/>
        <v>7706931.5989262266</v>
      </c>
      <c r="T93" s="135">
        <f t="shared" si="17"/>
        <v>7668396.9409315949</v>
      </c>
      <c r="U93" s="135">
        <f t="shared" si="17"/>
        <v>7630054.9562269375</v>
      </c>
      <c r="V93" s="135">
        <f t="shared" si="17"/>
        <v>7591904.6814458035</v>
      </c>
      <c r="W93" s="135">
        <f t="shared" si="17"/>
        <v>7553945.1580385733</v>
      </c>
      <c r="X93" s="135">
        <f t="shared" si="17"/>
        <v>7516175.432248381</v>
      </c>
    </row>
    <row r="94" spans="2:24" x14ac:dyDescent="0.35">
      <c r="B94" s="179" t="s">
        <v>152</v>
      </c>
      <c r="C94" s="174">
        <f>'ABP Future Assumptions'!C44</f>
        <v>26013</v>
      </c>
      <c r="D94" s="103"/>
      <c r="E94" s="179"/>
      <c r="F94" s="140"/>
      <c r="G94" s="140"/>
      <c r="H94" s="140"/>
      <c r="I94" s="140"/>
      <c r="J94" s="140"/>
      <c r="K94" s="140"/>
      <c r="L94" s="140"/>
      <c r="M94" s="140"/>
      <c r="N94" s="140"/>
      <c r="O94" s="140"/>
      <c r="P94" s="140"/>
      <c r="Q94" s="140"/>
      <c r="R94" s="140"/>
      <c r="S94" s="140"/>
      <c r="T94" s="140"/>
      <c r="U94" s="140"/>
      <c r="V94" s="140"/>
      <c r="W94" s="140"/>
      <c r="X94" s="140"/>
    </row>
    <row r="95" spans="2:24" x14ac:dyDescent="0.35">
      <c r="B95" s="221" t="s">
        <v>153</v>
      </c>
      <c r="C95" s="79">
        <f>'ABP Future Assumptions'!C45</f>
        <v>1204.3055555555554</v>
      </c>
      <c r="D95" s="80">
        <f>'ABP Future Assumptions'!J45</f>
        <v>77.17</v>
      </c>
      <c r="E95" s="221"/>
      <c r="F95" s="42">
        <f t="shared" ref="F95:X95" si="18">F34*$D$95</f>
        <v>137643.54485762832</v>
      </c>
      <c r="G95" s="42">
        <f t="shared" si="18"/>
        <v>136955.32713334018</v>
      </c>
      <c r="H95" s="42">
        <f t="shared" si="18"/>
        <v>136270.55049767348</v>
      </c>
      <c r="I95" s="42">
        <f t="shared" si="18"/>
        <v>135589.19774518511</v>
      </c>
      <c r="J95" s="42">
        <f t="shared" si="18"/>
        <v>134911.25175645918</v>
      </c>
      <c r="K95" s="42">
        <f t="shared" si="18"/>
        <v>134236.6954976769</v>
      </c>
      <c r="L95" s="42">
        <f t="shared" si="18"/>
        <v>133565.5120201885</v>
      </c>
      <c r="M95" s="42">
        <f t="shared" si="18"/>
        <v>132897.68446008756</v>
      </c>
      <c r="N95" s="42">
        <f t="shared" si="18"/>
        <v>132233.19603778713</v>
      </c>
      <c r="O95" s="42">
        <f t="shared" si="18"/>
        <v>131572.03005759817</v>
      </c>
      <c r="P95" s="42">
        <f t="shared" si="18"/>
        <v>130914.16990731018</v>
      </c>
      <c r="Q95" s="42">
        <f t="shared" si="18"/>
        <v>130259.59905777364</v>
      </c>
      <c r="R95" s="42">
        <f t="shared" si="18"/>
        <v>129608.30106248477</v>
      </c>
      <c r="S95" s="42">
        <f t="shared" si="18"/>
        <v>128960.25955717234</v>
      </c>
      <c r="T95" s="42">
        <f t="shared" si="18"/>
        <v>128315.45825938649</v>
      </c>
      <c r="U95" s="42">
        <f t="shared" si="18"/>
        <v>127673.88096808955</v>
      </c>
      <c r="V95" s="42">
        <f t="shared" si="18"/>
        <v>127035.51156324911</v>
      </c>
      <c r="W95" s="42">
        <f t="shared" si="18"/>
        <v>126400.33400543286</v>
      </c>
      <c r="X95" s="42">
        <f t="shared" si="18"/>
        <v>125768.33233540569</v>
      </c>
    </row>
    <row r="96" spans="2:24" x14ac:dyDescent="0.35">
      <c r="B96" s="221" t="s">
        <v>145</v>
      </c>
      <c r="C96" s="79">
        <f>'ABP Future Assumptions'!C46</f>
        <v>1445.1666666666665</v>
      </c>
      <c r="D96" s="80">
        <f>'ABP Future Assumptions'!J46</f>
        <v>68.569999999999993</v>
      </c>
      <c r="E96" s="221"/>
      <c r="F96" s="42">
        <f t="shared" ref="F96:X96" si="19">F35*$D96</f>
        <v>146765.08286983398</v>
      </c>
      <c r="G96" s="42">
        <f t="shared" si="19"/>
        <v>146031.2574554848</v>
      </c>
      <c r="H96" s="42">
        <f t="shared" si="19"/>
        <v>145301.10116820739</v>
      </c>
      <c r="I96" s="42">
        <f t="shared" si="19"/>
        <v>144574.59566236634</v>
      </c>
      <c r="J96" s="42">
        <f t="shared" si="19"/>
        <v>143851.72268405452</v>
      </c>
      <c r="K96" s="42">
        <f t="shared" si="19"/>
        <v>143132.46407063422</v>
      </c>
      <c r="L96" s="42">
        <f t="shared" si="19"/>
        <v>142416.80175028104</v>
      </c>
      <c r="M96" s="42">
        <f t="shared" si="19"/>
        <v>141704.71774152966</v>
      </c>
      <c r="N96" s="42">
        <f t="shared" si="19"/>
        <v>140996.19415282202</v>
      </c>
      <c r="O96" s="42">
        <f t="shared" si="19"/>
        <v>140291.21318205789</v>
      </c>
      <c r="P96" s="42">
        <f t="shared" si="19"/>
        <v>139589.75711614761</v>
      </c>
      <c r="Q96" s="42">
        <f t="shared" si="19"/>
        <v>138891.80833056686</v>
      </c>
      <c r="R96" s="42">
        <f t="shared" si="19"/>
        <v>138197.34928891403</v>
      </c>
      <c r="S96" s="42">
        <f t="shared" si="19"/>
        <v>137506.36254246946</v>
      </c>
      <c r="T96" s="42">
        <f t="shared" si="19"/>
        <v>136818.83072975712</v>
      </c>
      <c r="U96" s="42">
        <f t="shared" si="19"/>
        <v>136134.73657610832</v>
      </c>
      <c r="V96" s="42">
        <f t="shared" si="19"/>
        <v>135454.06289322779</v>
      </c>
      <c r="W96" s="42">
        <f t="shared" si="19"/>
        <v>134776.79257876167</v>
      </c>
      <c r="X96" s="42">
        <f t="shared" si="19"/>
        <v>134102.90861586784</v>
      </c>
    </row>
    <row r="97" spans="2:24" x14ac:dyDescent="0.35">
      <c r="B97" s="221" t="s">
        <v>140</v>
      </c>
      <c r="C97" s="79">
        <f>'ABP Future Assumptions'!C47</f>
        <v>5539.8055555555557</v>
      </c>
      <c r="D97" s="80">
        <f>'ABP Future Assumptions'!J47</f>
        <v>65.81</v>
      </c>
      <c r="E97" s="221"/>
      <c r="F97" s="42">
        <f t="shared" ref="F97:X97" si="20">F36*$D97</f>
        <v>539954.38331696764</v>
      </c>
      <c r="G97" s="42">
        <f t="shared" si="20"/>
        <v>537254.61140038283</v>
      </c>
      <c r="H97" s="42">
        <f t="shared" si="20"/>
        <v>534568.33834338095</v>
      </c>
      <c r="I97" s="42">
        <f t="shared" si="20"/>
        <v>531895.49665166403</v>
      </c>
      <c r="J97" s="42">
        <f t="shared" si="20"/>
        <v>529236.01916840568</v>
      </c>
      <c r="K97" s="42">
        <f t="shared" si="20"/>
        <v>526589.83907256369</v>
      </c>
      <c r="L97" s="42">
        <f t="shared" si="20"/>
        <v>523956.88987720088</v>
      </c>
      <c r="M97" s="42">
        <f t="shared" si="20"/>
        <v>521337.10542781488</v>
      </c>
      <c r="N97" s="42">
        <f t="shared" si="20"/>
        <v>518730.41990067583</v>
      </c>
      <c r="O97" s="42">
        <f t="shared" si="20"/>
        <v>516136.76780117239</v>
      </c>
      <c r="P97" s="42">
        <f t="shared" si="20"/>
        <v>513556.08396216657</v>
      </c>
      <c r="Q97" s="42">
        <f t="shared" si="20"/>
        <v>510988.30354235566</v>
      </c>
      <c r="R97" s="42">
        <f t="shared" si="20"/>
        <v>508433.36202464392</v>
      </c>
      <c r="S97" s="42">
        <f t="shared" si="20"/>
        <v>505891.19521452067</v>
      </c>
      <c r="T97" s="42">
        <f t="shared" si="20"/>
        <v>503361.73923844809</v>
      </c>
      <c r="U97" s="42">
        <f t="shared" si="20"/>
        <v>500844.93054225587</v>
      </c>
      <c r="V97" s="42">
        <f t="shared" si="20"/>
        <v>498340.70588954457</v>
      </c>
      <c r="W97" s="42">
        <f t="shared" si="20"/>
        <v>495849.00236009684</v>
      </c>
      <c r="X97" s="42">
        <f t="shared" si="20"/>
        <v>493369.75734829635</v>
      </c>
    </row>
    <row r="98" spans="2:24" x14ac:dyDescent="0.35">
      <c r="B98" s="221" t="s">
        <v>141</v>
      </c>
      <c r="C98" s="79">
        <f>'ABP Future Assumptions'!C48</f>
        <v>11802.194444444445</v>
      </c>
      <c r="D98" s="80">
        <f>'ABP Future Assumptions'!J48</f>
        <v>57.72</v>
      </c>
      <c r="E98" s="221"/>
      <c r="F98" s="42">
        <f t="shared" ref="F98:X98" si="21">F37*$D98</f>
        <v>1008927.0054423561</v>
      </c>
      <c r="G98" s="42">
        <f t="shared" si="21"/>
        <v>1003882.3704151443</v>
      </c>
      <c r="H98" s="42">
        <f t="shared" si="21"/>
        <v>998862.95856306865</v>
      </c>
      <c r="I98" s="42">
        <f t="shared" si="21"/>
        <v>993868.6437702534</v>
      </c>
      <c r="J98" s="42">
        <f t="shared" si="21"/>
        <v>988899.30055140203</v>
      </c>
      <c r="K98" s="42">
        <f t="shared" si="21"/>
        <v>983954.80404864484</v>
      </c>
      <c r="L98" s="42">
        <f t="shared" si="21"/>
        <v>979035.03002840152</v>
      </c>
      <c r="M98" s="42">
        <f t="shared" si="21"/>
        <v>974139.85487825947</v>
      </c>
      <c r="N98" s="42">
        <f t="shared" si="21"/>
        <v>969269.15560386819</v>
      </c>
      <c r="O98" s="42">
        <f t="shared" si="21"/>
        <v>964422.8098258489</v>
      </c>
      <c r="P98" s="42">
        <f t="shared" si="21"/>
        <v>959600.6957767196</v>
      </c>
      <c r="Q98" s="42">
        <f t="shared" si="21"/>
        <v>954802.69229783607</v>
      </c>
      <c r="R98" s="42">
        <f t="shared" si="21"/>
        <v>950028.67883634684</v>
      </c>
      <c r="S98" s="42">
        <f t="shared" si="21"/>
        <v>945278.5354421651</v>
      </c>
      <c r="T98" s="42">
        <f t="shared" si="21"/>
        <v>940552.14276495425</v>
      </c>
      <c r="U98" s="42">
        <f t="shared" si="21"/>
        <v>935849.38205112948</v>
      </c>
      <c r="V98" s="42">
        <f t="shared" si="21"/>
        <v>931170.13514087384</v>
      </c>
      <c r="W98" s="42">
        <f t="shared" si="21"/>
        <v>926514.28446516942</v>
      </c>
      <c r="X98" s="42">
        <f t="shared" si="21"/>
        <v>921881.71304284362</v>
      </c>
    </row>
    <row r="99" spans="2:24" x14ac:dyDescent="0.35">
      <c r="B99" s="221" t="s">
        <v>148</v>
      </c>
      <c r="C99" s="79">
        <f>'ABP Future Assumptions'!C49</f>
        <v>6021.5277777777774</v>
      </c>
      <c r="D99" s="80">
        <f>'ABP Future Assumptions'!J49</f>
        <v>54.51</v>
      </c>
      <c r="E99" s="221"/>
      <c r="F99" s="42">
        <f t="shared" ref="F99:X99" si="22">F38*$D99</f>
        <v>486131.24466692493</v>
      </c>
      <c r="G99" s="42">
        <f t="shared" si="22"/>
        <v>483700.58844359033</v>
      </c>
      <c r="H99" s="42">
        <f t="shared" si="22"/>
        <v>481282.08550137235</v>
      </c>
      <c r="I99" s="42">
        <f t="shared" si="22"/>
        <v>478875.67507386551</v>
      </c>
      <c r="J99" s="42">
        <f t="shared" si="22"/>
        <v>476481.29669849615</v>
      </c>
      <c r="K99" s="42">
        <f t="shared" si="22"/>
        <v>474098.89021500369</v>
      </c>
      <c r="L99" s="42">
        <f t="shared" si="22"/>
        <v>471728.39576392871</v>
      </c>
      <c r="M99" s="42">
        <f t="shared" si="22"/>
        <v>469369.75378510909</v>
      </c>
      <c r="N99" s="42">
        <f t="shared" si="22"/>
        <v>467022.9050161835</v>
      </c>
      <c r="O99" s="42">
        <f t="shared" si="22"/>
        <v>464687.79049110255</v>
      </c>
      <c r="P99" s="42">
        <f t="shared" si="22"/>
        <v>462364.35153864702</v>
      </c>
      <c r="Q99" s="42">
        <f t="shared" si="22"/>
        <v>460052.52978095383</v>
      </c>
      <c r="R99" s="42">
        <f t="shared" si="22"/>
        <v>457752.26713204908</v>
      </c>
      <c r="S99" s="42">
        <f t="shared" si="22"/>
        <v>455463.50579638884</v>
      </c>
      <c r="T99" s="42">
        <f t="shared" si="22"/>
        <v>453186.18826740689</v>
      </c>
      <c r="U99" s="42">
        <f t="shared" si="22"/>
        <v>450920.25732606993</v>
      </c>
      <c r="V99" s="42">
        <f t="shared" si="22"/>
        <v>448665.65603943955</v>
      </c>
      <c r="W99" s="42">
        <f t="shared" si="22"/>
        <v>446422.32775924233</v>
      </c>
      <c r="X99" s="42">
        <f t="shared" si="22"/>
        <v>444190.2161204461</v>
      </c>
    </row>
    <row r="100" spans="2:24" x14ac:dyDescent="0.35">
      <c r="B100" s="221" t="s">
        <v>143</v>
      </c>
      <c r="C100" s="79">
        <f>'ABP Future Assumptions'!C50</f>
        <v>0</v>
      </c>
      <c r="D100" s="80">
        <f>'ABP Future Assumptions'!J50</f>
        <v>42.15</v>
      </c>
      <c r="E100" s="221"/>
      <c r="F100" s="42"/>
      <c r="G100" s="42"/>
      <c r="H100" s="42"/>
      <c r="I100" s="42"/>
      <c r="J100" s="42"/>
      <c r="K100" s="42"/>
      <c r="L100" s="42"/>
      <c r="M100" s="42"/>
      <c r="N100" s="42"/>
      <c r="O100" s="42"/>
      <c r="P100" s="42"/>
      <c r="Q100" s="42"/>
      <c r="R100" s="42"/>
      <c r="S100" s="42"/>
      <c r="T100" s="42"/>
      <c r="U100" s="42"/>
      <c r="V100" s="42"/>
      <c r="W100" s="42"/>
      <c r="X100" s="42"/>
    </row>
    <row r="101" spans="2:24" x14ac:dyDescent="0.35">
      <c r="B101" s="179" t="s">
        <v>154</v>
      </c>
      <c r="C101" s="174">
        <f>'ABP Future Assumptions'!C51</f>
        <v>60696.999999999993</v>
      </c>
      <c r="D101" s="103"/>
      <c r="E101" s="179"/>
      <c r="F101" s="140"/>
      <c r="G101" s="140"/>
      <c r="H101" s="140"/>
      <c r="I101" s="140"/>
      <c r="J101" s="140"/>
      <c r="K101" s="140"/>
      <c r="L101" s="140"/>
      <c r="M101" s="140"/>
      <c r="N101" s="140"/>
      <c r="O101" s="140"/>
      <c r="P101" s="140"/>
      <c r="Q101" s="140"/>
      <c r="R101" s="140"/>
      <c r="S101" s="140"/>
      <c r="T101" s="140"/>
      <c r="U101" s="140"/>
      <c r="V101" s="140"/>
      <c r="W101" s="140"/>
      <c r="X101" s="140"/>
    </row>
    <row r="102" spans="2:24" x14ac:dyDescent="0.35">
      <c r="B102" s="221" t="s">
        <v>153</v>
      </c>
      <c r="C102" s="79">
        <f>'ABP Future Assumptions'!C52</f>
        <v>2810.0462962962956</v>
      </c>
      <c r="D102" s="80">
        <f>'ABP Future Assumptions'!J52</f>
        <v>88.96</v>
      </c>
      <c r="E102" s="221"/>
      <c r="F102" s="42">
        <f t="shared" ref="F102:X102" si="23">F41*$D102</f>
        <v>370236.22415335098</v>
      </c>
      <c r="G102" s="42">
        <f t="shared" si="23"/>
        <v>368385.04303258419</v>
      </c>
      <c r="H102" s="42">
        <f t="shared" si="23"/>
        <v>366543.11781742127</v>
      </c>
      <c r="I102" s="42">
        <f t="shared" si="23"/>
        <v>364710.40222833416</v>
      </c>
      <c r="J102" s="42">
        <f t="shared" si="23"/>
        <v>362886.85021719249</v>
      </c>
      <c r="K102" s="42">
        <f t="shared" si="23"/>
        <v>361072.41596610652</v>
      </c>
      <c r="L102" s="42">
        <f t="shared" si="23"/>
        <v>359267.05388627603</v>
      </c>
      <c r="M102" s="42">
        <f t="shared" si="23"/>
        <v>357470.71861684468</v>
      </c>
      <c r="N102" s="42">
        <f t="shared" si="23"/>
        <v>355683.36502376042</v>
      </c>
      <c r="O102" s="42">
        <f t="shared" si="23"/>
        <v>353904.94819864159</v>
      </c>
      <c r="P102" s="42">
        <f t="shared" si="23"/>
        <v>352135.42345764843</v>
      </c>
      <c r="Q102" s="42">
        <f t="shared" si="23"/>
        <v>350374.74634036014</v>
      </c>
      <c r="R102" s="42">
        <f t="shared" si="23"/>
        <v>348622.87260865839</v>
      </c>
      <c r="S102" s="42">
        <f t="shared" si="23"/>
        <v>346879.75824561506</v>
      </c>
      <c r="T102" s="42">
        <f t="shared" si="23"/>
        <v>345145.35945438698</v>
      </c>
      <c r="U102" s="42">
        <f t="shared" si="23"/>
        <v>343419.63265711506</v>
      </c>
      <c r="V102" s="42">
        <f t="shared" si="23"/>
        <v>341702.53449382947</v>
      </c>
      <c r="W102" s="42">
        <f t="shared" si="23"/>
        <v>339994.02182136034</v>
      </c>
      <c r="X102" s="42">
        <f t="shared" si="23"/>
        <v>338294.05171225354</v>
      </c>
    </row>
    <row r="103" spans="2:24" x14ac:dyDescent="0.35">
      <c r="B103" s="221" t="s">
        <v>145</v>
      </c>
      <c r="C103" s="79">
        <f>'ABP Future Assumptions'!C53</f>
        <v>3372.0555555555547</v>
      </c>
      <c r="D103" s="80">
        <f>'ABP Future Assumptions'!J53</f>
        <v>80.09</v>
      </c>
      <c r="E103" s="221"/>
      <c r="F103" s="42">
        <f t="shared" ref="F103:X103" si="24">F42*$D103</f>
        <v>399984.97112106864</v>
      </c>
      <c r="G103" s="42">
        <f t="shared" si="24"/>
        <v>397985.04626546329</v>
      </c>
      <c r="H103" s="42">
        <f t="shared" si="24"/>
        <v>395995.12103413598</v>
      </c>
      <c r="I103" s="42">
        <f t="shared" si="24"/>
        <v>394015.14542896528</v>
      </c>
      <c r="J103" s="42">
        <f t="shared" si="24"/>
        <v>392045.06970182044</v>
      </c>
      <c r="K103" s="42">
        <f t="shared" si="24"/>
        <v>390084.84435331129</v>
      </c>
      <c r="L103" s="42">
        <f t="shared" si="24"/>
        <v>388134.42013154476</v>
      </c>
      <c r="M103" s="42">
        <f t="shared" si="24"/>
        <v>386193.74803088704</v>
      </c>
      <c r="N103" s="42">
        <f t="shared" si="24"/>
        <v>384262.77929073258</v>
      </c>
      <c r="O103" s="42">
        <f t="shared" si="24"/>
        <v>382341.46539427887</v>
      </c>
      <c r="P103" s="42">
        <f t="shared" si="24"/>
        <v>380429.75806730747</v>
      </c>
      <c r="Q103" s="42">
        <f t="shared" si="24"/>
        <v>378527.60927697096</v>
      </c>
      <c r="R103" s="42">
        <f t="shared" si="24"/>
        <v>376634.97123058606</v>
      </c>
      <c r="S103" s="42">
        <f t="shared" si="24"/>
        <v>374751.79637443315</v>
      </c>
      <c r="T103" s="42">
        <f t="shared" si="24"/>
        <v>372878.03739256097</v>
      </c>
      <c r="U103" s="42">
        <f t="shared" si="24"/>
        <v>371013.64720559813</v>
      </c>
      <c r="V103" s="42">
        <f t="shared" si="24"/>
        <v>369158.57896957011</v>
      </c>
      <c r="W103" s="42">
        <f t="shared" si="24"/>
        <v>367312.7860747223</v>
      </c>
      <c r="X103" s="42">
        <f t="shared" si="24"/>
        <v>365476.22214434866</v>
      </c>
    </row>
    <row r="104" spans="2:24" x14ac:dyDescent="0.35">
      <c r="B104" s="221" t="s">
        <v>140</v>
      </c>
      <c r="C104" s="79">
        <f>'ABP Future Assumptions'!C54</f>
        <v>12926.212962962962</v>
      </c>
      <c r="D104" s="80">
        <f>'ABP Future Assumptions'!J54</f>
        <v>72.36</v>
      </c>
      <c r="E104" s="221"/>
      <c r="F104" s="42">
        <f t="shared" ref="F104:X104" si="25">F43*$D104</f>
        <v>1385289.4404989639</v>
      </c>
      <c r="G104" s="42">
        <f t="shared" si="25"/>
        <v>1378362.9932964691</v>
      </c>
      <c r="H104" s="42">
        <f t="shared" si="25"/>
        <v>1371471.1783299865</v>
      </c>
      <c r="I104" s="42">
        <f t="shared" si="25"/>
        <v>1364613.8224383367</v>
      </c>
      <c r="J104" s="42">
        <f t="shared" si="25"/>
        <v>1357790.753326145</v>
      </c>
      <c r="K104" s="42">
        <f t="shared" si="25"/>
        <v>1351001.7995595143</v>
      </c>
      <c r="L104" s="42">
        <f t="shared" si="25"/>
        <v>1344246.7905617168</v>
      </c>
      <c r="M104" s="42">
        <f t="shared" si="25"/>
        <v>1337525.5566089081</v>
      </c>
      <c r="N104" s="42">
        <f t="shared" si="25"/>
        <v>1330837.9288258636</v>
      </c>
      <c r="O104" s="42">
        <f t="shared" si="25"/>
        <v>1324183.7391817344</v>
      </c>
      <c r="P104" s="42">
        <f t="shared" si="25"/>
        <v>1317562.8204858257</v>
      </c>
      <c r="Q104" s="42">
        <f t="shared" si="25"/>
        <v>1310975.0063833965</v>
      </c>
      <c r="R104" s="42">
        <f t="shared" si="25"/>
        <v>1304420.1313514796</v>
      </c>
      <c r="S104" s="42">
        <f t="shared" si="25"/>
        <v>1297898.0306947224</v>
      </c>
      <c r="T104" s="42">
        <f t="shared" si="25"/>
        <v>1291408.5405412489</v>
      </c>
      <c r="U104" s="42">
        <f t="shared" si="25"/>
        <v>1284951.4978385426</v>
      </c>
      <c r="V104" s="42">
        <f t="shared" si="25"/>
        <v>1278526.7403493498</v>
      </c>
      <c r="W104" s="42">
        <f t="shared" si="25"/>
        <v>1272134.106647603</v>
      </c>
      <c r="X104" s="42">
        <f t="shared" si="25"/>
        <v>1265773.436114365</v>
      </c>
    </row>
    <row r="105" spans="2:24" x14ac:dyDescent="0.35">
      <c r="B105" s="221" t="s">
        <v>141</v>
      </c>
      <c r="C105" s="79">
        <f>'ABP Future Assumptions'!C55</f>
        <v>27538.453703703701</v>
      </c>
      <c r="D105" s="80">
        <f>'ABP Future Assumptions'!J55</f>
        <v>62.65</v>
      </c>
      <c r="E105" s="221"/>
      <c r="F105" s="42">
        <f t="shared" ref="F105:X105" si="26">F44*$D105</f>
        <v>2555237.5735547766</v>
      </c>
      <c r="G105" s="42">
        <f t="shared" si="26"/>
        <v>2542461.3856870024</v>
      </c>
      <c r="H105" s="42">
        <f t="shared" si="26"/>
        <v>2529749.0787585676</v>
      </c>
      <c r="I105" s="42">
        <f t="shared" si="26"/>
        <v>2517100.3333647745</v>
      </c>
      <c r="J105" s="42">
        <f t="shared" si="26"/>
        <v>2504514.8316979506</v>
      </c>
      <c r="K105" s="42">
        <f t="shared" si="26"/>
        <v>2491992.2575394609</v>
      </c>
      <c r="L105" s="42">
        <f t="shared" si="26"/>
        <v>2479532.2962517636</v>
      </c>
      <c r="M105" s="42">
        <f t="shared" si="26"/>
        <v>2467134.6347705051</v>
      </c>
      <c r="N105" s="42">
        <f t="shared" si="26"/>
        <v>2454798.9615966524</v>
      </c>
      <c r="O105" s="42">
        <f t="shared" si="26"/>
        <v>2442524.9667886691</v>
      </c>
      <c r="P105" s="42">
        <f t="shared" si="26"/>
        <v>2430312.3419547258</v>
      </c>
      <c r="Q105" s="42">
        <f t="shared" si="26"/>
        <v>2418160.7802449525</v>
      </c>
      <c r="R105" s="42">
        <f t="shared" si="26"/>
        <v>2406069.9763437272</v>
      </c>
      <c r="S105" s="42">
        <f t="shared" si="26"/>
        <v>2394039.6264620088</v>
      </c>
      <c r="T105" s="42">
        <f t="shared" si="26"/>
        <v>2382069.4283296983</v>
      </c>
      <c r="U105" s="42">
        <f t="shared" si="26"/>
        <v>2370159.0811880501</v>
      </c>
      <c r="V105" s="42">
        <f t="shared" si="26"/>
        <v>2358308.2857821095</v>
      </c>
      <c r="W105" s="42">
        <f t="shared" si="26"/>
        <v>2346516.7443531989</v>
      </c>
      <c r="X105" s="42">
        <f t="shared" si="26"/>
        <v>2334784.1606314331</v>
      </c>
    </row>
    <row r="106" spans="2:24" x14ac:dyDescent="0.35">
      <c r="B106" s="221" t="s">
        <v>148</v>
      </c>
      <c r="C106" s="79">
        <f>'ABP Future Assumptions'!C56</f>
        <v>14050.23148148148</v>
      </c>
      <c r="D106" s="80">
        <f>'ABP Future Assumptions'!J56</f>
        <v>57.46</v>
      </c>
      <c r="E106" s="221"/>
      <c r="F106" s="42">
        <f t="shared" ref="F106:X106" si="27">F45*$D106</f>
        <v>1195693.2014305054</v>
      </c>
      <c r="G106" s="42">
        <f t="shared" si="27"/>
        <v>1189714.735423353</v>
      </c>
      <c r="H106" s="42">
        <f t="shared" si="27"/>
        <v>1183766.161746236</v>
      </c>
      <c r="I106" s="42">
        <f t="shared" si="27"/>
        <v>1177847.3309375048</v>
      </c>
      <c r="J106" s="42">
        <f t="shared" si="27"/>
        <v>1171958.0942828173</v>
      </c>
      <c r="K106" s="42">
        <f t="shared" si="27"/>
        <v>1166098.303811403</v>
      </c>
      <c r="L106" s="42">
        <f t="shared" si="27"/>
        <v>1160267.812292346</v>
      </c>
      <c r="M106" s="42">
        <f t="shared" si="27"/>
        <v>1154466.4732308844</v>
      </c>
      <c r="N106" s="42">
        <f t="shared" si="27"/>
        <v>1148694.1408647299</v>
      </c>
      <c r="O106" s="42">
        <f t="shared" si="27"/>
        <v>1142950.6701604063</v>
      </c>
      <c r="P106" s="42">
        <f t="shared" si="27"/>
        <v>1137235.9168096043</v>
      </c>
      <c r="Q106" s="42">
        <f t="shared" si="27"/>
        <v>1131549.7372255563</v>
      </c>
      <c r="R106" s="42">
        <f t="shared" si="27"/>
        <v>1125891.9885394285</v>
      </c>
      <c r="S106" s="42">
        <f t="shared" si="27"/>
        <v>1120262.5285967311</v>
      </c>
      <c r="T106" s="42">
        <f t="shared" si="27"/>
        <v>1114661.2159537475</v>
      </c>
      <c r="U106" s="42">
        <f t="shared" si="27"/>
        <v>1109087.9098739789</v>
      </c>
      <c r="V106" s="42">
        <f t="shared" si="27"/>
        <v>1103542.470324609</v>
      </c>
      <c r="W106" s="42">
        <f t="shared" si="27"/>
        <v>1098024.757972986</v>
      </c>
      <c r="X106" s="42">
        <f t="shared" si="27"/>
        <v>1092534.6341831211</v>
      </c>
    </row>
    <row r="107" spans="2:24" x14ac:dyDescent="0.35">
      <c r="B107" s="221" t="s">
        <v>143</v>
      </c>
      <c r="C107" s="79">
        <f>'ABP Future Assumptions'!C57</f>
        <v>0</v>
      </c>
      <c r="D107" s="80">
        <f>'ABP Future Assumptions'!J57</f>
        <v>43.49</v>
      </c>
      <c r="E107" s="221"/>
      <c r="F107" s="139"/>
      <c r="G107" s="42"/>
      <c r="H107" s="42"/>
      <c r="I107" s="42"/>
      <c r="J107" s="42"/>
      <c r="K107" s="42"/>
      <c r="L107" s="42"/>
      <c r="M107" s="42"/>
      <c r="N107" s="42"/>
      <c r="O107" s="42"/>
      <c r="P107" s="42"/>
      <c r="Q107" s="42"/>
      <c r="R107" s="42"/>
      <c r="S107" s="42"/>
      <c r="T107" s="42"/>
      <c r="U107" s="42"/>
      <c r="V107" s="42"/>
      <c r="W107" s="42"/>
      <c r="X107" s="42"/>
    </row>
    <row r="108" spans="2:24" x14ac:dyDescent="0.35">
      <c r="B108" s="14" t="s">
        <v>155</v>
      </c>
      <c r="C108" s="79">
        <f>'ABP Future Assumptions'!C58</f>
        <v>26680</v>
      </c>
      <c r="D108" s="102"/>
      <c r="E108" s="18">
        <f>SUM(G108:Y108)</f>
        <v>36405605.911405101</v>
      </c>
      <c r="F108" s="138"/>
      <c r="G108" s="135">
        <f t="shared" ref="G108:X108" si="28">SUM(G109:G110)</f>
        <v>5460840.8867107658</v>
      </c>
      <c r="H108" s="135">
        <f t="shared" si="28"/>
        <v>5157460.8374490561</v>
      </c>
      <c r="I108" s="135">
        <f t="shared" si="28"/>
        <v>5157460.8374490561</v>
      </c>
      <c r="J108" s="135">
        <f t="shared" si="28"/>
        <v>5157460.8374490561</v>
      </c>
      <c r="K108" s="135">
        <f t="shared" si="28"/>
        <v>5157460.8374490561</v>
      </c>
      <c r="L108" s="135">
        <f t="shared" si="28"/>
        <v>5157460.8374490561</v>
      </c>
      <c r="M108" s="135">
        <f t="shared" si="28"/>
        <v>5157460.8374490561</v>
      </c>
      <c r="N108" s="135">
        <f t="shared" si="28"/>
        <v>0</v>
      </c>
      <c r="O108" s="135">
        <f t="shared" si="28"/>
        <v>0</v>
      </c>
      <c r="P108" s="135">
        <f t="shared" si="28"/>
        <v>0</v>
      </c>
      <c r="Q108" s="135">
        <f t="shared" si="28"/>
        <v>0</v>
      </c>
      <c r="R108" s="135">
        <f t="shared" si="28"/>
        <v>0</v>
      </c>
      <c r="S108" s="135">
        <f t="shared" si="28"/>
        <v>0</v>
      </c>
      <c r="T108" s="135">
        <f t="shared" si="28"/>
        <v>0</v>
      </c>
      <c r="U108" s="135">
        <f t="shared" si="28"/>
        <v>0</v>
      </c>
      <c r="V108" s="135">
        <f t="shared" si="28"/>
        <v>0</v>
      </c>
      <c r="W108" s="135">
        <f t="shared" si="28"/>
        <v>0</v>
      </c>
      <c r="X108" s="135">
        <f t="shared" si="28"/>
        <v>0</v>
      </c>
    </row>
    <row r="109" spans="2:24" x14ac:dyDescent="0.35">
      <c r="B109" s="179" t="s">
        <v>156</v>
      </c>
      <c r="C109" s="174">
        <f>'ABP Future Assumptions'!C59</f>
        <v>8004</v>
      </c>
      <c r="D109" s="80">
        <f>'ABP Future Assumptions'!J65</f>
        <v>57.93</v>
      </c>
      <c r="E109" s="221"/>
      <c r="F109" s="137"/>
      <c r="G109" s="42">
        <f>(E48*D109)*0.15</f>
        <v>1492200.5309771446</v>
      </c>
      <c r="H109" s="42">
        <f>((E48*D109)-G109)/6</f>
        <v>1409300.5014784143</v>
      </c>
      <c r="I109" s="42">
        <f t="shared" ref="I109:M110" si="29">H109</f>
        <v>1409300.5014784143</v>
      </c>
      <c r="J109" s="42">
        <f t="shared" si="29"/>
        <v>1409300.5014784143</v>
      </c>
      <c r="K109" s="42">
        <f t="shared" si="29"/>
        <v>1409300.5014784143</v>
      </c>
      <c r="L109" s="42">
        <f t="shared" si="29"/>
        <v>1409300.5014784143</v>
      </c>
      <c r="M109" s="42">
        <f t="shared" si="29"/>
        <v>1409300.5014784143</v>
      </c>
      <c r="O109" s="42"/>
      <c r="P109" s="42"/>
      <c r="Q109" s="42"/>
      <c r="R109" s="42"/>
      <c r="S109" s="42"/>
      <c r="T109" s="42"/>
      <c r="U109" s="42"/>
      <c r="V109" s="42"/>
      <c r="W109" s="42"/>
      <c r="X109" s="42"/>
    </row>
    <row r="110" spans="2:24" x14ac:dyDescent="0.35">
      <c r="B110" s="179" t="s">
        <v>157</v>
      </c>
      <c r="C110" s="174">
        <f>'ABP Future Assumptions'!C67</f>
        <v>18676</v>
      </c>
      <c r="D110" s="80">
        <f>'ABP Future Assumptions'!J73</f>
        <v>66.03</v>
      </c>
      <c r="E110" s="221"/>
      <c r="F110" s="137"/>
      <c r="G110" s="42">
        <f>(E49*D110)*0.15</f>
        <v>3968640.3557336209</v>
      </c>
      <c r="H110" s="42">
        <f>((E49*D110)-G110)/6</f>
        <v>3748160.335970642</v>
      </c>
      <c r="I110" s="42">
        <f t="shared" si="29"/>
        <v>3748160.335970642</v>
      </c>
      <c r="J110" s="42">
        <f t="shared" si="29"/>
        <v>3748160.335970642</v>
      </c>
      <c r="K110" s="42">
        <f t="shared" si="29"/>
        <v>3748160.335970642</v>
      </c>
      <c r="L110" s="42">
        <f t="shared" si="29"/>
        <v>3748160.335970642</v>
      </c>
      <c r="M110" s="42">
        <f t="shared" si="29"/>
        <v>3748160.335970642</v>
      </c>
      <c r="O110" s="42"/>
      <c r="P110" s="42"/>
      <c r="Q110" s="42"/>
      <c r="R110" s="42"/>
      <c r="S110" s="42"/>
      <c r="T110" s="42"/>
      <c r="U110" s="42"/>
      <c r="V110" s="42"/>
      <c r="W110" s="42"/>
      <c r="X110" s="42"/>
    </row>
    <row r="111" spans="2:24" x14ac:dyDescent="0.35">
      <c r="B111" s="99" t="s">
        <v>158</v>
      </c>
      <c r="C111" s="79">
        <f>'ABP Future Assumptions'!C75</f>
        <v>133400</v>
      </c>
      <c r="D111" s="102"/>
      <c r="E111" s="18">
        <f>SUM(F111:Y111)</f>
        <v>118344916.69473904</v>
      </c>
      <c r="F111" s="136">
        <f t="shared" ref="F111:X111" si="30">SUM(F113:F122)</f>
        <v>17751737.50421086</v>
      </c>
      <c r="G111" s="136">
        <f t="shared" si="30"/>
        <v>16765529.865088034</v>
      </c>
      <c r="H111" s="136">
        <f t="shared" si="30"/>
        <v>16765529.865088034</v>
      </c>
      <c r="I111" s="136">
        <f t="shared" si="30"/>
        <v>16765529.865088034</v>
      </c>
      <c r="J111" s="136">
        <f t="shared" si="30"/>
        <v>16765529.865088034</v>
      </c>
      <c r="K111" s="136">
        <f t="shared" si="30"/>
        <v>16765529.865088034</v>
      </c>
      <c r="L111" s="136">
        <f t="shared" si="30"/>
        <v>16765529.865088034</v>
      </c>
      <c r="M111" s="136">
        <f t="shared" si="30"/>
        <v>0</v>
      </c>
      <c r="N111" s="136">
        <f t="shared" si="30"/>
        <v>0</v>
      </c>
      <c r="O111" s="136">
        <f t="shared" si="30"/>
        <v>0</v>
      </c>
      <c r="P111" s="136">
        <f t="shared" si="30"/>
        <v>0</v>
      </c>
      <c r="Q111" s="136">
        <f t="shared" si="30"/>
        <v>0</v>
      </c>
      <c r="R111" s="136">
        <f t="shared" si="30"/>
        <v>0</v>
      </c>
      <c r="S111" s="136">
        <f t="shared" si="30"/>
        <v>0</v>
      </c>
      <c r="T111" s="136">
        <f t="shared" si="30"/>
        <v>0</v>
      </c>
      <c r="U111" s="136">
        <f t="shared" si="30"/>
        <v>0</v>
      </c>
      <c r="V111" s="136">
        <f t="shared" si="30"/>
        <v>0</v>
      </c>
      <c r="W111" s="136">
        <f t="shared" si="30"/>
        <v>0</v>
      </c>
      <c r="X111" s="136">
        <f t="shared" si="30"/>
        <v>0</v>
      </c>
    </row>
    <row r="112" spans="2:24" x14ac:dyDescent="0.35">
      <c r="B112" s="179" t="s">
        <v>159</v>
      </c>
      <c r="C112" s="174">
        <f>'ABP Future Assumptions'!C76</f>
        <v>40020</v>
      </c>
      <c r="D112" s="103"/>
      <c r="E112" s="179"/>
      <c r="F112" s="176"/>
      <c r="G112" s="176"/>
      <c r="H112" s="176"/>
      <c r="I112" s="176"/>
      <c r="J112" s="176"/>
      <c r="K112" s="176"/>
      <c r="L112" s="176"/>
      <c r="M112" s="176"/>
      <c r="N112" s="176"/>
      <c r="O112" s="176"/>
      <c r="P112" s="176"/>
      <c r="Q112" s="176"/>
      <c r="R112" s="176"/>
      <c r="S112" s="176"/>
      <c r="T112" s="176"/>
      <c r="U112" s="176"/>
      <c r="V112" s="176"/>
      <c r="W112" s="176"/>
      <c r="X112" s="176"/>
    </row>
    <row r="113" spans="2:24" x14ac:dyDescent="0.35">
      <c r="B113" s="221" t="s">
        <v>139</v>
      </c>
      <c r="C113" s="79">
        <f>'ABP Future Assumptions'!C77</f>
        <v>3305.2461204279521</v>
      </c>
      <c r="D113" s="80">
        <f>'ABP Future Assumptions'!J77</f>
        <v>55.89</v>
      </c>
      <c r="E113" s="221"/>
      <c r="F113" s="42">
        <f>(E52*D113)*0.15</f>
        <v>534374.59915289981</v>
      </c>
      <c r="G113" s="42">
        <f>((E52*D113)-F113)/6</f>
        <v>504687.12142218323</v>
      </c>
      <c r="H113" s="42">
        <f t="shared" ref="H113:L116" si="31">G113</f>
        <v>504687.12142218323</v>
      </c>
      <c r="I113" s="42">
        <f t="shared" si="31"/>
        <v>504687.12142218323</v>
      </c>
      <c r="J113" s="42">
        <f t="shared" si="31"/>
        <v>504687.12142218323</v>
      </c>
      <c r="K113" s="42">
        <f t="shared" si="31"/>
        <v>504687.12142218323</v>
      </c>
      <c r="L113" s="42">
        <f t="shared" si="31"/>
        <v>504687.12142218323</v>
      </c>
      <c r="M113" s="42">
        <v>0</v>
      </c>
      <c r="N113" s="42">
        <v>0</v>
      </c>
      <c r="O113" s="42">
        <v>0</v>
      </c>
      <c r="P113" s="42">
        <v>0</v>
      </c>
      <c r="Q113" s="42">
        <v>0</v>
      </c>
      <c r="R113" s="42">
        <v>0</v>
      </c>
      <c r="S113" s="42">
        <v>0</v>
      </c>
      <c r="T113" s="42">
        <v>0</v>
      </c>
      <c r="U113" s="42">
        <v>0</v>
      </c>
      <c r="V113" s="42">
        <v>0</v>
      </c>
      <c r="W113" s="42">
        <v>0</v>
      </c>
      <c r="X113" s="42">
        <v>0</v>
      </c>
    </row>
    <row r="114" spans="2:24" x14ac:dyDescent="0.35">
      <c r="B114" s="221" t="s">
        <v>140</v>
      </c>
      <c r="C114" s="79">
        <f>'ABP Future Assumptions'!C78</f>
        <v>2553.1450264857485</v>
      </c>
      <c r="D114" s="80">
        <f>'ABP Future Assumptions'!J78</f>
        <v>53.63</v>
      </c>
      <c r="E114" s="221"/>
      <c r="F114" s="42">
        <f>(E53*D114)*0.15</f>
        <v>386235.51806922338</v>
      </c>
      <c r="G114" s="42">
        <f>((E53*D114)-F114)/6</f>
        <v>364777.98928759986</v>
      </c>
      <c r="H114" s="42">
        <f t="shared" si="31"/>
        <v>364777.98928759986</v>
      </c>
      <c r="I114" s="42">
        <f t="shared" si="31"/>
        <v>364777.98928759986</v>
      </c>
      <c r="J114" s="42">
        <f t="shared" si="31"/>
        <v>364777.98928759986</v>
      </c>
      <c r="K114" s="42">
        <f t="shared" si="31"/>
        <v>364777.98928759986</v>
      </c>
      <c r="L114" s="42">
        <f t="shared" si="31"/>
        <v>364777.98928759986</v>
      </c>
      <c r="M114" s="42">
        <v>0</v>
      </c>
      <c r="N114" s="42">
        <v>0</v>
      </c>
      <c r="O114" s="42">
        <v>0</v>
      </c>
      <c r="P114" s="42">
        <v>0</v>
      </c>
      <c r="Q114" s="42">
        <v>0</v>
      </c>
      <c r="R114" s="42">
        <v>0</v>
      </c>
      <c r="S114" s="42">
        <v>0</v>
      </c>
      <c r="T114" s="42">
        <v>0</v>
      </c>
      <c r="U114" s="42">
        <v>0</v>
      </c>
      <c r="V114" s="42">
        <v>0</v>
      </c>
      <c r="W114" s="42">
        <v>0</v>
      </c>
      <c r="X114" s="42">
        <v>0</v>
      </c>
    </row>
    <row r="115" spans="2:24" x14ac:dyDescent="0.35">
      <c r="B115" s="221" t="s">
        <v>141</v>
      </c>
      <c r="C115" s="79">
        <f>'ABP Future Assumptions'!C79</f>
        <v>5926.6545474380619</v>
      </c>
      <c r="D115" s="80">
        <f>'ABP Future Assumptions'!J79</f>
        <v>46.58</v>
      </c>
      <c r="E115" s="221"/>
      <c r="F115" s="42">
        <f>(E54*D115)*0.15</f>
        <v>804147.48008925922</v>
      </c>
      <c r="G115" s="42">
        <f>((E54*D115)-F115)/6</f>
        <v>759472.62008430029</v>
      </c>
      <c r="H115" s="42">
        <f t="shared" si="31"/>
        <v>759472.62008430029</v>
      </c>
      <c r="I115" s="42">
        <f t="shared" si="31"/>
        <v>759472.62008430029</v>
      </c>
      <c r="J115" s="42">
        <f t="shared" si="31"/>
        <v>759472.62008430029</v>
      </c>
      <c r="K115" s="42">
        <f t="shared" si="31"/>
        <v>759472.62008430029</v>
      </c>
      <c r="L115" s="42">
        <f t="shared" si="31"/>
        <v>759472.62008430029</v>
      </c>
      <c r="M115" s="42">
        <v>0</v>
      </c>
      <c r="N115" s="42">
        <v>0</v>
      </c>
      <c r="O115" s="42">
        <v>0</v>
      </c>
      <c r="P115" s="42">
        <v>0</v>
      </c>
      <c r="Q115" s="42">
        <v>0</v>
      </c>
      <c r="R115" s="42">
        <v>0</v>
      </c>
      <c r="S115" s="42">
        <v>0</v>
      </c>
      <c r="T115" s="42">
        <v>0</v>
      </c>
      <c r="U115" s="42">
        <v>0</v>
      </c>
      <c r="V115" s="42">
        <v>0</v>
      </c>
      <c r="W115" s="42">
        <v>0</v>
      </c>
      <c r="X115" s="42">
        <v>0</v>
      </c>
    </row>
    <row r="116" spans="2:24" x14ac:dyDescent="0.35">
      <c r="B116" s="221" t="s">
        <v>148</v>
      </c>
      <c r="C116" s="79">
        <f>'ABP Future Assumptions'!C80</f>
        <v>28234.872699670323</v>
      </c>
      <c r="D116" s="80">
        <f>'ABP Future Assumptions'!J80</f>
        <v>43.77</v>
      </c>
      <c r="E116" s="221"/>
      <c r="F116" s="42">
        <f>(E55*D116)*0.15</f>
        <v>3390053.3111743103</v>
      </c>
      <c r="G116" s="42">
        <f>((E55*D116)-F116)/6</f>
        <v>3201717.0161090712</v>
      </c>
      <c r="H116" s="42">
        <f t="shared" si="31"/>
        <v>3201717.0161090712</v>
      </c>
      <c r="I116" s="42">
        <f t="shared" si="31"/>
        <v>3201717.0161090712</v>
      </c>
      <c r="J116" s="42">
        <f t="shared" si="31"/>
        <v>3201717.0161090712</v>
      </c>
      <c r="K116" s="42">
        <f t="shared" si="31"/>
        <v>3201717.0161090712</v>
      </c>
      <c r="L116" s="42">
        <f t="shared" si="31"/>
        <v>3201717.0161090712</v>
      </c>
      <c r="M116" s="42">
        <v>0</v>
      </c>
      <c r="N116" s="42">
        <v>0</v>
      </c>
      <c r="O116" s="42">
        <v>0</v>
      </c>
      <c r="P116" s="42">
        <v>0</v>
      </c>
      <c r="Q116" s="42">
        <v>0</v>
      </c>
      <c r="R116" s="42">
        <v>0</v>
      </c>
      <c r="S116" s="42">
        <v>0</v>
      </c>
      <c r="T116" s="42">
        <v>0</v>
      </c>
      <c r="U116" s="42">
        <v>0</v>
      </c>
      <c r="V116" s="42">
        <v>0</v>
      </c>
      <c r="W116" s="42">
        <v>0</v>
      </c>
      <c r="X116" s="42">
        <v>0</v>
      </c>
    </row>
    <row r="117" spans="2:24" x14ac:dyDescent="0.35">
      <c r="B117" s="221" t="s">
        <v>143</v>
      </c>
      <c r="C117" s="79">
        <f>'ABP Future Assumptions'!C81</f>
        <v>0</v>
      </c>
      <c r="D117" s="80">
        <f>'ABP Future Assumptions'!J81</f>
        <v>33.03</v>
      </c>
      <c r="E117" s="221"/>
      <c r="F117" s="42"/>
      <c r="G117" s="42"/>
      <c r="H117" s="42"/>
      <c r="I117" s="42"/>
      <c r="J117" s="42"/>
      <c r="K117" s="42"/>
      <c r="L117" s="42"/>
      <c r="M117" s="42"/>
      <c r="N117" s="42"/>
      <c r="O117" s="42"/>
      <c r="P117" s="42"/>
      <c r="Q117" s="42"/>
      <c r="R117" s="42"/>
      <c r="S117" s="42"/>
      <c r="T117" s="42"/>
      <c r="U117" s="42"/>
      <c r="V117" s="42"/>
      <c r="W117" s="42"/>
      <c r="X117" s="42"/>
    </row>
    <row r="118" spans="2:24" x14ac:dyDescent="0.35">
      <c r="B118" s="179" t="s">
        <v>160</v>
      </c>
      <c r="C118" s="174">
        <f>'ABP Future Assumptions'!C82</f>
        <v>93380</v>
      </c>
      <c r="D118" s="103"/>
      <c r="E118" s="179"/>
      <c r="F118" s="176"/>
      <c r="G118" s="176"/>
      <c r="H118" s="176"/>
      <c r="I118" s="176"/>
      <c r="J118" s="176"/>
      <c r="K118" s="176"/>
      <c r="L118" s="176"/>
      <c r="M118" s="176"/>
      <c r="N118" s="176"/>
      <c r="O118" s="176"/>
      <c r="P118" s="176"/>
      <c r="Q118" s="176"/>
      <c r="R118" s="176"/>
      <c r="S118" s="176"/>
      <c r="T118" s="176"/>
      <c r="U118" s="176"/>
      <c r="V118" s="176"/>
      <c r="W118" s="176"/>
      <c r="X118" s="176"/>
    </row>
    <row r="119" spans="2:24" x14ac:dyDescent="0.35">
      <c r="B119" s="221" t="s">
        <v>145</v>
      </c>
      <c r="C119" s="79">
        <f>'ABP Future Assumptions'!C83</f>
        <v>3531.4549095663756</v>
      </c>
      <c r="D119" s="80">
        <f>'ABP Future Assumptions'!J83</f>
        <v>66.02</v>
      </c>
      <c r="E119" s="221"/>
      <c r="F119" s="42">
        <f>(E58*D119)*0.15</f>
        <v>634888.46291747713</v>
      </c>
      <c r="G119" s="42">
        <f>((E58*D119)-F119)/6</f>
        <v>599616.881644284</v>
      </c>
      <c r="H119" s="42">
        <f t="shared" ref="H119:L122" si="32">G119</f>
        <v>599616.881644284</v>
      </c>
      <c r="I119" s="42">
        <f t="shared" si="32"/>
        <v>599616.881644284</v>
      </c>
      <c r="J119" s="42">
        <f t="shared" si="32"/>
        <v>599616.881644284</v>
      </c>
      <c r="K119" s="42">
        <f t="shared" si="32"/>
        <v>599616.881644284</v>
      </c>
      <c r="L119" s="42">
        <f t="shared" si="32"/>
        <v>599616.881644284</v>
      </c>
      <c r="M119" s="42">
        <v>0</v>
      </c>
      <c r="N119" s="42">
        <v>0</v>
      </c>
      <c r="O119" s="42">
        <v>0</v>
      </c>
      <c r="P119" s="42">
        <v>0</v>
      </c>
      <c r="Q119" s="42">
        <v>0</v>
      </c>
      <c r="R119" s="42">
        <v>0</v>
      </c>
      <c r="S119" s="42">
        <v>0</v>
      </c>
      <c r="T119" s="42">
        <v>0</v>
      </c>
      <c r="U119" s="42">
        <v>0</v>
      </c>
      <c r="V119" s="42">
        <v>0</v>
      </c>
      <c r="W119" s="42">
        <v>0</v>
      </c>
      <c r="X119" s="42">
        <v>0</v>
      </c>
    </row>
    <row r="120" spans="2:24" x14ac:dyDescent="0.35">
      <c r="B120" s="221" t="s">
        <v>140</v>
      </c>
      <c r="C120" s="79">
        <f>'ABP Future Assumptions'!C84</f>
        <v>2749.9472612294699</v>
      </c>
      <c r="D120" s="80">
        <f>'ABP Future Assumptions'!J84</f>
        <v>59.4</v>
      </c>
      <c r="E120" s="221"/>
      <c r="F120" s="42">
        <f>(E59*D120)*0.15</f>
        <v>440772.55349042127</v>
      </c>
      <c r="G120" s="42">
        <f>((E59*D120)-F120)/6</f>
        <v>416285.18940762011</v>
      </c>
      <c r="H120" s="42">
        <f t="shared" si="32"/>
        <v>416285.18940762011</v>
      </c>
      <c r="I120" s="42">
        <f t="shared" si="32"/>
        <v>416285.18940762011</v>
      </c>
      <c r="J120" s="42">
        <f t="shared" si="32"/>
        <v>416285.18940762011</v>
      </c>
      <c r="K120" s="42">
        <f t="shared" si="32"/>
        <v>416285.18940762011</v>
      </c>
      <c r="L120" s="42">
        <f t="shared" si="32"/>
        <v>416285.18940762011</v>
      </c>
      <c r="M120" s="42">
        <v>0</v>
      </c>
      <c r="N120" s="42">
        <v>0</v>
      </c>
      <c r="O120" s="42">
        <v>0</v>
      </c>
      <c r="P120" s="42">
        <v>0</v>
      </c>
      <c r="Q120" s="42">
        <v>0</v>
      </c>
      <c r="R120" s="42">
        <v>0</v>
      </c>
      <c r="S120" s="42">
        <v>0</v>
      </c>
      <c r="T120" s="42">
        <v>0</v>
      </c>
      <c r="U120" s="42">
        <v>0</v>
      </c>
      <c r="V120" s="42">
        <v>0</v>
      </c>
      <c r="W120" s="42">
        <v>0</v>
      </c>
      <c r="X120" s="42">
        <v>0</v>
      </c>
    </row>
    <row r="121" spans="2:24" x14ac:dyDescent="0.35">
      <c r="B121" s="221" t="s">
        <v>141</v>
      </c>
      <c r="C121" s="79">
        <f>'ABP Future Assumptions'!C85</f>
        <v>10192.344615055583</v>
      </c>
      <c r="D121" s="80">
        <f>'ABP Future Assumptions'!J85</f>
        <v>50.93</v>
      </c>
      <c r="E121" s="221"/>
      <c r="F121" s="42">
        <f>(E60*D121)*0.15</f>
        <v>1395088.4484870827</v>
      </c>
      <c r="G121" s="42">
        <f>((E60*D121)-F121)/6</f>
        <v>1317583.534682245</v>
      </c>
      <c r="H121" s="42">
        <f t="shared" si="32"/>
        <v>1317583.534682245</v>
      </c>
      <c r="I121" s="42">
        <f t="shared" si="32"/>
        <v>1317583.534682245</v>
      </c>
      <c r="J121" s="42">
        <f t="shared" si="32"/>
        <v>1317583.534682245</v>
      </c>
      <c r="K121" s="42">
        <f t="shared" si="32"/>
        <v>1317583.534682245</v>
      </c>
      <c r="L121" s="42">
        <f t="shared" si="32"/>
        <v>1317583.534682245</v>
      </c>
      <c r="M121" s="42">
        <v>0</v>
      </c>
      <c r="N121" s="42">
        <v>0</v>
      </c>
      <c r="O121" s="42">
        <v>0</v>
      </c>
      <c r="P121" s="42">
        <v>0</v>
      </c>
      <c r="Q121" s="42">
        <v>0</v>
      </c>
      <c r="R121" s="42">
        <v>0</v>
      </c>
      <c r="S121" s="42">
        <v>0</v>
      </c>
      <c r="T121" s="42">
        <v>0</v>
      </c>
      <c r="U121" s="42">
        <v>0</v>
      </c>
      <c r="V121" s="42">
        <v>0</v>
      </c>
      <c r="W121" s="42">
        <v>0</v>
      </c>
      <c r="X121" s="42">
        <v>0</v>
      </c>
    </row>
    <row r="122" spans="2:24" x14ac:dyDescent="0.35">
      <c r="B122" s="221" t="s">
        <v>148</v>
      </c>
      <c r="C122" s="79">
        <f>'ABP Future Assumptions'!C86</f>
        <v>76906.220793171669</v>
      </c>
      <c r="D122" s="80">
        <f>'ABP Future Assumptions'!J86</f>
        <v>46.39</v>
      </c>
      <c r="E122" s="221"/>
      <c r="F122" s="42">
        <f>(E61*D122)*0.15</f>
        <v>10166177.130830184</v>
      </c>
      <c r="G122" s="42">
        <f>((E61*D122)-F122)/6</f>
        <v>9601389.5124507304</v>
      </c>
      <c r="H122" s="42">
        <f t="shared" si="32"/>
        <v>9601389.5124507304</v>
      </c>
      <c r="I122" s="42">
        <f t="shared" si="32"/>
        <v>9601389.5124507304</v>
      </c>
      <c r="J122" s="42">
        <f t="shared" si="32"/>
        <v>9601389.5124507304</v>
      </c>
      <c r="K122" s="42">
        <f t="shared" si="32"/>
        <v>9601389.5124507304</v>
      </c>
      <c r="L122" s="42">
        <f t="shared" si="32"/>
        <v>9601389.5124507304</v>
      </c>
      <c r="M122" s="42">
        <v>0</v>
      </c>
      <c r="N122" s="42">
        <v>0</v>
      </c>
      <c r="O122" s="42">
        <v>0</v>
      </c>
      <c r="P122" s="42">
        <v>0</v>
      </c>
      <c r="Q122" s="42">
        <v>0</v>
      </c>
      <c r="R122" s="42">
        <v>0</v>
      </c>
      <c r="S122" s="42">
        <v>0</v>
      </c>
      <c r="T122" s="42">
        <v>0</v>
      </c>
      <c r="U122" s="42">
        <v>0</v>
      </c>
      <c r="V122" s="42">
        <v>0</v>
      </c>
      <c r="W122" s="42">
        <v>0</v>
      </c>
      <c r="X122" s="42">
        <v>0</v>
      </c>
    </row>
    <row r="123" spans="2:24" x14ac:dyDescent="0.35">
      <c r="B123" s="221" t="s">
        <v>143</v>
      </c>
      <c r="C123" s="79">
        <f>'ABP Future Assumptions'!C87</f>
        <v>0</v>
      </c>
      <c r="D123" s="80">
        <f>'ABP Future Assumptions'!J87</f>
        <v>34.22</v>
      </c>
      <c r="E123" s="221"/>
      <c r="F123" s="42"/>
      <c r="G123" s="42"/>
      <c r="H123" s="42"/>
      <c r="I123" s="42"/>
      <c r="J123" s="42"/>
      <c r="K123" s="42"/>
      <c r="L123" s="42"/>
      <c r="M123" s="42"/>
      <c r="N123" s="42"/>
      <c r="O123" s="42"/>
      <c r="P123" s="42"/>
      <c r="Q123" s="42"/>
      <c r="R123" s="42"/>
      <c r="S123" s="42"/>
      <c r="T123" s="42"/>
      <c r="U123" s="42"/>
      <c r="V123" s="42"/>
      <c r="W123" s="42"/>
      <c r="X123" s="42"/>
    </row>
  </sheetData>
  <printOptions horizontalCentered="1" verticalCentered="1"/>
  <pageMargins left="0.7" right="0.7" top="0.75" bottom="0.75" header="0.3" footer="0.3"/>
  <pageSetup scale="31" fitToHeight="2" orientation="landscape" r:id="rId1"/>
  <headerFooter>
    <oddHeader>&amp;A</oddHeader>
  </headerFooter>
  <rowBreaks count="1" manualBreakCount="1">
    <brk id="63" min="1" max="25" man="1"/>
  </rowBreaks>
  <customProperties>
    <customPr name="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95495-4789-471F-B543-3F1A7BE9C8C0}">
  <sheetPr>
    <tabColor theme="7" tint="0.59999389629810485"/>
    <pageSetUpPr fitToPage="1"/>
  </sheetPr>
  <dimension ref="A1:T16"/>
  <sheetViews>
    <sheetView zoomScaleNormal="100" workbookViewId="0">
      <selection activeCell="L3" sqref="L3"/>
    </sheetView>
  </sheetViews>
  <sheetFormatPr defaultColWidth="9.08984375" defaultRowHeight="14.5" x14ac:dyDescent="0.35"/>
  <cols>
    <col min="1" max="1" width="45.08984375" bestFit="1" customWidth="1"/>
    <col min="2" max="2" width="12.54296875" bestFit="1" customWidth="1"/>
    <col min="3" max="4" width="12.453125" bestFit="1" customWidth="1"/>
    <col min="5" max="5" width="12.54296875" bestFit="1" customWidth="1"/>
    <col min="6" max="6" width="12.453125" bestFit="1" customWidth="1"/>
    <col min="7" max="7" width="12" bestFit="1" customWidth="1"/>
    <col min="8" max="8" width="12.54296875" bestFit="1" customWidth="1"/>
    <col min="9" max="11" width="12.453125" bestFit="1" customWidth="1"/>
    <col min="12" max="13" width="12.54296875" bestFit="1" customWidth="1"/>
    <col min="14" max="14" width="12.453125" bestFit="1" customWidth="1"/>
    <col min="15" max="15" width="12.54296875" bestFit="1" customWidth="1"/>
    <col min="16" max="17" width="12.453125" bestFit="1" customWidth="1"/>
    <col min="18" max="18" width="12" bestFit="1" customWidth="1"/>
    <col min="19" max="20" width="12.54296875" bestFit="1" customWidth="1"/>
  </cols>
  <sheetData>
    <row r="1" spans="1:20" ht="15.5" x14ac:dyDescent="0.35">
      <c r="A1" s="167"/>
      <c r="B1" s="220" t="str">
        <f>'24-25 ABP Activities'!F4</f>
        <v>2025-2026</v>
      </c>
      <c r="C1" s="220" t="str">
        <f>'24-25 ABP Activities'!G4</f>
        <v>2026-2027</v>
      </c>
      <c r="D1" s="220" t="str">
        <f>'24-25 ABP Activities'!H4</f>
        <v>2027-2028</v>
      </c>
      <c r="E1" s="220" t="str">
        <f>'24-25 ABP Activities'!I4</f>
        <v>2028-2029</v>
      </c>
      <c r="F1" s="220" t="str">
        <f>'24-25 ABP Activities'!J4</f>
        <v>2029-2030</v>
      </c>
      <c r="G1" s="220" t="str">
        <f>'24-25 ABP Activities'!K4</f>
        <v>2030-2031</v>
      </c>
      <c r="H1" s="220" t="str">
        <f>'24-25 ABP Activities'!L4</f>
        <v>2031-2032</v>
      </c>
      <c r="I1" s="220" t="str">
        <f>'24-25 ABP Activities'!M4</f>
        <v>2032-2033</v>
      </c>
      <c r="J1" s="220" t="str">
        <f>'24-25 ABP Activities'!N4</f>
        <v>2033-2034</v>
      </c>
      <c r="K1" s="220" t="str">
        <f>'24-25 ABP Activities'!O4</f>
        <v>2034-2035</v>
      </c>
      <c r="L1" s="220" t="str">
        <f>'24-25 ABP Activities'!P4</f>
        <v>2035-2036</v>
      </c>
      <c r="M1" s="220" t="str">
        <f>'24-25 ABP Activities'!Q4</f>
        <v>2036-2037</v>
      </c>
      <c r="N1" s="220" t="str">
        <f>'24-25 ABP Activities'!R4</f>
        <v>2037-2038</v>
      </c>
      <c r="O1" s="220" t="str">
        <f>'24-25 ABP Activities'!S4</f>
        <v>2038-2039</v>
      </c>
      <c r="P1" s="220" t="str">
        <f>'24-25 ABP Activities'!T4</f>
        <v>2039-2040</v>
      </c>
      <c r="Q1" s="220" t="str">
        <f>'24-25 ABP Activities'!U4</f>
        <v>2040-2041</v>
      </c>
      <c r="R1" s="220" t="str">
        <f>'24-25 ABP Activities'!V4</f>
        <v>2041-2042</v>
      </c>
      <c r="S1" s="220" t="str">
        <f>'24-25 ABP Activities'!W4</f>
        <v>2042-2043</v>
      </c>
      <c r="T1" s="220" t="str">
        <f>'24-25 ABP Activities'!X4</f>
        <v>2043-2044</v>
      </c>
    </row>
    <row r="2" spans="1:20" x14ac:dyDescent="0.35">
      <c r="A2" s="184" t="s">
        <v>131</v>
      </c>
      <c r="B2" s="78">
        <f>'24-25 ABP Activities'!F9</f>
        <v>145906.86007555202</v>
      </c>
      <c r="C2" s="78">
        <f>'24-25 ABP Activities'!G9</f>
        <v>145177.32577517425</v>
      </c>
      <c r="D2" s="78">
        <f>'24-25 ABP Activities'!H9</f>
        <v>144451.43914629839</v>
      </c>
      <c r="E2" s="78">
        <f>'24-25 ABP Activities'!I9</f>
        <v>143729.18195056688</v>
      </c>
      <c r="F2" s="78">
        <f>'24-25 ABP Activities'!J9</f>
        <v>143010.53604081407</v>
      </c>
      <c r="G2" s="78">
        <f>'24-25 ABP Activities'!K9</f>
        <v>142295.48336060997</v>
      </c>
      <c r="H2" s="78">
        <f>'24-25 ABP Activities'!L9</f>
        <v>141584.00594380693</v>
      </c>
      <c r="I2" s="78">
        <f>'24-25 ABP Activities'!M9</f>
        <v>140876.08591408789</v>
      </c>
      <c r="J2" s="78">
        <f>'24-25 ABP Activities'!N9</f>
        <v>140171.70548451744</v>
      </c>
      <c r="K2" s="78">
        <f>'24-25 ABP Activities'!O9</f>
        <v>139470.84695709485</v>
      </c>
      <c r="L2" s="78">
        <f>'24-25 ABP Activities'!P9</f>
        <v>138773.49272230937</v>
      </c>
      <c r="M2" s="78">
        <f>'24-25 ABP Activities'!Q9</f>
        <v>138079.62525869784</v>
      </c>
      <c r="N2" s="78">
        <f>'24-25 ABP Activities'!R9</f>
        <v>137389.22713240434</v>
      </c>
      <c r="O2" s="78">
        <f>'24-25 ABP Activities'!S9</f>
        <v>136702.28099674231</v>
      </c>
      <c r="P2" s="78">
        <f>'24-25 ABP Activities'!T9</f>
        <v>136018.76959175861</v>
      </c>
      <c r="Q2" s="78">
        <f>'24-25 ABP Activities'!U9</f>
        <v>0</v>
      </c>
      <c r="R2" s="78">
        <f>'24-25 ABP Activities'!V9</f>
        <v>0</v>
      </c>
      <c r="S2" s="78">
        <f>'24-25 ABP Activities'!W9</f>
        <v>0</v>
      </c>
      <c r="T2" s="78">
        <f>'24-25 ABP Activities'!X9</f>
        <v>0</v>
      </c>
    </row>
    <row r="3" spans="1:20" x14ac:dyDescent="0.35">
      <c r="A3" s="184" t="s">
        <v>137</v>
      </c>
      <c r="B3" s="168">
        <f>'24-25 ABP Activities'!F16</f>
        <v>155342.33973121329</v>
      </c>
      <c r="C3" s="168">
        <f>'24-25 ABP Activities'!G16</f>
        <v>154565.6280325572</v>
      </c>
      <c r="D3" s="168">
        <f>'24-25 ABP Activities'!H16</f>
        <v>153792.79989239443</v>
      </c>
      <c r="E3" s="168">
        <f>'24-25 ABP Activities'!I16</f>
        <v>153023.83589293246</v>
      </c>
      <c r="F3" s="168">
        <f>'24-25 ABP Activities'!J16</f>
        <v>152258.71671346779</v>
      </c>
      <c r="G3" s="168">
        <f>'24-25 ABP Activities'!K16</f>
        <v>151497.42312990045</v>
      </c>
      <c r="H3" s="168">
        <f>'24-25 ABP Activities'!L16</f>
        <v>150739.93601425094</v>
      </c>
      <c r="I3" s="168">
        <f>'24-25 ABP Activities'!M16</f>
        <v>149986.2363341797</v>
      </c>
      <c r="J3" s="168">
        <f>'24-25 ABP Activities'!N16</f>
        <v>149236.30515250878</v>
      </c>
      <c r="K3" s="168">
        <f>'24-25 ABP Activities'!O16</f>
        <v>148490.12362674624</v>
      </c>
      <c r="L3" s="168">
        <f>'24-25 ABP Activities'!P16</f>
        <v>147747.6730086125</v>
      </c>
      <c r="M3" s="168">
        <f>'24-25 ABP Activities'!Q16</f>
        <v>147008.93464356946</v>
      </c>
      <c r="N3" s="168">
        <f>'24-25 ABP Activities'!R16</f>
        <v>146273.88997035159</v>
      </c>
      <c r="O3" s="168">
        <f>'24-25 ABP Activities'!S16</f>
        <v>145542.52052049985</v>
      </c>
      <c r="P3" s="168">
        <f>'24-25 ABP Activities'!T16</f>
        <v>144814.80791789736</v>
      </c>
      <c r="Q3" s="168">
        <f>'24-25 ABP Activities'!U16</f>
        <v>0</v>
      </c>
      <c r="R3" s="168">
        <f>'24-25 ABP Activities'!V16</f>
        <v>0</v>
      </c>
      <c r="S3" s="168">
        <f>'24-25 ABP Activities'!W16</f>
        <v>0</v>
      </c>
      <c r="T3" s="168">
        <f>'24-25 ABP Activities'!X16</f>
        <v>0</v>
      </c>
    </row>
    <row r="4" spans="1:20" x14ac:dyDescent="0.35">
      <c r="A4" s="184" t="s">
        <v>146</v>
      </c>
      <c r="B4" s="168">
        <f>'24-25 ABP Activities'!F29</f>
        <v>0</v>
      </c>
      <c r="C4" s="168">
        <f>'24-25 ABP Activities'!G29</f>
        <v>266722.870788</v>
      </c>
      <c r="D4" s="168">
        <f>'24-25 ABP Activities'!H29</f>
        <v>265389.25643405999</v>
      </c>
      <c r="E4" s="168">
        <f>'24-25 ABP Activities'!I29</f>
        <v>264062.31015188969</v>
      </c>
      <c r="F4" s="168">
        <f>'24-25 ABP Activities'!J29</f>
        <v>262741.99860113027</v>
      </c>
      <c r="G4" s="168">
        <f>'24-25 ABP Activities'!K29</f>
        <v>261428.2886081246</v>
      </c>
      <c r="H4" s="168">
        <f>'24-25 ABP Activities'!L29</f>
        <v>260121.14716508397</v>
      </c>
      <c r="I4" s="168">
        <f>'24-25 ABP Activities'!M29</f>
        <v>258820.54142925856</v>
      </c>
      <c r="J4" s="168">
        <f>'24-25 ABP Activities'!N29</f>
        <v>257526.43872211227</v>
      </c>
      <c r="K4" s="168">
        <f>'24-25 ABP Activities'!O29</f>
        <v>256238.80652850171</v>
      </c>
      <c r="L4" s="168">
        <f>'24-25 ABP Activities'!P29</f>
        <v>254957.61249585918</v>
      </c>
      <c r="M4" s="168">
        <f>'24-25 ABP Activities'!Q29</f>
        <v>253682.82443337986</v>
      </c>
      <c r="N4" s="168">
        <f>'24-25 ABP Activities'!R29</f>
        <v>252414.41031121297</v>
      </c>
      <c r="O4" s="168">
        <f>'24-25 ABP Activities'!S29</f>
        <v>251152.33825965691</v>
      </c>
      <c r="P4" s="168">
        <f>'24-25 ABP Activities'!T29</f>
        <v>249896.57656835864</v>
      </c>
      <c r="Q4" s="168">
        <f>'24-25 ABP Activities'!U29</f>
        <v>248647.09368551683</v>
      </c>
      <c r="R4" s="168">
        <f>'24-25 ABP Activities'!V29</f>
        <v>247403.85821708923</v>
      </c>
      <c r="S4" s="168">
        <f>'24-25 ABP Activities'!W29</f>
        <v>246166.83892600378</v>
      </c>
      <c r="T4" s="168">
        <f>'24-25 ABP Activities'!X29</f>
        <v>244936.00473137377</v>
      </c>
    </row>
    <row r="5" spans="1:20" x14ac:dyDescent="0.35">
      <c r="A5" s="184" t="s">
        <v>151</v>
      </c>
      <c r="B5" s="168">
        <f>'24-25 ABP Activities'!F32</f>
        <v>128422.12297199998</v>
      </c>
      <c r="C5" s="168">
        <f>'24-25 ABP Activities'!G32</f>
        <v>127780.01235713999</v>
      </c>
      <c r="D5" s="168">
        <f>'24-25 ABP Activities'!H32</f>
        <v>127141.11229535428</v>
      </c>
      <c r="E5" s="168">
        <f>'24-25 ABP Activities'!I32</f>
        <v>126505.40673387751</v>
      </c>
      <c r="F5" s="168">
        <f>'24-25 ABP Activities'!J32</f>
        <v>125872.87970020811</v>
      </c>
      <c r="G5" s="168">
        <f>'24-25 ABP Activities'!K32</f>
        <v>125243.51530170708</v>
      </c>
      <c r="H5" s="168">
        <f>'24-25 ABP Activities'!L32</f>
        <v>124617.29772519854</v>
      </c>
      <c r="I5" s="168">
        <f>'24-25 ABP Activities'!M32</f>
        <v>123994.21123657255</v>
      </c>
      <c r="J5" s="168">
        <f>'24-25 ABP Activities'!N32</f>
        <v>123374.24018038969</v>
      </c>
      <c r="K5" s="168">
        <f>'24-25 ABP Activities'!O32</f>
        <v>122757.36897948774</v>
      </c>
      <c r="L5" s="168">
        <f>'24-25 ABP Activities'!P32</f>
        <v>122143.58213459028</v>
      </c>
      <c r="M5" s="168">
        <f>'24-25 ABP Activities'!Q32</f>
        <v>121532.86422391734</v>
      </c>
      <c r="N5" s="168">
        <f>'24-25 ABP Activities'!R32</f>
        <v>120925.19990279774</v>
      </c>
      <c r="O5" s="168">
        <f>'24-25 ABP Activities'!S32</f>
        <v>120320.57390328377</v>
      </c>
      <c r="P5" s="168">
        <f>'24-25 ABP Activities'!T32</f>
        <v>119718.97103376733</v>
      </c>
      <c r="Q5" s="168">
        <f>'24-25 ABP Activities'!U32</f>
        <v>119120.3761785985</v>
      </c>
      <c r="R5" s="168">
        <f>'24-25 ABP Activities'!V32</f>
        <v>118524.77429770552</v>
      </c>
      <c r="S5" s="168">
        <f>'24-25 ABP Activities'!W32</f>
        <v>117932.15042621699</v>
      </c>
      <c r="T5" s="168">
        <f>'24-25 ABP Activities'!X32</f>
        <v>117342.4896740859</v>
      </c>
    </row>
    <row r="6" spans="1:20" x14ac:dyDescent="0.35">
      <c r="A6" s="184" t="s">
        <v>155</v>
      </c>
      <c r="B6" s="168">
        <f>'24-25 ABP Activities'!F47</f>
        <v>0</v>
      </c>
      <c r="C6" s="168">
        <f>'24-25 ABP Activities'!G47</f>
        <v>39514.499376</v>
      </c>
      <c r="D6" s="168">
        <f>'24-25 ABP Activities'!H47</f>
        <v>39316.926879120001</v>
      </c>
      <c r="E6" s="168">
        <f>'24-25 ABP Activities'!I47</f>
        <v>39120.342244724401</v>
      </c>
      <c r="F6" s="168">
        <f>'24-25 ABP Activities'!J47</f>
        <v>38924.740533500779</v>
      </c>
      <c r="G6" s="168">
        <f>'24-25 ABP Activities'!K47</f>
        <v>38730.116830833278</v>
      </c>
      <c r="H6" s="168">
        <f>'24-25 ABP Activities'!L47</f>
        <v>38536.466246679112</v>
      </c>
      <c r="I6" s="168">
        <f>'24-25 ABP Activities'!M47</f>
        <v>38343.783915445718</v>
      </c>
      <c r="J6" s="168">
        <f>'24-25 ABP Activities'!N47</f>
        <v>38152.064995868488</v>
      </c>
      <c r="K6" s="168">
        <f>'24-25 ABP Activities'!O47</f>
        <v>37961.304670889149</v>
      </c>
      <c r="L6" s="168">
        <f>'24-25 ABP Activities'!P47</f>
        <v>37771.498147534701</v>
      </c>
      <c r="M6" s="168">
        <f>'24-25 ABP Activities'!Q47</f>
        <v>37582.640656797026</v>
      </c>
      <c r="N6" s="168">
        <f>'24-25 ABP Activities'!R47</f>
        <v>37394.727453513042</v>
      </c>
      <c r="O6" s="168">
        <f>'24-25 ABP Activities'!S47</f>
        <v>37207.753816245473</v>
      </c>
      <c r="P6" s="168">
        <f>'24-25 ABP Activities'!T47</f>
        <v>37021.715047164245</v>
      </c>
      <c r="Q6" s="168">
        <f>'24-25 ABP Activities'!U47</f>
        <v>36836.606471928426</v>
      </c>
      <c r="R6" s="168">
        <f>'24-25 ABP Activities'!V47</f>
        <v>0</v>
      </c>
      <c r="S6" s="168">
        <f>'24-25 ABP Activities'!W47</f>
        <v>0</v>
      </c>
      <c r="T6" s="168">
        <f>'24-25 ABP Activities'!X47</f>
        <v>0</v>
      </c>
    </row>
    <row r="7" spans="1:20" x14ac:dyDescent="0.35">
      <c r="A7" s="12" t="s">
        <v>158</v>
      </c>
      <c r="B7" s="168">
        <f>'24-25 ABP Activities'!F50</f>
        <v>172602.59970134808</v>
      </c>
      <c r="C7" s="168">
        <f>'24-25 ABP Activities'!G50</f>
        <v>171739.58670284133</v>
      </c>
      <c r="D7" s="168">
        <f>'24-25 ABP Activities'!H50</f>
        <v>170880.88876932714</v>
      </c>
      <c r="E7" s="168">
        <f>'24-25 ABP Activities'!I50</f>
        <v>170026.4843254805</v>
      </c>
      <c r="F7" s="168">
        <f>'24-25 ABP Activities'!J50</f>
        <v>169176.35190385312</v>
      </c>
      <c r="G7" s="168">
        <f>'24-25 ABP Activities'!K50</f>
        <v>168330.47014433384</v>
      </c>
      <c r="H7" s="168">
        <f>'24-25 ABP Activities'!L50</f>
        <v>167488.81779361214</v>
      </c>
      <c r="I7" s="168">
        <f>'24-25 ABP Activities'!M50</f>
        <v>166651.37370464409</v>
      </c>
      <c r="J7" s="168">
        <f>'24-25 ABP Activities'!N50</f>
        <v>165818.11683612087</v>
      </c>
      <c r="K7" s="168">
        <f>'24-25 ABP Activities'!O50</f>
        <v>164989.02625194026</v>
      </c>
      <c r="L7" s="168">
        <f>'24-25 ABP Activities'!P50</f>
        <v>164164.08112068055</v>
      </c>
      <c r="M7" s="168">
        <f>'24-25 ABP Activities'!Q50</f>
        <v>163343.26071507717</v>
      </c>
      <c r="N7" s="168">
        <f>'24-25 ABP Activities'!R50</f>
        <v>162526.54441150179</v>
      </c>
      <c r="O7" s="168">
        <f>'24-25 ABP Activities'!S50</f>
        <v>161713.91168944424</v>
      </c>
      <c r="P7" s="168">
        <f>'24-25 ABP Activities'!T50</f>
        <v>160905.34213099704</v>
      </c>
      <c r="Q7" s="168">
        <f>'24-25 ABP Activities'!U50</f>
        <v>0</v>
      </c>
      <c r="R7" s="168">
        <f>'24-25 ABP Activities'!V50</f>
        <v>0</v>
      </c>
      <c r="S7" s="168">
        <f>'24-25 ABP Activities'!W50</f>
        <v>0</v>
      </c>
      <c r="T7" s="168">
        <f>'24-25 ABP Activities'!X50</f>
        <v>0</v>
      </c>
    </row>
    <row r="10" spans="1:20" ht="15.5" x14ac:dyDescent="0.35">
      <c r="A10" s="167"/>
      <c r="B10" s="220" t="str">
        <f t="shared" ref="B10:T10" si="0">B1</f>
        <v>2025-2026</v>
      </c>
      <c r="C10" s="220" t="str">
        <f t="shared" si="0"/>
        <v>2026-2027</v>
      </c>
      <c r="D10" s="220" t="str">
        <f t="shared" si="0"/>
        <v>2027-2028</v>
      </c>
      <c r="E10" s="220" t="str">
        <f t="shared" si="0"/>
        <v>2028-2029</v>
      </c>
      <c r="F10" s="220" t="str">
        <f t="shared" si="0"/>
        <v>2029-2030</v>
      </c>
      <c r="G10" s="220" t="str">
        <f t="shared" si="0"/>
        <v>2030-2031</v>
      </c>
      <c r="H10" s="220" t="str">
        <f t="shared" si="0"/>
        <v>2031-2032</v>
      </c>
      <c r="I10" s="220" t="str">
        <f t="shared" si="0"/>
        <v>2032-2033</v>
      </c>
      <c r="J10" s="220" t="str">
        <f t="shared" si="0"/>
        <v>2033-2034</v>
      </c>
      <c r="K10" s="220" t="str">
        <f t="shared" si="0"/>
        <v>2034-2035</v>
      </c>
      <c r="L10" s="220" t="str">
        <f t="shared" si="0"/>
        <v>2035-2036</v>
      </c>
      <c r="M10" s="220" t="str">
        <f t="shared" si="0"/>
        <v>2036-2037</v>
      </c>
      <c r="N10" s="220" t="str">
        <f t="shared" si="0"/>
        <v>2037-2038</v>
      </c>
      <c r="O10" s="220" t="str">
        <f t="shared" si="0"/>
        <v>2038-2039</v>
      </c>
      <c r="P10" s="220" t="str">
        <f t="shared" si="0"/>
        <v>2039-2040</v>
      </c>
      <c r="Q10" s="220" t="str">
        <f t="shared" si="0"/>
        <v>2040-2041</v>
      </c>
      <c r="R10" s="220" t="str">
        <f t="shared" si="0"/>
        <v>2041-2042</v>
      </c>
      <c r="S10" s="220" t="str">
        <f t="shared" si="0"/>
        <v>2042-2043</v>
      </c>
      <c r="T10" s="220" t="str">
        <f t="shared" si="0"/>
        <v>2043-2044</v>
      </c>
    </row>
    <row r="11" spans="1:20" x14ac:dyDescent="0.35">
      <c r="A11" s="184" t="s">
        <v>131</v>
      </c>
      <c r="B11" s="166">
        <f>'24-25 ABP Activities'!F70</f>
        <v>155651140.42152998</v>
      </c>
      <c r="C11" s="166">
        <f>'24-25 ABP Activities'!G70</f>
        <v>0</v>
      </c>
      <c r="D11" s="166">
        <f>'24-25 ABP Activities'!H70</f>
        <v>0</v>
      </c>
      <c r="E11" s="166">
        <f>'24-25 ABP Activities'!I70</f>
        <v>0</v>
      </c>
      <c r="F11" s="166">
        <f>'24-25 ABP Activities'!J70</f>
        <v>0</v>
      </c>
      <c r="G11" s="166">
        <f>'24-25 ABP Activities'!K70</f>
        <v>0</v>
      </c>
      <c r="H11" s="166">
        <f>'24-25 ABP Activities'!L70</f>
        <v>0</v>
      </c>
      <c r="I11" s="166">
        <f>'24-25 ABP Activities'!M70</f>
        <v>0</v>
      </c>
      <c r="J11" s="166">
        <f>'24-25 ABP Activities'!N70</f>
        <v>0</v>
      </c>
      <c r="K11" s="166">
        <f>'24-25 ABP Activities'!O70</f>
        <v>0</v>
      </c>
      <c r="L11" s="166">
        <f>'24-25 ABP Activities'!P70</f>
        <v>0</v>
      </c>
      <c r="M11" s="166">
        <f>'24-25 ABP Activities'!Q70</f>
        <v>0</v>
      </c>
      <c r="N11" s="166">
        <f>'24-25 ABP Activities'!R70</f>
        <v>0</v>
      </c>
      <c r="O11" s="166">
        <f>'24-25 ABP Activities'!S70</f>
        <v>0</v>
      </c>
      <c r="P11" s="166">
        <f>'24-25 ABP Activities'!T70</f>
        <v>0</v>
      </c>
      <c r="Q11" s="166">
        <f>'24-25 ABP Activities'!U70</f>
        <v>0</v>
      </c>
      <c r="R11" s="166">
        <f>'24-25 ABP Activities'!V70</f>
        <v>0</v>
      </c>
      <c r="S11" s="166">
        <f>'24-25 ABP Activities'!W70</f>
        <v>0</v>
      </c>
      <c r="T11" s="166">
        <f>'24-25 ABP Activities'!X70</f>
        <v>0</v>
      </c>
    </row>
    <row r="12" spans="1:20" x14ac:dyDescent="0.35">
      <c r="A12" s="184" t="s">
        <v>137</v>
      </c>
      <c r="B12" s="166">
        <f>'24-25 ABP Activities'!F77</f>
        <v>15976563.753789775</v>
      </c>
      <c r="C12" s="166">
        <f>'24-25 ABP Activities'!G77</f>
        <v>15088976.878579233</v>
      </c>
      <c r="D12" s="166">
        <f>'24-25 ABP Activities'!H77</f>
        <v>15088976.878579233</v>
      </c>
      <c r="E12" s="166">
        <f>'24-25 ABP Activities'!I77</f>
        <v>15088976.878579233</v>
      </c>
      <c r="F12" s="166">
        <f>'24-25 ABP Activities'!J77</f>
        <v>15088976.878579233</v>
      </c>
      <c r="G12" s="166">
        <f>'24-25 ABP Activities'!K77</f>
        <v>15088976.878579233</v>
      </c>
      <c r="H12" s="166">
        <f>'24-25 ABP Activities'!L77</f>
        <v>15088976.878579233</v>
      </c>
      <c r="I12" s="166">
        <f>'24-25 ABP Activities'!M77</f>
        <v>0</v>
      </c>
      <c r="J12" s="166">
        <f>'24-25 ABP Activities'!N77</f>
        <v>0</v>
      </c>
      <c r="K12" s="166">
        <f>'24-25 ABP Activities'!O77</f>
        <v>0</v>
      </c>
      <c r="L12" s="166">
        <f>'24-25 ABP Activities'!P77</f>
        <v>0</v>
      </c>
      <c r="M12" s="166">
        <f>'24-25 ABP Activities'!Q77</f>
        <v>0</v>
      </c>
      <c r="N12" s="166">
        <f>'24-25 ABP Activities'!R77</f>
        <v>0</v>
      </c>
      <c r="O12" s="166">
        <f>'24-25 ABP Activities'!S77</f>
        <v>0</v>
      </c>
      <c r="P12" s="166">
        <f>'24-25 ABP Activities'!T77</f>
        <v>0</v>
      </c>
      <c r="Q12" s="166">
        <f>'24-25 ABP Activities'!U77</f>
        <v>0</v>
      </c>
      <c r="R12" s="166">
        <f>'24-25 ABP Activities'!V77</f>
        <v>0</v>
      </c>
      <c r="S12" s="166">
        <f>'24-25 ABP Activities'!W77</f>
        <v>0</v>
      </c>
      <c r="T12" s="166">
        <f>'24-25 ABP Activities'!X77</f>
        <v>0</v>
      </c>
    </row>
    <row r="13" spans="1:20" x14ac:dyDescent="0.35">
      <c r="A13" s="184" t="s">
        <v>146</v>
      </c>
      <c r="B13" s="166">
        <f>'24-25 ABP Activities'!F90</f>
        <v>0</v>
      </c>
      <c r="C13" s="166">
        <f>'24-25 ABP Activities'!G90</f>
        <v>13432163.77288368</v>
      </c>
      <c r="D13" s="166">
        <f>'24-25 ABP Activities'!H90</f>
        <v>13365002.954019262</v>
      </c>
      <c r="E13" s="166">
        <f>'24-25 ABP Activities'!I90</f>
        <v>13298177.939249165</v>
      </c>
      <c r="F13" s="166">
        <f>'24-25 ABP Activities'!J90</f>
        <v>13231687.049552921</v>
      </c>
      <c r="G13" s="166">
        <f>'24-25 ABP Activities'!K90</f>
        <v>13165528.614305153</v>
      </c>
      <c r="H13" s="166">
        <f>'24-25 ABP Activities'!L90</f>
        <v>13099700.971233629</v>
      </c>
      <c r="I13" s="166">
        <f>'24-25 ABP Activities'!M90</f>
        <v>13034202.466377461</v>
      </c>
      <c r="J13" s="166">
        <f>'24-25 ABP Activities'!N90</f>
        <v>12969031.454045575</v>
      </c>
      <c r="K13" s="166">
        <f>'24-25 ABP Activities'!O90</f>
        <v>12904186.296775347</v>
      </c>
      <c r="L13" s="166">
        <f>'24-25 ABP Activities'!P90</f>
        <v>12839665.365291469</v>
      </c>
      <c r="M13" s="166">
        <f>'24-25 ABP Activities'!Q90</f>
        <v>12775467.038465012</v>
      </c>
      <c r="N13" s="166">
        <f>'24-25 ABP Activities'!R90</f>
        <v>12711589.703272685</v>
      </c>
      <c r="O13" s="166">
        <f>'24-25 ABP Activities'!S90</f>
        <v>12648031.754756322</v>
      </c>
      <c r="P13" s="166">
        <f>'24-25 ABP Activities'!T90</f>
        <v>12584791.59598254</v>
      </c>
      <c r="Q13" s="166">
        <f>'24-25 ABP Activities'!U90</f>
        <v>12521867.638002627</v>
      </c>
      <c r="R13" s="166">
        <f>'24-25 ABP Activities'!V90</f>
        <v>12459258.299812613</v>
      </c>
      <c r="S13" s="166">
        <f>'24-25 ABP Activities'!W90</f>
        <v>12396962.008313552</v>
      </c>
      <c r="T13" s="166">
        <f>'24-25 ABP Activities'!X90</f>
        <v>12334977.198271982</v>
      </c>
    </row>
    <row r="14" spans="1:20" x14ac:dyDescent="0.35">
      <c r="A14" s="184" t="s">
        <v>151</v>
      </c>
      <c r="B14" s="166">
        <f>'24-25 ABP Activities'!F93</f>
        <v>8225862.6719123758</v>
      </c>
      <c r="C14" s="166">
        <f>'24-25 ABP Activities'!G93</f>
        <v>8184733.3585528135</v>
      </c>
      <c r="D14" s="166">
        <f>'24-25 ABP Activities'!H93</f>
        <v>8143809.6917600501</v>
      </c>
      <c r="E14" s="166">
        <f>'24-25 ABP Activities'!I93</f>
        <v>8103090.6433012495</v>
      </c>
      <c r="F14" s="166">
        <f>'24-25 ABP Activities'!J93</f>
        <v>8062575.1900847424</v>
      </c>
      <c r="G14" s="166">
        <f>'24-25 ABP Activities'!K93</f>
        <v>8022262.3141343202</v>
      </c>
      <c r="H14" s="166">
        <f>'24-25 ABP Activities'!L93</f>
        <v>7982151.002563647</v>
      </c>
      <c r="I14" s="166">
        <f>'24-25 ABP Activities'!M93</f>
        <v>7942240.2475508302</v>
      </c>
      <c r="J14" s="166">
        <f>'24-25 ABP Activities'!N93</f>
        <v>7902529.0463130753</v>
      </c>
      <c r="K14" s="166">
        <f>'24-25 ABP Activities'!O93</f>
        <v>7863016.4010815108</v>
      </c>
      <c r="L14" s="166">
        <f>'24-25 ABP Activities'!P93</f>
        <v>7823701.3190761032</v>
      </c>
      <c r="M14" s="166">
        <f>'24-25 ABP Activities'!Q93</f>
        <v>7784582.8124807235</v>
      </c>
      <c r="N14" s="166">
        <f>'24-25 ABP Activities'!R93</f>
        <v>7745659.8984183175</v>
      </c>
      <c r="O14" s="166">
        <f>'24-25 ABP Activities'!S93</f>
        <v>7706931.5989262266</v>
      </c>
      <c r="P14" s="166">
        <f>'24-25 ABP Activities'!T93</f>
        <v>7668396.9409315949</v>
      </c>
      <c r="Q14" s="166">
        <f>'24-25 ABP Activities'!U93</f>
        <v>7630054.9562269375</v>
      </c>
      <c r="R14" s="166">
        <f>'24-25 ABP Activities'!V93</f>
        <v>7591904.6814458035</v>
      </c>
      <c r="S14" s="166">
        <f>'24-25 ABP Activities'!W93</f>
        <v>7553945.1580385733</v>
      </c>
      <c r="T14" s="166">
        <f>'24-25 ABP Activities'!X93</f>
        <v>7516175.432248381</v>
      </c>
    </row>
    <row r="15" spans="1:20" x14ac:dyDescent="0.35">
      <c r="A15" s="184" t="s">
        <v>155</v>
      </c>
      <c r="B15" s="166">
        <f>'24-25 ABP Activities'!F108</f>
        <v>0</v>
      </c>
      <c r="C15" s="166">
        <f>'24-25 ABP Activities'!G108</f>
        <v>5460840.8867107658</v>
      </c>
      <c r="D15" s="166">
        <f>'24-25 ABP Activities'!H108</f>
        <v>5157460.8374490561</v>
      </c>
      <c r="E15" s="166">
        <f>'24-25 ABP Activities'!I108</f>
        <v>5157460.8374490561</v>
      </c>
      <c r="F15" s="166">
        <f>'24-25 ABP Activities'!J108</f>
        <v>5157460.8374490561</v>
      </c>
      <c r="G15" s="166">
        <f>'24-25 ABP Activities'!K108</f>
        <v>5157460.8374490561</v>
      </c>
      <c r="H15" s="166">
        <f>'24-25 ABP Activities'!L108</f>
        <v>5157460.8374490561</v>
      </c>
      <c r="I15" s="166">
        <f>'24-25 ABP Activities'!M108</f>
        <v>5157460.8374490561</v>
      </c>
      <c r="J15" s="166">
        <f>'24-25 ABP Activities'!N108</f>
        <v>0</v>
      </c>
      <c r="K15" s="166">
        <f>'24-25 ABP Activities'!O108</f>
        <v>0</v>
      </c>
      <c r="L15" s="166">
        <f>'24-25 ABP Activities'!P108</f>
        <v>0</v>
      </c>
      <c r="M15" s="166">
        <f>'24-25 ABP Activities'!Q108</f>
        <v>0</v>
      </c>
      <c r="N15" s="166">
        <f>'24-25 ABP Activities'!R108</f>
        <v>0</v>
      </c>
      <c r="O15" s="166">
        <f>'24-25 ABP Activities'!S108</f>
        <v>0</v>
      </c>
      <c r="P15" s="166">
        <f>'24-25 ABP Activities'!T108</f>
        <v>0</v>
      </c>
      <c r="Q15" s="166">
        <f>'24-25 ABP Activities'!U108</f>
        <v>0</v>
      </c>
      <c r="R15" s="166">
        <f>'24-25 ABP Activities'!V108</f>
        <v>0</v>
      </c>
      <c r="S15" s="166">
        <f>'24-25 ABP Activities'!W108</f>
        <v>0</v>
      </c>
      <c r="T15" s="166">
        <f>'24-25 ABP Activities'!X108</f>
        <v>0</v>
      </c>
    </row>
    <row r="16" spans="1:20" x14ac:dyDescent="0.35">
      <c r="A16" s="12" t="s">
        <v>158</v>
      </c>
      <c r="B16" s="166">
        <f>'24-25 ABP Activities'!F111</f>
        <v>17751737.50421086</v>
      </c>
      <c r="C16" s="166">
        <f>'24-25 ABP Activities'!G111</f>
        <v>16765529.865088034</v>
      </c>
      <c r="D16" s="166">
        <f>'24-25 ABP Activities'!H111</f>
        <v>16765529.865088034</v>
      </c>
      <c r="E16" s="166">
        <f>'24-25 ABP Activities'!I111</f>
        <v>16765529.865088034</v>
      </c>
      <c r="F16" s="166">
        <f>'24-25 ABP Activities'!J111</f>
        <v>16765529.865088034</v>
      </c>
      <c r="G16" s="166">
        <f>'24-25 ABP Activities'!K111</f>
        <v>16765529.865088034</v>
      </c>
      <c r="H16" s="166">
        <f>'24-25 ABP Activities'!L111</f>
        <v>16765529.865088034</v>
      </c>
      <c r="I16" s="166">
        <f>'24-25 ABP Activities'!M111</f>
        <v>0</v>
      </c>
      <c r="J16" s="166">
        <f>'24-25 ABP Activities'!N111</f>
        <v>0</v>
      </c>
      <c r="K16" s="166">
        <f>'24-25 ABP Activities'!O111</f>
        <v>0</v>
      </c>
      <c r="L16" s="166">
        <f>'24-25 ABP Activities'!P111</f>
        <v>0</v>
      </c>
      <c r="M16" s="166">
        <f>'24-25 ABP Activities'!Q111</f>
        <v>0</v>
      </c>
      <c r="N16" s="166">
        <f>'24-25 ABP Activities'!R111</f>
        <v>0</v>
      </c>
      <c r="O16" s="166">
        <f>'24-25 ABP Activities'!S111</f>
        <v>0</v>
      </c>
      <c r="P16" s="166">
        <f>'24-25 ABP Activities'!T111</f>
        <v>0</v>
      </c>
      <c r="Q16" s="166">
        <f>'24-25 ABP Activities'!U111</f>
        <v>0</v>
      </c>
      <c r="R16" s="166">
        <f>'24-25 ABP Activities'!V111</f>
        <v>0</v>
      </c>
      <c r="S16" s="166">
        <f>'24-25 ABP Activities'!W111</f>
        <v>0</v>
      </c>
      <c r="T16" s="166">
        <f>'24-25 ABP Activities'!X111</f>
        <v>0</v>
      </c>
    </row>
  </sheetData>
  <printOptions horizontalCentered="1" verticalCentered="1"/>
  <pageMargins left="0.7" right="0.7" top="0.75" bottom="0.75" header="0.3" footer="0.3"/>
  <pageSetup scale="43" orientation="landscape" r:id="rId1"/>
  <headerFooter>
    <oddHeader>&amp;A</oddHeader>
  </headerFooter>
  <customProperties>
    <customPr name="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0695E-EA75-435A-857D-F9C5B35E9691}">
  <sheetPr>
    <tabColor theme="7" tint="0.59999389629810485"/>
    <pageSetUpPr fitToPage="1"/>
  </sheetPr>
  <dimension ref="A1:AO183"/>
  <sheetViews>
    <sheetView topLeftCell="A3" zoomScaleNormal="100" workbookViewId="0">
      <selection activeCell="L3" sqref="L3"/>
    </sheetView>
  </sheetViews>
  <sheetFormatPr defaultColWidth="9.08984375" defaultRowHeight="14.5" x14ac:dyDescent="0.35"/>
  <cols>
    <col min="1" max="1" width="45.08984375" bestFit="1" customWidth="1"/>
    <col min="2" max="2" width="9" bestFit="1" customWidth="1"/>
    <col min="3" max="5" width="11.54296875" bestFit="1" customWidth="1"/>
    <col min="6" max="6" width="12" bestFit="1" customWidth="1"/>
    <col min="7" max="7" width="12.54296875" bestFit="1" customWidth="1"/>
    <col min="8" max="8" width="12.453125" bestFit="1" customWidth="1"/>
    <col min="9" max="21" width="12.54296875" bestFit="1" customWidth="1"/>
  </cols>
  <sheetData>
    <row r="1" spans="1:21" ht="15.5" x14ac:dyDescent="0.35">
      <c r="A1" s="77" t="s">
        <v>174</v>
      </c>
      <c r="B1" s="220">
        <v>2024</v>
      </c>
      <c r="C1" s="220">
        <v>2025</v>
      </c>
      <c r="D1" s="220">
        <v>2026</v>
      </c>
      <c r="E1" s="220">
        <v>2027</v>
      </c>
      <c r="F1" s="220">
        <v>2028</v>
      </c>
      <c r="G1" s="220">
        <v>2029</v>
      </c>
      <c r="H1" s="220">
        <v>2030</v>
      </c>
      <c r="I1" s="220">
        <v>2031</v>
      </c>
      <c r="J1" s="220">
        <v>2032</v>
      </c>
      <c r="K1" s="220">
        <v>2033</v>
      </c>
      <c r="L1" s="220">
        <v>2034</v>
      </c>
      <c r="M1" s="220">
        <v>2035</v>
      </c>
      <c r="N1" s="220">
        <v>2036</v>
      </c>
      <c r="O1" s="220">
        <v>2037</v>
      </c>
      <c r="P1" s="220">
        <v>2038</v>
      </c>
      <c r="Q1" s="220">
        <v>2039</v>
      </c>
      <c r="R1" s="220">
        <v>2040</v>
      </c>
      <c r="S1" s="220">
        <v>2041</v>
      </c>
      <c r="T1" s="220">
        <v>2042</v>
      </c>
      <c r="U1" s="220">
        <v>2043</v>
      </c>
    </row>
    <row r="2" spans="1:21" x14ac:dyDescent="0.35">
      <c r="A2" s="184" t="s">
        <v>131</v>
      </c>
      <c r="B2" s="78">
        <f>SUM('ABP Future Assumptions'!G8:G12)</f>
        <v>152270.70136704002</v>
      </c>
      <c r="C2" s="78">
        <f>B2*0.995</f>
        <v>151509.34786020481</v>
      </c>
      <c r="D2" s="78">
        <f>C2*0.995</f>
        <v>150751.80112090378</v>
      </c>
      <c r="E2" s="78">
        <f>D2*0.995</f>
        <v>149998.04211529926</v>
      </c>
      <c r="F2" s="78">
        <f t="shared" ref="F2:U2" si="0">E2*0.995</f>
        <v>149248.05190472276</v>
      </c>
      <c r="G2" s="78">
        <f t="shared" si="0"/>
        <v>148501.81164519914</v>
      </c>
      <c r="H2" s="78">
        <f t="shared" si="0"/>
        <v>147759.30258697315</v>
      </c>
      <c r="I2" s="78">
        <f t="shared" si="0"/>
        <v>147020.50607403828</v>
      </c>
      <c r="J2" s="78">
        <f t="shared" si="0"/>
        <v>146285.40354366807</v>
      </c>
      <c r="K2" s="78">
        <f t="shared" si="0"/>
        <v>145553.97652594972</v>
      </c>
      <c r="L2" s="78">
        <f t="shared" si="0"/>
        <v>144826.20664331998</v>
      </c>
      <c r="M2" s="78">
        <f t="shared" si="0"/>
        <v>144102.07561010338</v>
      </c>
      <c r="N2" s="78">
        <f t="shared" si="0"/>
        <v>143381.56523205285</v>
      </c>
      <c r="O2" s="78">
        <f t="shared" si="0"/>
        <v>142664.65740589259</v>
      </c>
      <c r="P2" s="78">
        <f t="shared" si="0"/>
        <v>141951.33411886313</v>
      </c>
      <c r="Q2" s="78"/>
      <c r="R2" s="78">
        <f t="shared" si="0"/>
        <v>0</v>
      </c>
      <c r="S2" s="78">
        <f t="shared" si="0"/>
        <v>0</v>
      </c>
      <c r="T2" s="78">
        <f t="shared" si="0"/>
        <v>0</v>
      </c>
      <c r="U2" s="78">
        <f t="shared" si="0"/>
        <v>0</v>
      </c>
    </row>
    <row r="3" spans="1:21" x14ac:dyDescent="0.35">
      <c r="A3" s="184" t="s">
        <v>137</v>
      </c>
      <c r="B3" s="78">
        <f>SUM('ABP Future Assumptions'!G15:G24)</f>
        <v>210469.22732669531</v>
      </c>
      <c r="C3" s="78">
        <f>B3*0.995</f>
        <v>209416.88119006183</v>
      </c>
      <c r="D3" s="78">
        <f t="shared" ref="D3:U7" si="1">C3*0.995</f>
        <v>208369.79678411153</v>
      </c>
      <c r="E3" s="78">
        <f t="shared" si="1"/>
        <v>207327.94780019097</v>
      </c>
      <c r="F3" s="78">
        <f t="shared" si="1"/>
        <v>206291.30806119001</v>
      </c>
      <c r="G3" s="78">
        <f t="shared" si="1"/>
        <v>205259.85152088405</v>
      </c>
      <c r="H3" s="78">
        <f t="shared" si="1"/>
        <v>204233.55226327962</v>
      </c>
      <c r="I3" s="78">
        <f t="shared" si="1"/>
        <v>203212.38450196321</v>
      </c>
      <c r="J3" s="78">
        <f t="shared" si="1"/>
        <v>202196.32257945341</v>
      </c>
      <c r="K3" s="78">
        <f t="shared" si="1"/>
        <v>201185.34096655613</v>
      </c>
      <c r="L3" s="78">
        <f t="shared" si="1"/>
        <v>200179.41426172334</v>
      </c>
      <c r="M3" s="78">
        <f t="shared" si="1"/>
        <v>199178.51719041471</v>
      </c>
      <c r="N3" s="78">
        <f t="shared" si="1"/>
        <v>198182.62460446265</v>
      </c>
      <c r="O3" s="78">
        <f t="shared" si="1"/>
        <v>197191.71148144032</v>
      </c>
      <c r="P3" s="78">
        <f t="shared" si="1"/>
        <v>196205.75292403312</v>
      </c>
      <c r="Q3" s="78"/>
      <c r="R3" s="78">
        <f t="shared" si="1"/>
        <v>0</v>
      </c>
      <c r="S3" s="78">
        <f t="shared" si="1"/>
        <v>0</v>
      </c>
      <c r="T3" s="78">
        <f t="shared" si="1"/>
        <v>0</v>
      </c>
      <c r="U3" s="78">
        <f t="shared" si="1"/>
        <v>0</v>
      </c>
    </row>
    <row r="4" spans="1:21" x14ac:dyDescent="0.35">
      <c r="A4" s="184" t="s">
        <v>146</v>
      </c>
      <c r="B4" s="78"/>
      <c r="C4" s="78">
        <f>SUM('ABP Future Assumptions'!G28:G42)</f>
        <v>163834.10498400001</v>
      </c>
      <c r="D4" s="78">
        <f t="shared" si="1"/>
        <v>163014.93445908002</v>
      </c>
      <c r="E4" s="78">
        <f t="shared" si="1"/>
        <v>162199.85978678463</v>
      </c>
      <c r="F4" s="78">
        <f t="shared" si="1"/>
        <v>161388.8604878507</v>
      </c>
      <c r="G4" s="78">
        <f t="shared" si="1"/>
        <v>160581.91618541145</v>
      </c>
      <c r="H4" s="78">
        <f t="shared" si="1"/>
        <v>159779.0066044844</v>
      </c>
      <c r="I4" s="78">
        <f t="shared" si="1"/>
        <v>158980.11157146198</v>
      </c>
      <c r="J4" s="78">
        <f t="shared" si="1"/>
        <v>158185.21101360468</v>
      </c>
      <c r="K4" s="78">
        <f t="shared" si="1"/>
        <v>157394.28495853665</v>
      </c>
      <c r="L4" s="78">
        <f t="shared" si="1"/>
        <v>156607.31353374396</v>
      </c>
      <c r="M4" s="78">
        <f t="shared" si="1"/>
        <v>155824.27696607524</v>
      </c>
      <c r="N4" s="78">
        <f t="shared" si="1"/>
        <v>155045.15558124485</v>
      </c>
      <c r="O4" s="78">
        <f t="shared" si="1"/>
        <v>154269.92980333863</v>
      </c>
      <c r="P4" s="78">
        <f t="shared" si="1"/>
        <v>153498.58015432194</v>
      </c>
      <c r="Q4" s="78">
        <f t="shared" si="1"/>
        <v>152731.08725355033</v>
      </c>
      <c r="R4" s="78">
        <f t="shared" si="1"/>
        <v>151967.43181728257</v>
      </c>
      <c r="S4" s="78">
        <f t="shared" si="1"/>
        <v>151207.59465819615</v>
      </c>
      <c r="T4" s="78">
        <f t="shared" si="1"/>
        <v>150451.55668490517</v>
      </c>
      <c r="U4" s="78">
        <f t="shared" si="1"/>
        <v>149699.29890148065</v>
      </c>
    </row>
    <row r="5" spans="1:21" x14ac:dyDescent="0.35">
      <c r="A5" s="184" t="s">
        <v>151</v>
      </c>
      <c r="B5" s="78">
        <f>SUM('ABP Future Assumptions'!G45:G57)</f>
        <v>363986.64227199997</v>
      </c>
      <c r="C5" s="78">
        <f>B5*0.995</f>
        <v>362166.70906063996</v>
      </c>
      <c r="D5" s="78">
        <f t="shared" si="1"/>
        <v>360355.87551533675</v>
      </c>
      <c r="E5" s="78">
        <f t="shared" si="1"/>
        <v>358554.09613776009</v>
      </c>
      <c r="F5" s="78">
        <f t="shared" si="1"/>
        <v>356761.32565707131</v>
      </c>
      <c r="G5" s="78">
        <f t="shared" si="1"/>
        <v>354977.51902878593</v>
      </c>
      <c r="H5" s="78">
        <f t="shared" si="1"/>
        <v>353202.631433642</v>
      </c>
      <c r="I5" s="78">
        <f t="shared" si="1"/>
        <v>351436.61827647378</v>
      </c>
      <c r="J5" s="78">
        <f t="shared" si="1"/>
        <v>349679.4351850914</v>
      </c>
      <c r="K5" s="78">
        <f t="shared" si="1"/>
        <v>347931.03800916596</v>
      </c>
      <c r="L5" s="78">
        <f t="shared" si="1"/>
        <v>346191.38281912013</v>
      </c>
      <c r="M5" s="78">
        <f t="shared" si="1"/>
        <v>344460.42590502452</v>
      </c>
      <c r="N5" s="78">
        <f t="shared" si="1"/>
        <v>342738.12377549941</v>
      </c>
      <c r="O5" s="78">
        <f t="shared" si="1"/>
        <v>341024.43315662193</v>
      </c>
      <c r="P5" s="78">
        <f t="shared" si="1"/>
        <v>339319.3109908388</v>
      </c>
      <c r="Q5" s="78"/>
      <c r="R5" s="78"/>
      <c r="S5" s="78"/>
      <c r="T5" s="78"/>
      <c r="U5" s="78"/>
    </row>
    <row r="6" spans="1:21" x14ac:dyDescent="0.35">
      <c r="A6" s="184" t="s">
        <v>155</v>
      </c>
      <c r="B6" s="78"/>
      <c r="C6" s="78">
        <f>SUM('ABP Future Assumptions'!G64:G73)</f>
        <v>28436.221439999998</v>
      </c>
      <c r="D6" s="78">
        <f t="shared" si="1"/>
        <v>28294.040332799996</v>
      </c>
      <c r="E6" s="78">
        <f t="shared" si="1"/>
        <v>28152.570131135995</v>
      </c>
      <c r="F6" s="78">
        <f t="shared" si="1"/>
        <v>28011.807280480316</v>
      </c>
      <c r="G6" s="78">
        <f t="shared" si="1"/>
        <v>27871.748244077913</v>
      </c>
      <c r="H6" s="78">
        <f t="shared" si="1"/>
        <v>27732.389502857524</v>
      </c>
      <c r="I6" s="78">
        <f t="shared" si="1"/>
        <v>27593.727555343237</v>
      </c>
      <c r="J6" s="78">
        <f t="shared" si="1"/>
        <v>27455.75891756652</v>
      </c>
      <c r="K6" s="78">
        <f t="shared" si="1"/>
        <v>27318.480122978686</v>
      </c>
      <c r="L6" s="78">
        <f t="shared" si="1"/>
        <v>27181.887722363794</v>
      </c>
      <c r="M6" s="78">
        <f t="shared" si="1"/>
        <v>27045.978283751974</v>
      </c>
      <c r="N6" s="78">
        <f t="shared" si="1"/>
        <v>26910.748392333215</v>
      </c>
      <c r="O6" s="78">
        <f t="shared" si="1"/>
        <v>26776.194650371548</v>
      </c>
      <c r="P6" s="78">
        <f t="shared" si="1"/>
        <v>26642.313677119691</v>
      </c>
      <c r="Q6" s="78">
        <f t="shared" si="1"/>
        <v>26509.102108734092</v>
      </c>
      <c r="R6" s="78">
        <f t="shared" si="1"/>
        <v>26376.556598190422</v>
      </c>
      <c r="S6" s="78">
        <f t="shared" si="1"/>
        <v>26244.673815199469</v>
      </c>
      <c r="T6" s="78">
        <f t="shared" si="1"/>
        <v>26113.450446123472</v>
      </c>
      <c r="U6" s="78">
        <f t="shared" si="1"/>
        <v>25982.883193892856</v>
      </c>
    </row>
    <row r="7" spans="1:21" x14ac:dyDescent="0.35">
      <c r="A7" s="12" t="s">
        <v>158</v>
      </c>
      <c r="B7" s="78">
        <f>SUM('ABP Future Assumptions'!G77:G87)</f>
        <v>162901.72193382742</v>
      </c>
      <c r="C7" s="78">
        <f>B7*0.995</f>
        <v>162087.21332415828</v>
      </c>
      <c r="D7" s="78">
        <f t="shared" si="1"/>
        <v>161276.7772575375</v>
      </c>
      <c r="E7" s="78">
        <f t="shared" si="1"/>
        <v>160470.39337124981</v>
      </c>
      <c r="F7" s="78">
        <f t="shared" si="1"/>
        <v>159668.04140439356</v>
      </c>
      <c r="G7" s="78">
        <f t="shared" si="1"/>
        <v>158869.70119737159</v>
      </c>
      <c r="H7" s="78">
        <f t="shared" si="1"/>
        <v>158075.35269138473</v>
      </c>
      <c r="I7" s="78">
        <f t="shared" si="1"/>
        <v>157284.97592792779</v>
      </c>
      <c r="J7" s="78">
        <f t="shared" si="1"/>
        <v>156498.55104828815</v>
      </c>
      <c r="K7" s="78">
        <f t="shared" si="1"/>
        <v>155716.05829304672</v>
      </c>
      <c r="L7" s="78">
        <f t="shared" si="1"/>
        <v>154937.47800158148</v>
      </c>
      <c r="M7" s="78">
        <f t="shared" si="1"/>
        <v>154162.79061157358</v>
      </c>
      <c r="N7" s="78">
        <f t="shared" si="1"/>
        <v>153391.97665851572</v>
      </c>
      <c r="O7" s="78">
        <f t="shared" si="1"/>
        <v>152625.01677522314</v>
      </c>
      <c r="P7" s="78">
        <f t="shared" si="1"/>
        <v>151861.89169134703</v>
      </c>
      <c r="Q7" s="78"/>
      <c r="R7" s="78"/>
      <c r="S7" s="78"/>
      <c r="T7" s="78"/>
      <c r="U7" s="78"/>
    </row>
    <row r="8" spans="1:21" x14ac:dyDescent="0.35">
      <c r="A8" s="14" t="s">
        <v>90</v>
      </c>
      <c r="B8" s="14"/>
      <c r="C8" s="79">
        <f>SUM(B2:B7)</f>
        <v>889628.29289956263</v>
      </c>
      <c r="D8" s="79">
        <f>SUM(C2:C7)</f>
        <v>1077450.4778590649</v>
      </c>
      <c r="E8" s="79">
        <f t="shared" ref="E8:U8" si="2">SUM(D2:D7)</f>
        <v>1072063.2254697697</v>
      </c>
      <c r="F8" s="79">
        <f t="shared" si="2"/>
        <v>1066702.9093424208</v>
      </c>
      <c r="G8" s="79">
        <f t="shared" si="2"/>
        <v>1061369.3947957086</v>
      </c>
      <c r="H8" s="79">
        <f t="shared" si="2"/>
        <v>1056062.5478217299</v>
      </c>
      <c r="I8" s="79">
        <f t="shared" si="2"/>
        <v>1050782.2350826215</v>
      </c>
      <c r="J8" s="79">
        <f t="shared" si="2"/>
        <v>1045528.3239072082</v>
      </c>
      <c r="K8" s="79">
        <f t="shared" si="2"/>
        <v>1040300.6822876722</v>
      </c>
      <c r="L8" s="79">
        <f t="shared" si="2"/>
        <v>1035099.178876234</v>
      </c>
      <c r="M8" s="79">
        <f t="shared" si="2"/>
        <v>1029923.6829818528</v>
      </c>
      <c r="N8" s="79">
        <f t="shared" si="2"/>
        <v>1024774.0645669434</v>
      </c>
      <c r="O8" s="79">
        <f t="shared" si="2"/>
        <v>1019650.1942441086</v>
      </c>
      <c r="P8" s="79">
        <f t="shared" si="2"/>
        <v>1014551.9432728882</v>
      </c>
      <c r="Q8" s="79">
        <f t="shared" si="2"/>
        <v>1009479.1835565236</v>
      </c>
      <c r="R8" s="79">
        <f t="shared" si="2"/>
        <v>179240.18936228444</v>
      </c>
      <c r="S8" s="79">
        <f t="shared" si="2"/>
        <v>178343.988415473</v>
      </c>
      <c r="T8" s="79">
        <f t="shared" si="2"/>
        <v>177452.26847339561</v>
      </c>
      <c r="U8" s="79">
        <f t="shared" si="2"/>
        <v>176565.00713102863</v>
      </c>
    </row>
    <row r="9" spans="1:21" x14ac:dyDescent="0.35">
      <c r="A9" s="14"/>
      <c r="B9" s="14"/>
      <c r="C9" s="79"/>
      <c r="D9" s="79"/>
      <c r="E9" s="79"/>
      <c r="F9" s="79"/>
      <c r="G9" s="79"/>
      <c r="H9" s="79"/>
      <c r="I9" s="79"/>
      <c r="J9" s="79"/>
      <c r="K9" s="79"/>
      <c r="L9" s="79"/>
      <c r="M9" s="79"/>
      <c r="N9" s="79"/>
      <c r="O9" s="79"/>
      <c r="P9" s="79"/>
      <c r="Q9" s="79"/>
      <c r="R9" s="79"/>
      <c r="S9" s="79"/>
      <c r="T9" s="79"/>
      <c r="U9" s="79"/>
    </row>
    <row r="10" spans="1:21" ht="15.5" x14ac:dyDescent="0.35">
      <c r="A10" s="77">
        <v>2024</v>
      </c>
      <c r="B10" s="220">
        <v>2024</v>
      </c>
      <c r="C10" s="220">
        <v>2025</v>
      </c>
      <c r="D10" s="220">
        <v>2026</v>
      </c>
      <c r="E10" s="220">
        <v>2027</v>
      </c>
      <c r="F10" s="220">
        <v>2028</v>
      </c>
      <c r="G10" s="220">
        <v>2029</v>
      </c>
      <c r="H10" s="220">
        <v>2030</v>
      </c>
      <c r="I10" s="220">
        <v>2031</v>
      </c>
      <c r="J10" s="220">
        <v>2032</v>
      </c>
      <c r="K10" s="220">
        <v>2033</v>
      </c>
      <c r="L10" s="220">
        <v>2034</v>
      </c>
      <c r="M10" s="220">
        <v>2035</v>
      </c>
      <c r="N10" s="220">
        <v>2036</v>
      </c>
      <c r="O10" s="220">
        <v>2037</v>
      </c>
      <c r="P10" s="220">
        <v>2038</v>
      </c>
      <c r="Q10" s="220">
        <v>2039</v>
      </c>
      <c r="R10" s="220">
        <v>2040</v>
      </c>
      <c r="S10" s="220">
        <v>2041</v>
      </c>
      <c r="T10" s="220">
        <v>2042</v>
      </c>
      <c r="U10" s="220">
        <v>2043</v>
      </c>
    </row>
    <row r="11" spans="1:21" x14ac:dyDescent="0.35">
      <c r="A11" s="184" t="s">
        <v>131</v>
      </c>
      <c r="B11" s="184"/>
      <c r="C11" s="78">
        <f>'24-25 ABP Summary'!B2</f>
        <v>145906.86007555202</v>
      </c>
      <c r="D11" s="78">
        <f>'24-25 ABP Summary'!C2</f>
        <v>145177.32577517425</v>
      </c>
      <c r="E11" s="78">
        <f>'24-25 ABP Summary'!D2</f>
        <v>144451.43914629839</v>
      </c>
      <c r="F11" s="78">
        <f>'24-25 ABP Summary'!E2</f>
        <v>143729.18195056688</v>
      </c>
      <c r="G11" s="78">
        <f>'24-25 ABP Summary'!F2</f>
        <v>143010.53604081407</v>
      </c>
      <c r="H11" s="78">
        <f>'24-25 ABP Summary'!G2</f>
        <v>142295.48336060997</v>
      </c>
      <c r="I11" s="78">
        <f>'24-25 ABP Summary'!H2</f>
        <v>141584.00594380693</v>
      </c>
      <c r="J11" s="78">
        <f>'24-25 ABP Summary'!I2</f>
        <v>140876.08591408789</v>
      </c>
      <c r="K11" s="78">
        <f>'24-25 ABP Summary'!J2</f>
        <v>140171.70548451744</v>
      </c>
      <c r="L11" s="78">
        <f>'24-25 ABP Summary'!K2</f>
        <v>139470.84695709485</v>
      </c>
      <c r="M11" s="78">
        <f>'24-25 ABP Summary'!L2</f>
        <v>138773.49272230937</v>
      </c>
      <c r="N11" s="78">
        <f>'24-25 ABP Summary'!M2</f>
        <v>138079.62525869784</v>
      </c>
      <c r="O11" s="78">
        <f>'24-25 ABP Summary'!N2</f>
        <v>137389.22713240434</v>
      </c>
      <c r="P11" s="78">
        <f>'24-25 ABP Summary'!O2</f>
        <v>136702.28099674231</v>
      </c>
      <c r="Q11" s="78">
        <f>'24-25 ABP Summary'!P2</f>
        <v>136018.76959175861</v>
      </c>
      <c r="R11" s="78">
        <f>'24-25 ABP Summary'!Q2</f>
        <v>0</v>
      </c>
      <c r="S11" s="78">
        <f>'24-25 ABP Summary'!R2</f>
        <v>0</v>
      </c>
      <c r="T11" s="78">
        <f>'24-25 ABP Summary'!S2</f>
        <v>0</v>
      </c>
      <c r="U11" s="78">
        <f>'24-25 ABP Summary'!T2</f>
        <v>0</v>
      </c>
    </row>
    <row r="12" spans="1:21" x14ac:dyDescent="0.35">
      <c r="A12" s="184" t="s">
        <v>137</v>
      </c>
      <c r="B12" s="184"/>
      <c r="C12" s="78">
        <f>'24-25 ABP Summary'!B3</f>
        <v>155342.33973121329</v>
      </c>
      <c r="D12" s="78">
        <f>'24-25 ABP Summary'!C3</f>
        <v>154565.6280325572</v>
      </c>
      <c r="E12" s="78">
        <f>'24-25 ABP Summary'!D3</f>
        <v>153792.79989239443</v>
      </c>
      <c r="F12" s="78">
        <f>'24-25 ABP Summary'!E3</f>
        <v>153023.83589293246</v>
      </c>
      <c r="G12" s="78">
        <f>'24-25 ABP Summary'!F3</f>
        <v>152258.71671346779</v>
      </c>
      <c r="H12" s="78">
        <f>'24-25 ABP Summary'!G3</f>
        <v>151497.42312990045</v>
      </c>
      <c r="I12" s="78">
        <f>'24-25 ABP Summary'!H3</f>
        <v>150739.93601425094</v>
      </c>
      <c r="J12" s="78">
        <f>'24-25 ABP Summary'!I3</f>
        <v>149986.2363341797</v>
      </c>
      <c r="K12" s="78">
        <f>'24-25 ABP Summary'!J3</f>
        <v>149236.30515250878</v>
      </c>
      <c r="L12" s="78">
        <f>'24-25 ABP Summary'!K3</f>
        <v>148490.12362674624</v>
      </c>
      <c r="M12" s="78">
        <f>'24-25 ABP Summary'!L3</f>
        <v>147747.6730086125</v>
      </c>
      <c r="N12" s="78">
        <f>'24-25 ABP Summary'!M3</f>
        <v>147008.93464356946</v>
      </c>
      <c r="O12" s="78">
        <f>'24-25 ABP Summary'!N3</f>
        <v>146273.88997035159</v>
      </c>
      <c r="P12" s="78">
        <f>'24-25 ABP Summary'!O3</f>
        <v>145542.52052049985</v>
      </c>
      <c r="Q12" s="78">
        <f>'24-25 ABP Summary'!P3</f>
        <v>144814.80791789736</v>
      </c>
      <c r="R12" s="78">
        <f>'24-25 ABP Summary'!Q3</f>
        <v>0</v>
      </c>
      <c r="S12" s="78">
        <f>'24-25 ABP Summary'!R3</f>
        <v>0</v>
      </c>
      <c r="T12" s="78">
        <f>'24-25 ABP Summary'!S3</f>
        <v>0</v>
      </c>
      <c r="U12" s="78">
        <f>'24-25 ABP Summary'!T3</f>
        <v>0</v>
      </c>
    </row>
    <row r="13" spans="1:21" x14ac:dyDescent="0.35">
      <c r="A13" s="184" t="s">
        <v>146</v>
      </c>
      <c r="B13" s="184"/>
      <c r="C13" s="78">
        <f>'24-25 ABP Summary'!B4</f>
        <v>0</v>
      </c>
      <c r="D13" s="78">
        <f>'24-25 ABP Summary'!C4</f>
        <v>266722.870788</v>
      </c>
      <c r="E13" s="78">
        <f>'24-25 ABP Summary'!D4</f>
        <v>265389.25643405999</v>
      </c>
      <c r="F13" s="78">
        <f>'24-25 ABP Summary'!E4</f>
        <v>264062.31015188969</v>
      </c>
      <c r="G13" s="78">
        <f>'24-25 ABP Summary'!F4</f>
        <v>262741.99860113027</v>
      </c>
      <c r="H13" s="78">
        <f>'24-25 ABP Summary'!G4</f>
        <v>261428.2886081246</v>
      </c>
      <c r="I13" s="78">
        <f>'24-25 ABP Summary'!H4</f>
        <v>260121.14716508397</v>
      </c>
      <c r="J13" s="78">
        <f>'24-25 ABP Summary'!I4</f>
        <v>258820.54142925856</v>
      </c>
      <c r="K13" s="78">
        <f>'24-25 ABP Summary'!J4</f>
        <v>257526.43872211227</v>
      </c>
      <c r="L13" s="78">
        <f>'24-25 ABP Summary'!K4</f>
        <v>256238.80652850171</v>
      </c>
      <c r="M13" s="78">
        <f>'24-25 ABP Summary'!L4</f>
        <v>254957.61249585918</v>
      </c>
      <c r="N13" s="78">
        <f>'24-25 ABP Summary'!M4</f>
        <v>253682.82443337986</v>
      </c>
      <c r="O13" s="78">
        <f>'24-25 ABP Summary'!N4</f>
        <v>252414.41031121297</v>
      </c>
      <c r="P13" s="78">
        <f>'24-25 ABP Summary'!O4</f>
        <v>251152.33825965691</v>
      </c>
      <c r="Q13" s="78">
        <f>'24-25 ABP Summary'!P4</f>
        <v>249896.57656835864</v>
      </c>
      <c r="R13" s="78">
        <f>'24-25 ABP Summary'!Q4</f>
        <v>248647.09368551683</v>
      </c>
      <c r="S13" s="78">
        <f>'24-25 ABP Summary'!R4</f>
        <v>247403.85821708923</v>
      </c>
      <c r="T13" s="78">
        <f>'24-25 ABP Summary'!S4</f>
        <v>246166.83892600378</v>
      </c>
      <c r="U13" s="78">
        <f>'24-25 ABP Summary'!T4</f>
        <v>244936.00473137377</v>
      </c>
    </row>
    <row r="14" spans="1:21" x14ac:dyDescent="0.35">
      <c r="A14" s="184" t="s">
        <v>151</v>
      </c>
      <c r="B14" s="184"/>
      <c r="C14" s="78">
        <f>'24-25 ABP Summary'!B5</f>
        <v>128422.12297199998</v>
      </c>
      <c r="D14" s="78">
        <f>'24-25 ABP Summary'!C5</f>
        <v>127780.01235713999</v>
      </c>
      <c r="E14" s="78">
        <f>'24-25 ABP Summary'!D5</f>
        <v>127141.11229535428</v>
      </c>
      <c r="F14" s="78">
        <f>'24-25 ABP Summary'!E5</f>
        <v>126505.40673387751</v>
      </c>
      <c r="G14" s="78">
        <f>'24-25 ABP Summary'!F5</f>
        <v>125872.87970020811</v>
      </c>
      <c r="H14" s="78">
        <f>'24-25 ABP Summary'!G5</f>
        <v>125243.51530170708</v>
      </c>
      <c r="I14" s="78">
        <f>'24-25 ABP Summary'!H5</f>
        <v>124617.29772519854</v>
      </c>
      <c r="J14" s="78">
        <f>'24-25 ABP Summary'!I5</f>
        <v>123994.21123657255</v>
      </c>
      <c r="K14" s="78">
        <f>'24-25 ABP Summary'!J5</f>
        <v>123374.24018038969</v>
      </c>
      <c r="L14" s="78">
        <f>'24-25 ABP Summary'!K5</f>
        <v>122757.36897948774</v>
      </c>
      <c r="M14" s="78">
        <f>'24-25 ABP Summary'!L5</f>
        <v>122143.58213459028</v>
      </c>
      <c r="N14" s="78">
        <f>'24-25 ABP Summary'!M5</f>
        <v>121532.86422391734</v>
      </c>
      <c r="O14" s="78">
        <f>'24-25 ABP Summary'!N5</f>
        <v>120925.19990279774</v>
      </c>
      <c r="P14" s="78">
        <f>'24-25 ABP Summary'!O5</f>
        <v>120320.57390328377</v>
      </c>
      <c r="Q14" s="78">
        <f>'24-25 ABP Summary'!P5</f>
        <v>119718.97103376733</v>
      </c>
      <c r="R14" s="78">
        <f>'24-25 ABP Summary'!Q5</f>
        <v>119120.3761785985</v>
      </c>
      <c r="S14" s="78">
        <f>'24-25 ABP Summary'!R5</f>
        <v>118524.77429770552</v>
      </c>
      <c r="T14" s="78">
        <f>'24-25 ABP Summary'!S5</f>
        <v>117932.15042621699</v>
      </c>
      <c r="U14" s="78">
        <f>'24-25 ABP Summary'!T5</f>
        <v>117342.4896740859</v>
      </c>
    </row>
    <row r="15" spans="1:21" x14ac:dyDescent="0.35">
      <c r="A15" s="184" t="s">
        <v>155</v>
      </c>
      <c r="B15" s="184"/>
      <c r="C15" s="78">
        <f>'24-25 ABP Summary'!B6</f>
        <v>0</v>
      </c>
      <c r="D15" s="78">
        <f>'24-25 ABP Summary'!C6</f>
        <v>39514.499376</v>
      </c>
      <c r="E15" s="78">
        <f>'24-25 ABP Summary'!D6</f>
        <v>39316.926879120001</v>
      </c>
      <c r="F15" s="78">
        <f>'24-25 ABP Summary'!E6</f>
        <v>39120.342244724401</v>
      </c>
      <c r="G15" s="78">
        <f>'24-25 ABP Summary'!F6</f>
        <v>38924.740533500779</v>
      </c>
      <c r="H15" s="78">
        <f>'24-25 ABP Summary'!G6</f>
        <v>38730.116830833278</v>
      </c>
      <c r="I15" s="78">
        <f>'24-25 ABP Summary'!H6</f>
        <v>38536.466246679112</v>
      </c>
      <c r="J15" s="78">
        <f>'24-25 ABP Summary'!I6</f>
        <v>38343.783915445718</v>
      </c>
      <c r="K15" s="78">
        <f>'24-25 ABP Summary'!J6</f>
        <v>38152.064995868488</v>
      </c>
      <c r="L15" s="78">
        <f>'24-25 ABP Summary'!K6</f>
        <v>37961.304670889149</v>
      </c>
      <c r="M15" s="78">
        <f>'24-25 ABP Summary'!L6</f>
        <v>37771.498147534701</v>
      </c>
      <c r="N15" s="78">
        <f>'24-25 ABP Summary'!M6</f>
        <v>37582.640656797026</v>
      </c>
      <c r="O15" s="78">
        <f>'24-25 ABP Summary'!N6</f>
        <v>37394.727453513042</v>
      </c>
      <c r="P15" s="78">
        <f>'24-25 ABP Summary'!O6</f>
        <v>37207.753816245473</v>
      </c>
      <c r="Q15" s="78">
        <f>'24-25 ABP Summary'!P6</f>
        <v>37021.715047164245</v>
      </c>
      <c r="R15" s="78">
        <f>'24-25 ABP Summary'!Q6</f>
        <v>36836.606471928426</v>
      </c>
      <c r="S15" s="78">
        <f>'24-25 ABP Summary'!R6</f>
        <v>0</v>
      </c>
      <c r="T15" s="78">
        <f>'24-25 ABP Summary'!S6</f>
        <v>0</v>
      </c>
      <c r="U15" s="78">
        <f>'24-25 ABP Summary'!T6</f>
        <v>0</v>
      </c>
    </row>
    <row r="16" spans="1:21" x14ac:dyDescent="0.35">
      <c r="A16" s="12" t="s">
        <v>158</v>
      </c>
      <c r="B16" s="12"/>
      <c r="C16" s="78">
        <f>'24-25 ABP Summary'!B7</f>
        <v>172602.59970134808</v>
      </c>
      <c r="D16" s="78">
        <f>'24-25 ABP Summary'!C7</f>
        <v>171739.58670284133</v>
      </c>
      <c r="E16" s="78">
        <f>'24-25 ABP Summary'!D7</f>
        <v>170880.88876932714</v>
      </c>
      <c r="F16" s="78">
        <f>'24-25 ABP Summary'!E7</f>
        <v>170026.4843254805</v>
      </c>
      <c r="G16" s="78">
        <f>'24-25 ABP Summary'!F7</f>
        <v>169176.35190385312</v>
      </c>
      <c r="H16" s="78">
        <f>'24-25 ABP Summary'!G7</f>
        <v>168330.47014433384</v>
      </c>
      <c r="I16" s="78">
        <f>'24-25 ABP Summary'!H7</f>
        <v>167488.81779361214</v>
      </c>
      <c r="J16" s="78">
        <f>'24-25 ABP Summary'!I7</f>
        <v>166651.37370464409</v>
      </c>
      <c r="K16" s="78">
        <f>'24-25 ABP Summary'!J7</f>
        <v>165818.11683612087</v>
      </c>
      <c r="L16" s="78">
        <f>'24-25 ABP Summary'!K7</f>
        <v>164989.02625194026</v>
      </c>
      <c r="M16" s="78">
        <f>'24-25 ABP Summary'!L7</f>
        <v>164164.08112068055</v>
      </c>
      <c r="N16" s="78">
        <f>'24-25 ABP Summary'!M7</f>
        <v>163343.26071507717</v>
      </c>
      <c r="O16" s="78">
        <f>'24-25 ABP Summary'!N7</f>
        <v>162526.54441150179</v>
      </c>
      <c r="P16" s="78">
        <f>'24-25 ABP Summary'!O7</f>
        <v>161713.91168944424</v>
      </c>
      <c r="Q16" s="78">
        <f>'24-25 ABP Summary'!P7</f>
        <v>160905.34213099704</v>
      </c>
      <c r="R16" s="78">
        <f>'24-25 ABP Summary'!Q7</f>
        <v>0</v>
      </c>
      <c r="S16" s="78">
        <f>'24-25 ABP Summary'!R7</f>
        <v>0</v>
      </c>
      <c r="T16" s="78">
        <f>'24-25 ABP Summary'!S7</f>
        <v>0</v>
      </c>
      <c r="U16" s="78">
        <f>'24-25 ABP Summary'!T7</f>
        <v>0</v>
      </c>
    </row>
    <row r="17" spans="1:21" x14ac:dyDescent="0.35">
      <c r="A17" s="14" t="s">
        <v>90</v>
      </c>
      <c r="B17" s="14"/>
      <c r="C17" s="79">
        <f t="shared" ref="C17:U17" si="3">SUM(C11:C16)</f>
        <v>602273.92248011334</v>
      </c>
      <c r="D17" s="79">
        <f>SUM(D11:D16)</f>
        <v>905499.92303171277</v>
      </c>
      <c r="E17" s="79">
        <f t="shared" si="3"/>
        <v>900972.42341655423</v>
      </c>
      <c r="F17" s="79">
        <f t="shared" si="3"/>
        <v>896467.56129947142</v>
      </c>
      <c r="G17" s="79">
        <f t="shared" si="3"/>
        <v>891985.22349297418</v>
      </c>
      <c r="H17" s="79">
        <f t="shared" si="3"/>
        <v>887525.29737550928</v>
      </c>
      <c r="I17" s="79">
        <f t="shared" si="3"/>
        <v>883087.6708886316</v>
      </c>
      <c r="J17" s="79">
        <f t="shared" si="3"/>
        <v>878672.23253418854</v>
      </c>
      <c r="K17" s="79">
        <f t="shared" si="3"/>
        <v>874278.87137151754</v>
      </c>
      <c r="L17" s="79">
        <f t="shared" si="3"/>
        <v>869907.4770146599</v>
      </c>
      <c r="M17" s="79">
        <f t="shared" si="3"/>
        <v>865557.93962958653</v>
      </c>
      <c r="N17" s="79">
        <f t="shared" si="3"/>
        <v>861230.14993143862</v>
      </c>
      <c r="O17" s="79">
        <f t="shared" si="3"/>
        <v>856923.99918178143</v>
      </c>
      <c r="P17" s="79">
        <f t="shared" si="3"/>
        <v>852639.3791858725</v>
      </c>
      <c r="Q17" s="79">
        <f t="shared" si="3"/>
        <v>848376.18228994333</v>
      </c>
      <c r="R17" s="79">
        <f t="shared" si="3"/>
        <v>404604.07633604377</v>
      </c>
      <c r="S17" s="79">
        <f t="shared" si="3"/>
        <v>365928.63251479476</v>
      </c>
      <c r="T17" s="79">
        <f t="shared" si="3"/>
        <v>364098.98935222079</v>
      </c>
      <c r="U17" s="79">
        <f t="shared" si="3"/>
        <v>362278.49440545967</v>
      </c>
    </row>
    <row r="19" spans="1:21" ht="15.5" x14ac:dyDescent="0.35">
      <c r="A19" s="77">
        <v>2025</v>
      </c>
      <c r="B19" s="220">
        <v>2024</v>
      </c>
      <c r="C19" s="220">
        <f>C10</f>
        <v>2025</v>
      </c>
      <c r="D19" s="220">
        <f t="shared" ref="D19:U19" si="4">D10</f>
        <v>2026</v>
      </c>
      <c r="E19" s="220">
        <f t="shared" si="4"/>
        <v>2027</v>
      </c>
      <c r="F19" s="220">
        <f t="shared" si="4"/>
        <v>2028</v>
      </c>
      <c r="G19" s="220">
        <f t="shared" si="4"/>
        <v>2029</v>
      </c>
      <c r="H19" s="220">
        <f t="shared" si="4"/>
        <v>2030</v>
      </c>
      <c r="I19" s="220">
        <f t="shared" si="4"/>
        <v>2031</v>
      </c>
      <c r="J19" s="220">
        <f t="shared" si="4"/>
        <v>2032</v>
      </c>
      <c r="K19" s="220">
        <f t="shared" si="4"/>
        <v>2033</v>
      </c>
      <c r="L19" s="220">
        <f t="shared" si="4"/>
        <v>2034</v>
      </c>
      <c r="M19" s="220">
        <f t="shared" si="4"/>
        <v>2035</v>
      </c>
      <c r="N19" s="220">
        <f t="shared" si="4"/>
        <v>2036</v>
      </c>
      <c r="O19" s="220">
        <f t="shared" si="4"/>
        <v>2037</v>
      </c>
      <c r="P19" s="220">
        <f t="shared" si="4"/>
        <v>2038</v>
      </c>
      <c r="Q19" s="220">
        <f t="shared" si="4"/>
        <v>2039</v>
      </c>
      <c r="R19" s="220">
        <f t="shared" si="4"/>
        <v>2040</v>
      </c>
      <c r="S19" s="220">
        <f t="shared" si="4"/>
        <v>2041</v>
      </c>
      <c r="T19" s="220">
        <f t="shared" si="4"/>
        <v>2042</v>
      </c>
      <c r="U19" s="220">
        <f t="shared" si="4"/>
        <v>2043</v>
      </c>
    </row>
    <row r="20" spans="1:21" x14ac:dyDescent="0.35">
      <c r="A20" s="184" t="s">
        <v>131</v>
      </c>
      <c r="B20" s="184"/>
      <c r="C20" s="78"/>
      <c r="D20" s="78">
        <f>C11</f>
        <v>145906.86007555202</v>
      </c>
      <c r="E20" s="78">
        <f>D11</f>
        <v>145177.32577517425</v>
      </c>
      <c r="F20" s="78">
        <f>E11</f>
        <v>144451.43914629839</v>
      </c>
      <c r="G20" s="78">
        <f>F11</f>
        <v>143729.18195056688</v>
      </c>
      <c r="H20" s="78">
        <f t="shared" ref="H20:U20" si="5">G11</f>
        <v>143010.53604081407</v>
      </c>
      <c r="I20" s="78">
        <f t="shared" si="5"/>
        <v>142295.48336060997</v>
      </c>
      <c r="J20" s="78">
        <f t="shared" si="5"/>
        <v>141584.00594380693</v>
      </c>
      <c r="K20" s="78">
        <f t="shared" si="5"/>
        <v>140876.08591408789</v>
      </c>
      <c r="L20" s="78">
        <f t="shared" si="5"/>
        <v>140171.70548451744</v>
      </c>
      <c r="M20" s="78">
        <f t="shared" si="5"/>
        <v>139470.84695709485</v>
      </c>
      <c r="N20" s="78">
        <f t="shared" si="5"/>
        <v>138773.49272230937</v>
      </c>
      <c r="O20" s="78">
        <f t="shared" si="5"/>
        <v>138079.62525869784</v>
      </c>
      <c r="P20" s="78">
        <f t="shared" si="5"/>
        <v>137389.22713240434</v>
      </c>
      <c r="Q20" s="78">
        <f t="shared" si="5"/>
        <v>136702.28099674231</v>
      </c>
      <c r="R20" s="78">
        <f t="shared" si="5"/>
        <v>136018.76959175861</v>
      </c>
      <c r="S20" s="78">
        <f t="shared" si="5"/>
        <v>0</v>
      </c>
      <c r="T20" s="78">
        <f t="shared" si="5"/>
        <v>0</v>
      </c>
      <c r="U20" s="78">
        <f t="shared" si="5"/>
        <v>0</v>
      </c>
    </row>
    <row r="21" spans="1:21" x14ac:dyDescent="0.35">
      <c r="A21" s="184" t="s">
        <v>137</v>
      </c>
      <c r="B21" s="184"/>
      <c r="C21" s="78"/>
      <c r="D21" s="78">
        <f t="shared" ref="D21:U21" si="6">C12</f>
        <v>155342.33973121329</v>
      </c>
      <c r="E21" s="78">
        <f t="shared" si="6"/>
        <v>154565.6280325572</v>
      </c>
      <c r="F21" s="78">
        <f t="shared" si="6"/>
        <v>153792.79989239443</v>
      </c>
      <c r="G21" s="78">
        <f t="shared" si="6"/>
        <v>153023.83589293246</v>
      </c>
      <c r="H21" s="78">
        <f t="shared" si="6"/>
        <v>152258.71671346779</v>
      </c>
      <c r="I21" s="78">
        <f t="shared" si="6"/>
        <v>151497.42312990045</v>
      </c>
      <c r="J21" s="78">
        <f t="shared" si="6"/>
        <v>150739.93601425094</v>
      </c>
      <c r="K21" s="78">
        <f t="shared" si="6"/>
        <v>149986.2363341797</v>
      </c>
      <c r="L21" s="78">
        <f t="shared" si="6"/>
        <v>149236.30515250878</v>
      </c>
      <c r="M21" s="78">
        <f t="shared" si="6"/>
        <v>148490.12362674624</v>
      </c>
      <c r="N21" s="78">
        <f t="shared" si="6"/>
        <v>147747.6730086125</v>
      </c>
      <c r="O21" s="78">
        <f t="shared" si="6"/>
        <v>147008.93464356946</v>
      </c>
      <c r="P21" s="78">
        <f t="shared" si="6"/>
        <v>146273.88997035159</v>
      </c>
      <c r="Q21" s="78">
        <f t="shared" si="6"/>
        <v>145542.52052049985</v>
      </c>
      <c r="R21" s="78">
        <f t="shared" si="6"/>
        <v>144814.80791789736</v>
      </c>
      <c r="S21" s="78">
        <f t="shared" si="6"/>
        <v>0</v>
      </c>
      <c r="T21" s="78">
        <f t="shared" si="6"/>
        <v>0</v>
      </c>
      <c r="U21" s="78">
        <f t="shared" si="6"/>
        <v>0</v>
      </c>
    </row>
    <row r="22" spans="1:21" x14ac:dyDescent="0.35">
      <c r="A22" s="184" t="s">
        <v>146</v>
      </c>
      <c r="B22" s="184"/>
      <c r="C22" s="78"/>
      <c r="D22" s="78">
        <f t="shared" ref="D22:U22" si="7">C13</f>
        <v>0</v>
      </c>
      <c r="E22" s="78">
        <f t="shared" si="7"/>
        <v>266722.870788</v>
      </c>
      <c r="F22" s="78">
        <f t="shared" si="7"/>
        <v>265389.25643405999</v>
      </c>
      <c r="G22" s="78">
        <f t="shared" si="7"/>
        <v>264062.31015188969</v>
      </c>
      <c r="H22" s="78">
        <f t="shared" si="7"/>
        <v>262741.99860113027</v>
      </c>
      <c r="I22" s="78">
        <f t="shared" si="7"/>
        <v>261428.2886081246</v>
      </c>
      <c r="J22" s="78">
        <f t="shared" si="7"/>
        <v>260121.14716508397</v>
      </c>
      <c r="K22" s="78">
        <f t="shared" si="7"/>
        <v>258820.54142925856</v>
      </c>
      <c r="L22" s="78">
        <f t="shared" si="7"/>
        <v>257526.43872211227</v>
      </c>
      <c r="M22" s="78">
        <f t="shared" si="7"/>
        <v>256238.80652850171</v>
      </c>
      <c r="N22" s="78">
        <f t="shared" si="7"/>
        <v>254957.61249585918</v>
      </c>
      <c r="O22" s="78">
        <f t="shared" si="7"/>
        <v>253682.82443337986</v>
      </c>
      <c r="P22" s="78">
        <f t="shared" si="7"/>
        <v>252414.41031121297</v>
      </c>
      <c r="Q22" s="78">
        <f t="shared" si="7"/>
        <v>251152.33825965691</v>
      </c>
      <c r="R22" s="78">
        <f t="shared" si="7"/>
        <v>249896.57656835864</v>
      </c>
      <c r="S22" s="78">
        <f t="shared" si="7"/>
        <v>248647.09368551683</v>
      </c>
      <c r="T22" s="78">
        <f t="shared" si="7"/>
        <v>247403.85821708923</v>
      </c>
      <c r="U22" s="78">
        <f t="shared" si="7"/>
        <v>246166.83892600378</v>
      </c>
    </row>
    <row r="23" spans="1:21" x14ac:dyDescent="0.35">
      <c r="A23" s="184" t="s">
        <v>151</v>
      </c>
      <c r="B23" s="184"/>
      <c r="C23" s="78"/>
      <c r="D23" s="78">
        <f t="shared" ref="D23:U23" si="8">C14</f>
        <v>128422.12297199998</v>
      </c>
      <c r="E23" s="78">
        <f t="shared" si="8"/>
        <v>127780.01235713999</v>
      </c>
      <c r="F23" s="78">
        <f t="shared" si="8"/>
        <v>127141.11229535428</v>
      </c>
      <c r="G23" s="78">
        <f t="shared" si="8"/>
        <v>126505.40673387751</v>
      </c>
      <c r="H23" s="78">
        <f t="shared" si="8"/>
        <v>125872.87970020811</v>
      </c>
      <c r="I23" s="78">
        <f t="shared" si="8"/>
        <v>125243.51530170708</v>
      </c>
      <c r="J23" s="78">
        <f t="shared" si="8"/>
        <v>124617.29772519854</v>
      </c>
      <c r="K23" s="78">
        <f t="shared" si="8"/>
        <v>123994.21123657255</v>
      </c>
      <c r="L23" s="78">
        <f t="shared" si="8"/>
        <v>123374.24018038969</v>
      </c>
      <c r="M23" s="78">
        <f t="shared" si="8"/>
        <v>122757.36897948774</v>
      </c>
      <c r="N23" s="78">
        <f t="shared" si="8"/>
        <v>122143.58213459028</v>
      </c>
      <c r="O23" s="78">
        <f t="shared" si="8"/>
        <v>121532.86422391734</v>
      </c>
      <c r="P23" s="78">
        <f t="shared" si="8"/>
        <v>120925.19990279774</v>
      </c>
      <c r="Q23" s="78">
        <f t="shared" si="8"/>
        <v>120320.57390328377</v>
      </c>
      <c r="R23" s="78">
        <f t="shared" si="8"/>
        <v>119718.97103376733</v>
      </c>
      <c r="S23" s="78">
        <f t="shared" si="8"/>
        <v>119120.3761785985</v>
      </c>
      <c r="T23" s="78">
        <f t="shared" si="8"/>
        <v>118524.77429770552</v>
      </c>
      <c r="U23" s="78">
        <f t="shared" si="8"/>
        <v>117932.15042621699</v>
      </c>
    </row>
    <row r="24" spans="1:21" x14ac:dyDescent="0.35">
      <c r="A24" s="184" t="s">
        <v>155</v>
      </c>
      <c r="B24" s="184"/>
      <c r="C24" s="78"/>
      <c r="D24" s="78">
        <f t="shared" ref="D24:U24" si="9">C15</f>
        <v>0</v>
      </c>
      <c r="E24" s="78">
        <f t="shared" si="9"/>
        <v>39514.499376</v>
      </c>
      <c r="F24" s="78">
        <f t="shared" si="9"/>
        <v>39316.926879120001</v>
      </c>
      <c r="G24" s="78">
        <f t="shared" si="9"/>
        <v>39120.342244724401</v>
      </c>
      <c r="H24" s="78">
        <f t="shared" si="9"/>
        <v>38924.740533500779</v>
      </c>
      <c r="I24" s="78">
        <f t="shared" si="9"/>
        <v>38730.116830833278</v>
      </c>
      <c r="J24" s="78">
        <f t="shared" si="9"/>
        <v>38536.466246679112</v>
      </c>
      <c r="K24" s="78">
        <f t="shared" si="9"/>
        <v>38343.783915445718</v>
      </c>
      <c r="L24" s="78">
        <f t="shared" si="9"/>
        <v>38152.064995868488</v>
      </c>
      <c r="M24" s="78">
        <f t="shared" si="9"/>
        <v>37961.304670889149</v>
      </c>
      <c r="N24" s="78">
        <f t="shared" si="9"/>
        <v>37771.498147534701</v>
      </c>
      <c r="O24" s="78">
        <f t="shared" si="9"/>
        <v>37582.640656797026</v>
      </c>
      <c r="P24" s="78">
        <f t="shared" si="9"/>
        <v>37394.727453513042</v>
      </c>
      <c r="Q24" s="78">
        <f t="shared" si="9"/>
        <v>37207.753816245473</v>
      </c>
      <c r="R24" s="78">
        <f t="shared" si="9"/>
        <v>37021.715047164245</v>
      </c>
      <c r="S24" s="78">
        <f t="shared" si="9"/>
        <v>36836.606471928426</v>
      </c>
      <c r="T24" s="78">
        <f t="shared" si="9"/>
        <v>0</v>
      </c>
      <c r="U24" s="78">
        <f t="shared" si="9"/>
        <v>0</v>
      </c>
    </row>
    <row r="25" spans="1:21" x14ac:dyDescent="0.35">
      <c r="A25" s="12" t="s">
        <v>158</v>
      </c>
      <c r="B25" s="12"/>
      <c r="C25" s="78"/>
      <c r="D25" s="78">
        <f t="shared" ref="D25:U25" si="10">C16</f>
        <v>172602.59970134808</v>
      </c>
      <c r="E25" s="78">
        <f t="shared" si="10"/>
        <v>171739.58670284133</v>
      </c>
      <c r="F25" s="78">
        <f t="shared" si="10"/>
        <v>170880.88876932714</v>
      </c>
      <c r="G25" s="78">
        <f t="shared" si="10"/>
        <v>170026.4843254805</v>
      </c>
      <c r="H25" s="78">
        <f t="shared" si="10"/>
        <v>169176.35190385312</v>
      </c>
      <c r="I25" s="78">
        <f t="shared" si="10"/>
        <v>168330.47014433384</v>
      </c>
      <c r="J25" s="78">
        <f t="shared" si="10"/>
        <v>167488.81779361214</v>
      </c>
      <c r="K25" s="78">
        <f t="shared" si="10"/>
        <v>166651.37370464409</v>
      </c>
      <c r="L25" s="78">
        <f t="shared" si="10"/>
        <v>165818.11683612087</v>
      </c>
      <c r="M25" s="78">
        <f t="shared" si="10"/>
        <v>164989.02625194026</v>
      </c>
      <c r="N25" s="78">
        <f t="shared" si="10"/>
        <v>164164.08112068055</v>
      </c>
      <c r="O25" s="78">
        <f t="shared" si="10"/>
        <v>163343.26071507717</v>
      </c>
      <c r="P25" s="78">
        <f t="shared" si="10"/>
        <v>162526.54441150179</v>
      </c>
      <c r="Q25" s="78">
        <f t="shared" si="10"/>
        <v>161713.91168944424</v>
      </c>
      <c r="R25" s="78">
        <f t="shared" si="10"/>
        <v>160905.34213099704</v>
      </c>
      <c r="S25" s="78">
        <f t="shared" si="10"/>
        <v>0</v>
      </c>
      <c r="T25" s="78">
        <f t="shared" si="10"/>
        <v>0</v>
      </c>
      <c r="U25" s="78">
        <f t="shared" si="10"/>
        <v>0</v>
      </c>
    </row>
    <row r="26" spans="1:21" x14ac:dyDescent="0.35">
      <c r="A26" s="14" t="s">
        <v>90</v>
      </c>
      <c r="B26" s="14"/>
      <c r="C26" s="79">
        <f t="shared" ref="C26:U26" si="11">SUM(C20:C25)</f>
        <v>0</v>
      </c>
      <c r="D26" s="79">
        <f t="shared" si="11"/>
        <v>602273.92248011334</v>
      </c>
      <c r="E26" s="79">
        <f t="shared" si="11"/>
        <v>905499.92303171277</v>
      </c>
      <c r="F26" s="79">
        <f t="shared" si="11"/>
        <v>900972.42341655423</v>
      </c>
      <c r="G26" s="79">
        <f t="shared" si="11"/>
        <v>896467.56129947142</v>
      </c>
      <c r="H26" s="79">
        <f t="shared" si="11"/>
        <v>891985.22349297418</v>
      </c>
      <c r="I26" s="79">
        <f t="shared" si="11"/>
        <v>887525.29737550928</v>
      </c>
      <c r="J26" s="79">
        <f t="shared" si="11"/>
        <v>883087.6708886316</v>
      </c>
      <c r="K26" s="79">
        <f t="shared" si="11"/>
        <v>878672.23253418854</v>
      </c>
      <c r="L26" s="79">
        <f t="shared" si="11"/>
        <v>874278.87137151754</v>
      </c>
      <c r="M26" s="79">
        <f t="shared" si="11"/>
        <v>869907.4770146599</v>
      </c>
      <c r="N26" s="79">
        <f t="shared" si="11"/>
        <v>865557.93962958653</v>
      </c>
      <c r="O26" s="79">
        <f t="shared" si="11"/>
        <v>861230.14993143862</v>
      </c>
      <c r="P26" s="79">
        <f t="shared" si="11"/>
        <v>856923.99918178143</v>
      </c>
      <c r="Q26" s="79">
        <f t="shared" si="11"/>
        <v>852639.3791858725</v>
      </c>
      <c r="R26" s="79">
        <f t="shared" si="11"/>
        <v>848376.18228994333</v>
      </c>
      <c r="S26" s="79">
        <f t="shared" si="11"/>
        <v>404604.07633604377</v>
      </c>
      <c r="T26" s="79">
        <f t="shared" si="11"/>
        <v>365928.63251479476</v>
      </c>
      <c r="U26" s="79">
        <f t="shared" si="11"/>
        <v>364098.98935222079</v>
      </c>
    </row>
    <row r="28" spans="1:21" ht="15.5" x14ac:dyDescent="0.35">
      <c r="A28" s="77">
        <v>2026</v>
      </c>
      <c r="B28" s="220">
        <v>2024</v>
      </c>
      <c r="C28" s="220">
        <f>C19</f>
        <v>2025</v>
      </c>
      <c r="D28" s="220">
        <f t="shared" ref="D28:U28" si="12">D19</f>
        <v>2026</v>
      </c>
      <c r="E28" s="220">
        <f t="shared" si="12"/>
        <v>2027</v>
      </c>
      <c r="F28" s="220">
        <f t="shared" si="12"/>
        <v>2028</v>
      </c>
      <c r="G28" s="220">
        <f t="shared" si="12"/>
        <v>2029</v>
      </c>
      <c r="H28" s="220">
        <f t="shared" si="12"/>
        <v>2030</v>
      </c>
      <c r="I28" s="220">
        <f t="shared" si="12"/>
        <v>2031</v>
      </c>
      <c r="J28" s="220">
        <f t="shared" si="12"/>
        <v>2032</v>
      </c>
      <c r="K28" s="220">
        <f t="shared" si="12"/>
        <v>2033</v>
      </c>
      <c r="L28" s="220">
        <f t="shared" si="12"/>
        <v>2034</v>
      </c>
      <c r="M28" s="220">
        <f t="shared" si="12"/>
        <v>2035</v>
      </c>
      <c r="N28" s="220">
        <f t="shared" si="12"/>
        <v>2036</v>
      </c>
      <c r="O28" s="220">
        <f t="shared" si="12"/>
        <v>2037</v>
      </c>
      <c r="P28" s="220">
        <f t="shared" si="12"/>
        <v>2038</v>
      </c>
      <c r="Q28" s="220">
        <f t="shared" si="12"/>
        <v>2039</v>
      </c>
      <c r="R28" s="220">
        <f t="shared" si="12"/>
        <v>2040</v>
      </c>
      <c r="S28" s="220">
        <f t="shared" si="12"/>
        <v>2041</v>
      </c>
      <c r="T28" s="220">
        <f t="shared" si="12"/>
        <v>2042</v>
      </c>
      <c r="U28" s="220">
        <f t="shared" si="12"/>
        <v>2043</v>
      </c>
    </row>
    <row r="29" spans="1:21" x14ac:dyDescent="0.35">
      <c r="A29" s="184" t="s">
        <v>131</v>
      </c>
      <c r="B29" s="184"/>
      <c r="C29" s="78"/>
      <c r="D29" s="78"/>
      <c r="E29" s="78">
        <f>D20</f>
        <v>145906.86007555202</v>
      </c>
      <c r="F29" s="78">
        <f t="shared" ref="F29:U29" si="13">E20</f>
        <v>145177.32577517425</v>
      </c>
      <c r="G29" s="78">
        <f t="shared" si="13"/>
        <v>144451.43914629839</v>
      </c>
      <c r="H29" s="78">
        <f t="shared" si="13"/>
        <v>143729.18195056688</v>
      </c>
      <c r="I29" s="78">
        <f t="shared" si="13"/>
        <v>143010.53604081407</v>
      </c>
      <c r="J29" s="78">
        <f t="shared" si="13"/>
        <v>142295.48336060997</v>
      </c>
      <c r="K29" s="78">
        <f t="shared" si="13"/>
        <v>141584.00594380693</v>
      </c>
      <c r="L29" s="78">
        <f t="shared" si="13"/>
        <v>140876.08591408789</v>
      </c>
      <c r="M29" s="78">
        <f t="shared" si="13"/>
        <v>140171.70548451744</v>
      </c>
      <c r="N29" s="78">
        <f t="shared" si="13"/>
        <v>139470.84695709485</v>
      </c>
      <c r="O29" s="78">
        <f t="shared" si="13"/>
        <v>138773.49272230937</v>
      </c>
      <c r="P29" s="78">
        <f t="shared" si="13"/>
        <v>138079.62525869784</v>
      </c>
      <c r="Q29" s="78">
        <f t="shared" si="13"/>
        <v>137389.22713240434</v>
      </c>
      <c r="R29" s="78">
        <f t="shared" si="13"/>
        <v>136702.28099674231</v>
      </c>
      <c r="S29" s="78">
        <f t="shared" si="13"/>
        <v>136018.76959175861</v>
      </c>
      <c r="T29" s="78">
        <f t="shared" si="13"/>
        <v>0</v>
      </c>
      <c r="U29" s="78">
        <f t="shared" si="13"/>
        <v>0</v>
      </c>
    </row>
    <row r="30" spans="1:21" x14ac:dyDescent="0.35">
      <c r="A30" s="184" t="s">
        <v>137</v>
      </c>
      <c r="B30" s="184"/>
      <c r="C30" s="78"/>
      <c r="D30" s="78"/>
      <c r="E30" s="78">
        <f t="shared" ref="E30:U30" si="14">D21</f>
        <v>155342.33973121329</v>
      </c>
      <c r="F30" s="78">
        <f t="shared" si="14"/>
        <v>154565.6280325572</v>
      </c>
      <c r="G30" s="78">
        <f t="shared" si="14"/>
        <v>153792.79989239443</v>
      </c>
      <c r="H30" s="78">
        <f t="shared" si="14"/>
        <v>153023.83589293246</v>
      </c>
      <c r="I30" s="78">
        <f t="shared" si="14"/>
        <v>152258.71671346779</v>
      </c>
      <c r="J30" s="78">
        <f t="shared" si="14"/>
        <v>151497.42312990045</v>
      </c>
      <c r="K30" s="78">
        <f t="shared" si="14"/>
        <v>150739.93601425094</v>
      </c>
      <c r="L30" s="78">
        <f t="shared" si="14"/>
        <v>149986.2363341797</v>
      </c>
      <c r="M30" s="78">
        <f t="shared" si="14"/>
        <v>149236.30515250878</v>
      </c>
      <c r="N30" s="78">
        <f t="shared" si="14"/>
        <v>148490.12362674624</v>
      </c>
      <c r="O30" s="78">
        <f t="shared" si="14"/>
        <v>147747.6730086125</v>
      </c>
      <c r="P30" s="78">
        <f t="shared" si="14"/>
        <v>147008.93464356946</v>
      </c>
      <c r="Q30" s="78">
        <f t="shared" si="14"/>
        <v>146273.88997035159</v>
      </c>
      <c r="R30" s="78">
        <f t="shared" si="14"/>
        <v>145542.52052049985</v>
      </c>
      <c r="S30" s="78">
        <f t="shared" si="14"/>
        <v>144814.80791789736</v>
      </c>
      <c r="T30" s="78">
        <f t="shared" si="14"/>
        <v>0</v>
      </c>
      <c r="U30" s="78">
        <f t="shared" si="14"/>
        <v>0</v>
      </c>
    </row>
    <row r="31" spans="1:21" x14ac:dyDescent="0.35">
      <c r="A31" s="184" t="s">
        <v>146</v>
      </c>
      <c r="B31" s="184"/>
      <c r="C31" s="78"/>
      <c r="D31" s="78"/>
      <c r="E31" s="78">
        <f t="shared" ref="E31:U31" si="15">D22</f>
        <v>0</v>
      </c>
      <c r="F31" s="78">
        <f t="shared" si="15"/>
        <v>266722.870788</v>
      </c>
      <c r="G31" s="78">
        <f t="shared" si="15"/>
        <v>265389.25643405999</v>
      </c>
      <c r="H31" s="78">
        <f t="shared" si="15"/>
        <v>264062.31015188969</v>
      </c>
      <c r="I31" s="78">
        <f t="shared" si="15"/>
        <v>262741.99860113027</v>
      </c>
      <c r="J31" s="78">
        <f t="shared" si="15"/>
        <v>261428.2886081246</v>
      </c>
      <c r="K31" s="78">
        <f t="shared" si="15"/>
        <v>260121.14716508397</v>
      </c>
      <c r="L31" s="78">
        <f t="shared" si="15"/>
        <v>258820.54142925856</v>
      </c>
      <c r="M31" s="78">
        <f t="shared" si="15"/>
        <v>257526.43872211227</v>
      </c>
      <c r="N31" s="78">
        <f t="shared" si="15"/>
        <v>256238.80652850171</v>
      </c>
      <c r="O31" s="78">
        <f t="shared" si="15"/>
        <v>254957.61249585918</v>
      </c>
      <c r="P31" s="78">
        <f t="shared" si="15"/>
        <v>253682.82443337986</v>
      </c>
      <c r="Q31" s="78">
        <f t="shared" si="15"/>
        <v>252414.41031121297</v>
      </c>
      <c r="R31" s="78">
        <f t="shared" si="15"/>
        <v>251152.33825965691</v>
      </c>
      <c r="S31" s="78">
        <f t="shared" si="15"/>
        <v>249896.57656835864</v>
      </c>
      <c r="T31" s="78">
        <f t="shared" si="15"/>
        <v>248647.09368551683</v>
      </c>
      <c r="U31" s="78">
        <f t="shared" si="15"/>
        <v>247403.85821708923</v>
      </c>
    </row>
    <row r="32" spans="1:21" x14ac:dyDescent="0.35">
      <c r="A32" s="184" t="s">
        <v>151</v>
      </c>
      <c r="B32" s="184"/>
      <c r="C32" s="78"/>
      <c r="D32" s="78"/>
      <c r="E32" s="78">
        <f t="shared" ref="E32:U32" si="16">D23</f>
        <v>128422.12297199998</v>
      </c>
      <c r="F32" s="78">
        <f t="shared" si="16"/>
        <v>127780.01235713999</v>
      </c>
      <c r="G32" s="78">
        <f t="shared" si="16"/>
        <v>127141.11229535428</v>
      </c>
      <c r="H32" s="78">
        <f t="shared" si="16"/>
        <v>126505.40673387751</v>
      </c>
      <c r="I32" s="78">
        <f t="shared" si="16"/>
        <v>125872.87970020811</v>
      </c>
      <c r="J32" s="78">
        <f t="shared" si="16"/>
        <v>125243.51530170708</v>
      </c>
      <c r="K32" s="78">
        <f t="shared" si="16"/>
        <v>124617.29772519854</v>
      </c>
      <c r="L32" s="78">
        <f t="shared" si="16"/>
        <v>123994.21123657255</v>
      </c>
      <c r="M32" s="78">
        <f t="shared" si="16"/>
        <v>123374.24018038969</v>
      </c>
      <c r="N32" s="78">
        <f t="shared" si="16"/>
        <v>122757.36897948774</v>
      </c>
      <c r="O32" s="78">
        <f t="shared" si="16"/>
        <v>122143.58213459028</v>
      </c>
      <c r="P32" s="78">
        <f t="shared" si="16"/>
        <v>121532.86422391734</v>
      </c>
      <c r="Q32" s="78">
        <f t="shared" si="16"/>
        <v>120925.19990279774</v>
      </c>
      <c r="R32" s="78">
        <f t="shared" si="16"/>
        <v>120320.57390328377</v>
      </c>
      <c r="S32" s="78">
        <f t="shared" si="16"/>
        <v>119718.97103376733</v>
      </c>
      <c r="T32" s="78">
        <f t="shared" si="16"/>
        <v>119120.3761785985</v>
      </c>
      <c r="U32" s="78">
        <f t="shared" si="16"/>
        <v>118524.77429770552</v>
      </c>
    </row>
    <row r="33" spans="1:21" x14ac:dyDescent="0.35">
      <c r="A33" s="184" t="s">
        <v>155</v>
      </c>
      <c r="B33" s="184"/>
      <c r="C33" s="78"/>
      <c r="D33" s="78"/>
      <c r="E33" s="78">
        <f t="shared" ref="E33:U33" si="17">D24</f>
        <v>0</v>
      </c>
      <c r="F33" s="78">
        <f t="shared" si="17"/>
        <v>39514.499376</v>
      </c>
      <c r="G33" s="78">
        <f t="shared" si="17"/>
        <v>39316.926879120001</v>
      </c>
      <c r="H33" s="78">
        <f t="shared" si="17"/>
        <v>39120.342244724401</v>
      </c>
      <c r="I33" s="78">
        <f t="shared" si="17"/>
        <v>38924.740533500779</v>
      </c>
      <c r="J33" s="78">
        <f t="shared" si="17"/>
        <v>38730.116830833278</v>
      </c>
      <c r="K33" s="78">
        <f t="shared" si="17"/>
        <v>38536.466246679112</v>
      </c>
      <c r="L33" s="78">
        <f t="shared" si="17"/>
        <v>38343.783915445718</v>
      </c>
      <c r="M33" s="78">
        <f t="shared" si="17"/>
        <v>38152.064995868488</v>
      </c>
      <c r="N33" s="78">
        <f t="shared" si="17"/>
        <v>37961.304670889149</v>
      </c>
      <c r="O33" s="78">
        <f t="shared" si="17"/>
        <v>37771.498147534701</v>
      </c>
      <c r="P33" s="78">
        <f t="shared" si="17"/>
        <v>37582.640656797026</v>
      </c>
      <c r="Q33" s="78">
        <f t="shared" si="17"/>
        <v>37394.727453513042</v>
      </c>
      <c r="R33" s="78">
        <f t="shared" si="17"/>
        <v>37207.753816245473</v>
      </c>
      <c r="S33" s="78">
        <f t="shared" si="17"/>
        <v>37021.715047164245</v>
      </c>
      <c r="T33" s="78">
        <f t="shared" si="17"/>
        <v>36836.606471928426</v>
      </c>
      <c r="U33" s="78">
        <f t="shared" si="17"/>
        <v>0</v>
      </c>
    </row>
    <row r="34" spans="1:21" x14ac:dyDescent="0.35">
      <c r="A34" s="12" t="s">
        <v>158</v>
      </c>
      <c r="B34" s="12"/>
      <c r="C34" s="78"/>
      <c r="D34" s="78"/>
      <c r="E34" s="78">
        <f t="shared" ref="E34:U34" si="18">D25</f>
        <v>172602.59970134808</v>
      </c>
      <c r="F34" s="78">
        <f t="shared" si="18"/>
        <v>171739.58670284133</v>
      </c>
      <c r="G34" s="78">
        <f t="shared" si="18"/>
        <v>170880.88876932714</v>
      </c>
      <c r="H34" s="78">
        <f t="shared" si="18"/>
        <v>170026.4843254805</v>
      </c>
      <c r="I34" s="78">
        <f t="shared" si="18"/>
        <v>169176.35190385312</v>
      </c>
      <c r="J34" s="78">
        <f t="shared" si="18"/>
        <v>168330.47014433384</v>
      </c>
      <c r="K34" s="78">
        <f t="shared" si="18"/>
        <v>167488.81779361214</v>
      </c>
      <c r="L34" s="78">
        <f t="shared" si="18"/>
        <v>166651.37370464409</v>
      </c>
      <c r="M34" s="78">
        <f t="shared" si="18"/>
        <v>165818.11683612087</v>
      </c>
      <c r="N34" s="78">
        <f t="shared" si="18"/>
        <v>164989.02625194026</v>
      </c>
      <c r="O34" s="78">
        <f t="shared" si="18"/>
        <v>164164.08112068055</v>
      </c>
      <c r="P34" s="78">
        <f t="shared" si="18"/>
        <v>163343.26071507717</v>
      </c>
      <c r="Q34" s="78">
        <f t="shared" si="18"/>
        <v>162526.54441150179</v>
      </c>
      <c r="R34" s="78">
        <f t="shared" si="18"/>
        <v>161713.91168944424</v>
      </c>
      <c r="S34" s="78">
        <f t="shared" si="18"/>
        <v>160905.34213099704</v>
      </c>
      <c r="T34" s="78">
        <f t="shared" si="18"/>
        <v>0</v>
      </c>
      <c r="U34" s="78">
        <f t="shared" si="18"/>
        <v>0</v>
      </c>
    </row>
    <row r="35" spans="1:21" x14ac:dyDescent="0.35">
      <c r="A35" s="14" t="s">
        <v>90</v>
      </c>
      <c r="B35" s="14"/>
      <c r="C35" s="79">
        <f t="shared" ref="C35:U35" si="19">SUM(C29:C34)</f>
        <v>0</v>
      </c>
      <c r="D35" s="79">
        <f t="shared" si="19"/>
        <v>0</v>
      </c>
      <c r="E35" s="79">
        <f t="shared" si="19"/>
        <v>602273.92248011334</v>
      </c>
      <c r="F35" s="79">
        <f t="shared" si="19"/>
        <v>905499.92303171277</v>
      </c>
      <c r="G35" s="79">
        <f t="shared" si="19"/>
        <v>900972.42341655423</v>
      </c>
      <c r="H35" s="79">
        <f t="shared" si="19"/>
        <v>896467.56129947142</v>
      </c>
      <c r="I35" s="79">
        <f t="shared" si="19"/>
        <v>891985.22349297418</v>
      </c>
      <c r="J35" s="79">
        <f t="shared" si="19"/>
        <v>887525.29737550928</v>
      </c>
      <c r="K35" s="79">
        <f t="shared" si="19"/>
        <v>883087.6708886316</v>
      </c>
      <c r="L35" s="79">
        <f t="shared" si="19"/>
        <v>878672.23253418854</v>
      </c>
      <c r="M35" s="79">
        <f t="shared" si="19"/>
        <v>874278.87137151754</v>
      </c>
      <c r="N35" s="79">
        <f t="shared" si="19"/>
        <v>869907.4770146599</v>
      </c>
      <c r="O35" s="79">
        <f t="shared" si="19"/>
        <v>865557.93962958653</v>
      </c>
      <c r="P35" s="79">
        <f t="shared" si="19"/>
        <v>861230.14993143862</v>
      </c>
      <c r="Q35" s="79">
        <f t="shared" si="19"/>
        <v>856923.99918178143</v>
      </c>
      <c r="R35" s="79">
        <f t="shared" si="19"/>
        <v>852639.3791858725</v>
      </c>
      <c r="S35" s="79">
        <f t="shared" si="19"/>
        <v>848376.18228994333</v>
      </c>
      <c r="T35" s="79">
        <f t="shared" si="19"/>
        <v>404604.07633604377</v>
      </c>
      <c r="U35" s="79">
        <f t="shared" si="19"/>
        <v>365928.63251479476</v>
      </c>
    </row>
    <row r="37" spans="1:21" ht="15.5" x14ac:dyDescent="0.35">
      <c r="A37" s="77">
        <v>2027</v>
      </c>
      <c r="B37" s="220">
        <v>2024</v>
      </c>
      <c r="C37" s="220">
        <f>C28</f>
        <v>2025</v>
      </c>
      <c r="D37" s="220">
        <f t="shared" ref="D37:U37" si="20">D28</f>
        <v>2026</v>
      </c>
      <c r="E37" s="220">
        <f t="shared" si="20"/>
        <v>2027</v>
      </c>
      <c r="F37" s="220">
        <f t="shared" si="20"/>
        <v>2028</v>
      </c>
      <c r="G37" s="220">
        <f t="shared" si="20"/>
        <v>2029</v>
      </c>
      <c r="H37" s="220">
        <f t="shared" si="20"/>
        <v>2030</v>
      </c>
      <c r="I37" s="220">
        <f t="shared" si="20"/>
        <v>2031</v>
      </c>
      <c r="J37" s="220">
        <f t="shared" si="20"/>
        <v>2032</v>
      </c>
      <c r="K37" s="220">
        <f t="shared" si="20"/>
        <v>2033</v>
      </c>
      <c r="L37" s="220">
        <f t="shared" si="20"/>
        <v>2034</v>
      </c>
      <c r="M37" s="220">
        <f t="shared" si="20"/>
        <v>2035</v>
      </c>
      <c r="N37" s="220">
        <f t="shared" si="20"/>
        <v>2036</v>
      </c>
      <c r="O37" s="220">
        <f t="shared" si="20"/>
        <v>2037</v>
      </c>
      <c r="P37" s="220">
        <f t="shared" si="20"/>
        <v>2038</v>
      </c>
      <c r="Q37" s="220">
        <f t="shared" si="20"/>
        <v>2039</v>
      </c>
      <c r="R37" s="220">
        <f t="shared" si="20"/>
        <v>2040</v>
      </c>
      <c r="S37" s="220">
        <f t="shared" si="20"/>
        <v>2041</v>
      </c>
      <c r="T37" s="220">
        <f t="shared" si="20"/>
        <v>2042</v>
      </c>
      <c r="U37" s="220">
        <f t="shared" si="20"/>
        <v>2043</v>
      </c>
    </row>
    <row r="38" spans="1:21" x14ac:dyDescent="0.35">
      <c r="A38" s="184" t="s">
        <v>131</v>
      </c>
      <c r="B38" s="184"/>
      <c r="C38" s="78"/>
      <c r="D38" s="78"/>
      <c r="E38" s="78"/>
      <c r="F38" s="78">
        <f>E29</f>
        <v>145906.86007555202</v>
      </c>
      <c r="G38" s="78">
        <f>F29</f>
        <v>145177.32577517425</v>
      </c>
      <c r="H38" s="78">
        <f t="shared" ref="H38:U38" si="21">G29</f>
        <v>144451.43914629839</v>
      </c>
      <c r="I38" s="78">
        <f t="shared" si="21"/>
        <v>143729.18195056688</v>
      </c>
      <c r="J38" s="78">
        <f t="shared" si="21"/>
        <v>143010.53604081407</v>
      </c>
      <c r="K38" s="78">
        <f t="shared" si="21"/>
        <v>142295.48336060997</v>
      </c>
      <c r="L38" s="78">
        <f t="shared" si="21"/>
        <v>141584.00594380693</v>
      </c>
      <c r="M38" s="78">
        <f t="shared" si="21"/>
        <v>140876.08591408789</v>
      </c>
      <c r="N38" s="78">
        <f t="shared" si="21"/>
        <v>140171.70548451744</v>
      </c>
      <c r="O38" s="78">
        <f t="shared" si="21"/>
        <v>139470.84695709485</v>
      </c>
      <c r="P38" s="78">
        <f t="shared" si="21"/>
        <v>138773.49272230937</v>
      </c>
      <c r="Q38" s="78">
        <f t="shared" si="21"/>
        <v>138079.62525869784</v>
      </c>
      <c r="R38" s="78">
        <f t="shared" si="21"/>
        <v>137389.22713240434</v>
      </c>
      <c r="S38" s="78">
        <f t="shared" si="21"/>
        <v>136702.28099674231</v>
      </c>
      <c r="T38" s="78">
        <f t="shared" si="21"/>
        <v>136018.76959175861</v>
      </c>
      <c r="U38" s="78">
        <f t="shared" si="21"/>
        <v>0</v>
      </c>
    </row>
    <row r="39" spans="1:21" x14ac:dyDescent="0.35">
      <c r="A39" s="184" t="s">
        <v>137</v>
      </c>
      <c r="B39" s="184"/>
      <c r="C39" s="78"/>
      <c r="D39" s="78"/>
      <c r="E39" s="78"/>
      <c r="F39" s="78">
        <f>E30</f>
        <v>155342.33973121329</v>
      </c>
      <c r="G39" s="78">
        <f t="shared" ref="G39:U39" si="22">F30</f>
        <v>154565.6280325572</v>
      </c>
      <c r="H39" s="78">
        <f t="shared" si="22"/>
        <v>153792.79989239443</v>
      </c>
      <c r="I39" s="78">
        <f t="shared" si="22"/>
        <v>153023.83589293246</v>
      </c>
      <c r="J39" s="78">
        <f t="shared" si="22"/>
        <v>152258.71671346779</v>
      </c>
      <c r="K39" s="78">
        <f t="shared" si="22"/>
        <v>151497.42312990045</v>
      </c>
      <c r="L39" s="78">
        <f t="shared" si="22"/>
        <v>150739.93601425094</v>
      </c>
      <c r="M39" s="78">
        <f t="shared" si="22"/>
        <v>149986.2363341797</v>
      </c>
      <c r="N39" s="78">
        <f t="shared" si="22"/>
        <v>149236.30515250878</v>
      </c>
      <c r="O39" s="78">
        <f t="shared" si="22"/>
        <v>148490.12362674624</v>
      </c>
      <c r="P39" s="78">
        <f t="shared" si="22"/>
        <v>147747.6730086125</v>
      </c>
      <c r="Q39" s="78">
        <f t="shared" si="22"/>
        <v>147008.93464356946</v>
      </c>
      <c r="R39" s="78">
        <f t="shared" si="22"/>
        <v>146273.88997035159</v>
      </c>
      <c r="S39" s="78">
        <f t="shared" si="22"/>
        <v>145542.52052049985</v>
      </c>
      <c r="T39" s="78">
        <f t="shared" si="22"/>
        <v>144814.80791789736</v>
      </c>
      <c r="U39" s="78">
        <f t="shared" si="22"/>
        <v>0</v>
      </c>
    </row>
    <row r="40" spans="1:21" x14ac:dyDescent="0.35">
      <c r="A40" s="184" t="s">
        <v>146</v>
      </c>
      <c r="B40" s="184"/>
      <c r="C40" s="78"/>
      <c r="D40" s="78"/>
      <c r="E40" s="78"/>
      <c r="F40" s="78">
        <f t="shared" ref="F40:U40" si="23">E31</f>
        <v>0</v>
      </c>
      <c r="G40" s="78">
        <f t="shared" si="23"/>
        <v>266722.870788</v>
      </c>
      <c r="H40" s="78">
        <f t="shared" si="23"/>
        <v>265389.25643405999</v>
      </c>
      <c r="I40" s="78">
        <f t="shared" si="23"/>
        <v>264062.31015188969</v>
      </c>
      <c r="J40" s="78">
        <f t="shared" si="23"/>
        <v>262741.99860113027</v>
      </c>
      <c r="K40" s="78">
        <f t="shared" si="23"/>
        <v>261428.2886081246</v>
      </c>
      <c r="L40" s="78">
        <f t="shared" si="23"/>
        <v>260121.14716508397</v>
      </c>
      <c r="M40" s="78">
        <f t="shared" si="23"/>
        <v>258820.54142925856</v>
      </c>
      <c r="N40" s="78">
        <f t="shared" si="23"/>
        <v>257526.43872211227</v>
      </c>
      <c r="O40" s="78">
        <f t="shared" si="23"/>
        <v>256238.80652850171</v>
      </c>
      <c r="P40" s="78">
        <f t="shared" si="23"/>
        <v>254957.61249585918</v>
      </c>
      <c r="Q40" s="78">
        <f t="shared" si="23"/>
        <v>253682.82443337986</v>
      </c>
      <c r="R40" s="78">
        <f t="shared" si="23"/>
        <v>252414.41031121297</v>
      </c>
      <c r="S40" s="78">
        <f t="shared" si="23"/>
        <v>251152.33825965691</v>
      </c>
      <c r="T40" s="78">
        <f t="shared" si="23"/>
        <v>249896.57656835864</v>
      </c>
      <c r="U40" s="78">
        <f t="shared" si="23"/>
        <v>248647.09368551683</v>
      </c>
    </row>
    <row r="41" spans="1:21" x14ac:dyDescent="0.35">
      <c r="A41" s="184" t="s">
        <v>151</v>
      </c>
      <c r="B41" s="184"/>
      <c r="C41" s="78"/>
      <c r="D41" s="78"/>
      <c r="E41" s="78"/>
      <c r="F41" s="78">
        <f t="shared" ref="F41:U41" si="24">E32</f>
        <v>128422.12297199998</v>
      </c>
      <c r="G41" s="78">
        <f t="shared" si="24"/>
        <v>127780.01235713999</v>
      </c>
      <c r="H41" s="78">
        <f t="shared" si="24"/>
        <v>127141.11229535428</v>
      </c>
      <c r="I41" s="78">
        <f t="shared" si="24"/>
        <v>126505.40673387751</v>
      </c>
      <c r="J41" s="78">
        <f t="shared" si="24"/>
        <v>125872.87970020811</v>
      </c>
      <c r="K41" s="78">
        <f t="shared" si="24"/>
        <v>125243.51530170708</v>
      </c>
      <c r="L41" s="78">
        <f t="shared" si="24"/>
        <v>124617.29772519854</v>
      </c>
      <c r="M41" s="78">
        <f t="shared" si="24"/>
        <v>123994.21123657255</v>
      </c>
      <c r="N41" s="78">
        <f t="shared" si="24"/>
        <v>123374.24018038969</v>
      </c>
      <c r="O41" s="78">
        <f t="shared" si="24"/>
        <v>122757.36897948774</v>
      </c>
      <c r="P41" s="78">
        <f t="shared" si="24"/>
        <v>122143.58213459028</v>
      </c>
      <c r="Q41" s="78">
        <f t="shared" si="24"/>
        <v>121532.86422391734</v>
      </c>
      <c r="R41" s="78">
        <f t="shared" si="24"/>
        <v>120925.19990279774</v>
      </c>
      <c r="S41" s="78">
        <f t="shared" si="24"/>
        <v>120320.57390328377</v>
      </c>
      <c r="T41" s="78">
        <f t="shared" si="24"/>
        <v>119718.97103376733</v>
      </c>
      <c r="U41" s="78">
        <f t="shared" si="24"/>
        <v>119120.3761785985</v>
      </c>
    </row>
    <row r="42" spans="1:21" x14ac:dyDescent="0.35">
      <c r="A42" s="184" t="s">
        <v>155</v>
      </c>
      <c r="B42" s="184"/>
      <c r="C42" s="78"/>
      <c r="D42" s="78"/>
      <c r="E42" s="78"/>
      <c r="F42" s="78">
        <f t="shared" ref="F42:U42" si="25">E33</f>
        <v>0</v>
      </c>
      <c r="G42" s="78">
        <f t="shared" si="25"/>
        <v>39514.499376</v>
      </c>
      <c r="H42" s="78">
        <f t="shared" si="25"/>
        <v>39316.926879120001</v>
      </c>
      <c r="I42" s="78">
        <f t="shared" si="25"/>
        <v>39120.342244724401</v>
      </c>
      <c r="J42" s="78">
        <f t="shared" si="25"/>
        <v>38924.740533500779</v>
      </c>
      <c r="K42" s="78">
        <f t="shared" si="25"/>
        <v>38730.116830833278</v>
      </c>
      <c r="L42" s="78">
        <f t="shared" si="25"/>
        <v>38536.466246679112</v>
      </c>
      <c r="M42" s="78">
        <f t="shared" si="25"/>
        <v>38343.783915445718</v>
      </c>
      <c r="N42" s="78">
        <f t="shared" si="25"/>
        <v>38152.064995868488</v>
      </c>
      <c r="O42" s="78">
        <f t="shared" si="25"/>
        <v>37961.304670889149</v>
      </c>
      <c r="P42" s="78">
        <f t="shared" si="25"/>
        <v>37771.498147534701</v>
      </c>
      <c r="Q42" s="78">
        <f t="shared" si="25"/>
        <v>37582.640656797026</v>
      </c>
      <c r="R42" s="78">
        <f t="shared" si="25"/>
        <v>37394.727453513042</v>
      </c>
      <c r="S42" s="78">
        <f t="shared" si="25"/>
        <v>37207.753816245473</v>
      </c>
      <c r="T42" s="78">
        <f t="shared" si="25"/>
        <v>37021.715047164245</v>
      </c>
      <c r="U42" s="78">
        <f t="shared" si="25"/>
        <v>36836.606471928426</v>
      </c>
    </row>
    <row r="43" spans="1:21" x14ac:dyDescent="0.35">
      <c r="A43" s="12" t="s">
        <v>158</v>
      </c>
      <c r="B43" s="12"/>
      <c r="C43" s="78"/>
      <c r="D43" s="78"/>
      <c r="E43" s="78"/>
      <c r="F43" s="78">
        <f t="shared" ref="F43:U43" si="26">E34</f>
        <v>172602.59970134808</v>
      </c>
      <c r="G43" s="78">
        <f t="shared" si="26"/>
        <v>171739.58670284133</v>
      </c>
      <c r="H43" s="78">
        <f t="shared" si="26"/>
        <v>170880.88876932714</v>
      </c>
      <c r="I43" s="78">
        <f t="shared" si="26"/>
        <v>170026.4843254805</v>
      </c>
      <c r="J43" s="78">
        <f t="shared" si="26"/>
        <v>169176.35190385312</v>
      </c>
      <c r="K43" s="78">
        <f t="shared" si="26"/>
        <v>168330.47014433384</v>
      </c>
      <c r="L43" s="78">
        <f t="shared" si="26"/>
        <v>167488.81779361214</v>
      </c>
      <c r="M43" s="78">
        <f t="shared" si="26"/>
        <v>166651.37370464409</v>
      </c>
      <c r="N43" s="78">
        <f t="shared" si="26"/>
        <v>165818.11683612087</v>
      </c>
      <c r="O43" s="78">
        <f t="shared" si="26"/>
        <v>164989.02625194026</v>
      </c>
      <c r="P43" s="78">
        <f t="shared" si="26"/>
        <v>164164.08112068055</v>
      </c>
      <c r="Q43" s="78">
        <f t="shared" si="26"/>
        <v>163343.26071507717</v>
      </c>
      <c r="R43" s="78">
        <f t="shared" si="26"/>
        <v>162526.54441150179</v>
      </c>
      <c r="S43" s="78">
        <f t="shared" si="26"/>
        <v>161713.91168944424</v>
      </c>
      <c r="T43" s="78">
        <f t="shared" si="26"/>
        <v>160905.34213099704</v>
      </c>
      <c r="U43" s="78">
        <f t="shared" si="26"/>
        <v>0</v>
      </c>
    </row>
    <row r="44" spans="1:21" x14ac:dyDescent="0.35">
      <c r="A44" s="14" t="s">
        <v>90</v>
      </c>
      <c r="B44" s="14"/>
      <c r="C44" s="79">
        <f t="shared" ref="C44:U44" si="27">SUM(C38:C43)</f>
        <v>0</v>
      </c>
      <c r="D44" s="79">
        <f t="shared" si="27"/>
        <v>0</v>
      </c>
      <c r="E44" s="79">
        <f t="shared" si="27"/>
        <v>0</v>
      </c>
      <c r="F44" s="79">
        <f t="shared" si="27"/>
        <v>602273.92248011334</v>
      </c>
      <c r="G44" s="79">
        <f t="shared" si="27"/>
        <v>905499.92303171277</v>
      </c>
      <c r="H44" s="79">
        <f t="shared" si="27"/>
        <v>900972.42341655423</v>
      </c>
      <c r="I44" s="79">
        <f t="shared" si="27"/>
        <v>896467.56129947142</v>
      </c>
      <c r="J44" s="79">
        <f t="shared" si="27"/>
        <v>891985.22349297418</v>
      </c>
      <c r="K44" s="79">
        <f t="shared" si="27"/>
        <v>887525.29737550928</v>
      </c>
      <c r="L44" s="79">
        <f t="shared" si="27"/>
        <v>883087.6708886316</v>
      </c>
      <c r="M44" s="79">
        <f t="shared" si="27"/>
        <v>878672.23253418854</v>
      </c>
      <c r="N44" s="79">
        <f t="shared" si="27"/>
        <v>874278.87137151754</v>
      </c>
      <c r="O44" s="79">
        <f t="shared" si="27"/>
        <v>869907.4770146599</v>
      </c>
      <c r="P44" s="79">
        <f t="shared" si="27"/>
        <v>865557.93962958653</v>
      </c>
      <c r="Q44" s="79">
        <f t="shared" si="27"/>
        <v>861230.14993143862</v>
      </c>
      <c r="R44" s="79">
        <f t="shared" si="27"/>
        <v>856923.99918178143</v>
      </c>
      <c r="S44" s="79">
        <f t="shared" si="27"/>
        <v>852639.3791858725</v>
      </c>
      <c r="T44" s="79">
        <f t="shared" si="27"/>
        <v>848376.18228994333</v>
      </c>
      <c r="U44" s="79">
        <f t="shared" si="27"/>
        <v>404604.07633604377</v>
      </c>
    </row>
    <row r="46" spans="1:21" ht="15.5" x14ac:dyDescent="0.35">
      <c r="A46" s="77">
        <v>2028</v>
      </c>
      <c r="B46" s="220">
        <v>2024</v>
      </c>
      <c r="C46" s="220">
        <f>C37</f>
        <v>2025</v>
      </c>
      <c r="D46" s="220">
        <f t="shared" ref="D46:U46" si="28">D37</f>
        <v>2026</v>
      </c>
      <c r="E46" s="220">
        <f t="shared" si="28"/>
        <v>2027</v>
      </c>
      <c r="F46" s="220">
        <f t="shared" si="28"/>
        <v>2028</v>
      </c>
      <c r="G46" s="220">
        <f t="shared" si="28"/>
        <v>2029</v>
      </c>
      <c r="H46" s="220">
        <f t="shared" si="28"/>
        <v>2030</v>
      </c>
      <c r="I46" s="220">
        <f t="shared" si="28"/>
        <v>2031</v>
      </c>
      <c r="J46" s="220">
        <f t="shared" si="28"/>
        <v>2032</v>
      </c>
      <c r="K46" s="220">
        <f t="shared" si="28"/>
        <v>2033</v>
      </c>
      <c r="L46" s="220">
        <f t="shared" si="28"/>
        <v>2034</v>
      </c>
      <c r="M46" s="220">
        <f t="shared" si="28"/>
        <v>2035</v>
      </c>
      <c r="N46" s="220">
        <f t="shared" si="28"/>
        <v>2036</v>
      </c>
      <c r="O46" s="220">
        <f t="shared" si="28"/>
        <v>2037</v>
      </c>
      <c r="P46" s="220">
        <f t="shared" si="28"/>
        <v>2038</v>
      </c>
      <c r="Q46" s="220">
        <f t="shared" si="28"/>
        <v>2039</v>
      </c>
      <c r="R46" s="220">
        <f t="shared" si="28"/>
        <v>2040</v>
      </c>
      <c r="S46" s="220">
        <f t="shared" si="28"/>
        <v>2041</v>
      </c>
      <c r="T46" s="220">
        <f t="shared" si="28"/>
        <v>2042</v>
      </c>
      <c r="U46" s="220">
        <f t="shared" si="28"/>
        <v>2043</v>
      </c>
    </row>
    <row r="47" spans="1:21" x14ac:dyDescent="0.35">
      <c r="A47" s="184" t="s">
        <v>131</v>
      </c>
      <c r="B47" s="184"/>
      <c r="C47" s="78"/>
      <c r="D47" s="78"/>
      <c r="E47" s="78"/>
      <c r="F47" s="78"/>
      <c r="G47" s="78">
        <f>F38</f>
        <v>145906.86007555202</v>
      </c>
      <c r="H47" s="78">
        <f t="shared" ref="H47:U47" si="29">G38</f>
        <v>145177.32577517425</v>
      </c>
      <c r="I47" s="78">
        <f t="shared" si="29"/>
        <v>144451.43914629839</v>
      </c>
      <c r="J47" s="78">
        <f t="shared" si="29"/>
        <v>143729.18195056688</v>
      </c>
      <c r="K47" s="78">
        <f t="shared" si="29"/>
        <v>143010.53604081407</v>
      </c>
      <c r="L47" s="78">
        <f t="shared" si="29"/>
        <v>142295.48336060997</v>
      </c>
      <c r="M47" s="78">
        <f t="shared" si="29"/>
        <v>141584.00594380693</v>
      </c>
      <c r="N47" s="78">
        <f t="shared" si="29"/>
        <v>140876.08591408789</v>
      </c>
      <c r="O47" s="78">
        <f t="shared" si="29"/>
        <v>140171.70548451744</v>
      </c>
      <c r="P47" s="78">
        <f t="shared" si="29"/>
        <v>139470.84695709485</v>
      </c>
      <c r="Q47" s="78">
        <f t="shared" si="29"/>
        <v>138773.49272230937</v>
      </c>
      <c r="R47" s="78">
        <f t="shared" si="29"/>
        <v>138079.62525869784</v>
      </c>
      <c r="S47" s="78">
        <f t="shared" si="29"/>
        <v>137389.22713240434</v>
      </c>
      <c r="T47" s="78">
        <f t="shared" si="29"/>
        <v>136702.28099674231</v>
      </c>
      <c r="U47" s="78">
        <f t="shared" si="29"/>
        <v>136018.76959175861</v>
      </c>
    </row>
    <row r="48" spans="1:21" x14ac:dyDescent="0.35">
      <c r="A48" s="184" t="s">
        <v>137</v>
      </c>
      <c r="B48" s="184"/>
      <c r="C48" s="78"/>
      <c r="D48" s="78"/>
      <c r="E48" s="78"/>
      <c r="F48" s="78"/>
      <c r="G48" s="78">
        <f t="shared" ref="G48:U48" si="30">F39</f>
        <v>155342.33973121329</v>
      </c>
      <c r="H48" s="78">
        <f t="shared" si="30"/>
        <v>154565.6280325572</v>
      </c>
      <c r="I48" s="78">
        <f t="shared" si="30"/>
        <v>153792.79989239443</v>
      </c>
      <c r="J48" s="78">
        <f t="shared" si="30"/>
        <v>153023.83589293246</v>
      </c>
      <c r="K48" s="78">
        <f t="shared" si="30"/>
        <v>152258.71671346779</v>
      </c>
      <c r="L48" s="78">
        <f t="shared" si="30"/>
        <v>151497.42312990045</v>
      </c>
      <c r="M48" s="78">
        <f t="shared" si="30"/>
        <v>150739.93601425094</v>
      </c>
      <c r="N48" s="78">
        <f t="shared" si="30"/>
        <v>149986.2363341797</v>
      </c>
      <c r="O48" s="78">
        <f t="shared" si="30"/>
        <v>149236.30515250878</v>
      </c>
      <c r="P48" s="78">
        <f t="shared" si="30"/>
        <v>148490.12362674624</v>
      </c>
      <c r="Q48" s="78">
        <f t="shared" si="30"/>
        <v>147747.6730086125</v>
      </c>
      <c r="R48" s="78">
        <f t="shared" si="30"/>
        <v>147008.93464356946</v>
      </c>
      <c r="S48" s="78">
        <f t="shared" si="30"/>
        <v>146273.88997035159</v>
      </c>
      <c r="T48" s="78">
        <f t="shared" si="30"/>
        <v>145542.52052049985</v>
      </c>
      <c r="U48" s="78">
        <f t="shared" si="30"/>
        <v>144814.80791789736</v>
      </c>
    </row>
    <row r="49" spans="1:21" x14ac:dyDescent="0.35">
      <c r="A49" s="184" t="s">
        <v>146</v>
      </c>
      <c r="B49" s="184"/>
      <c r="C49" s="78"/>
      <c r="D49" s="78"/>
      <c r="E49" s="78"/>
      <c r="F49" s="78"/>
      <c r="G49" s="78">
        <f t="shared" ref="G49:U49" si="31">F40</f>
        <v>0</v>
      </c>
      <c r="H49" s="78">
        <f t="shared" si="31"/>
        <v>266722.870788</v>
      </c>
      <c r="I49" s="78">
        <f t="shared" si="31"/>
        <v>265389.25643405999</v>
      </c>
      <c r="J49" s="78">
        <f t="shared" si="31"/>
        <v>264062.31015188969</v>
      </c>
      <c r="K49" s="78">
        <f t="shared" si="31"/>
        <v>262741.99860113027</v>
      </c>
      <c r="L49" s="78">
        <f t="shared" si="31"/>
        <v>261428.2886081246</v>
      </c>
      <c r="M49" s="78">
        <f t="shared" si="31"/>
        <v>260121.14716508397</v>
      </c>
      <c r="N49" s="78">
        <f t="shared" si="31"/>
        <v>258820.54142925856</v>
      </c>
      <c r="O49" s="78">
        <f t="shared" si="31"/>
        <v>257526.43872211227</v>
      </c>
      <c r="P49" s="78">
        <f t="shared" si="31"/>
        <v>256238.80652850171</v>
      </c>
      <c r="Q49" s="78">
        <f t="shared" si="31"/>
        <v>254957.61249585918</v>
      </c>
      <c r="R49" s="78">
        <f t="shared" si="31"/>
        <v>253682.82443337986</v>
      </c>
      <c r="S49" s="78">
        <f t="shared" si="31"/>
        <v>252414.41031121297</v>
      </c>
      <c r="T49" s="78">
        <f t="shared" si="31"/>
        <v>251152.33825965691</v>
      </c>
      <c r="U49" s="78">
        <f t="shared" si="31"/>
        <v>249896.57656835864</v>
      </c>
    </row>
    <row r="50" spans="1:21" x14ac:dyDescent="0.35">
      <c r="A50" s="184" t="s">
        <v>151</v>
      </c>
      <c r="B50" s="184"/>
      <c r="C50" s="78"/>
      <c r="D50" s="78"/>
      <c r="E50" s="78"/>
      <c r="F50" s="78"/>
      <c r="G50" s="78">
        <f t="shared" ref="G50:U50" si="32">F41</f>
        <v>128422.12297199998</v>
      </c>
      <c r="H50" s="78">
        <f t="shared" si="32"/>
        <v>127780.01235713999</v>
      </c>
      <c r="I50" s="78">
        <f t="shared" si="32"/>
        <v>127141.11229535428</v>
      </c>
      <c r="J50" s="78">
        <f t="shared" si="32"/>
        <v>126505.40673387751</v>
      </c>
      <c r="K50" s="78">
        <f t="shared" si="32"/>
        <v>125872.87970020811</v>
      </c>
      <c r="L50" s="78">
        <f t="shared" si="32"/>
        <v>125243.51530170708</v>
      </c>
      <c r="M50" s="78">
        <f t="shared" si="32"/>
        <v>124617.29772519854</v>
      </c>
      <c r="N50" s="78">
        <f t="shared" si="32"/>
        <v>123994.21123657255</v>
      </c>
      <c r="O50" s="78">
        <f t="shared" si="32"/>
        <v>123374.24018038969</v>
      </c>
      <c r="P50" s="78">
        <f t="shared" si="32"/>
        <v>122757.36897948774</v>
      </c>
      <c r="Q50" s="78">
        <f t="shared" si="32"/>
        <v>122143.58213459028</v>
      </c>
      <c r="R50" s="78">
        <f t="shared" si="32"/>
        <v>121532.86422391734</v>
      </c>
      <c r="S50" s="78">
        <f t="shared" si="32"/>
        <v>120925.19990279774</v>
      </c>
      <c r="T50" s="78">
        <f t="shared" si="32"/>
        <v>120320.57390328377</v>
      </c>
      <c r="U50" s="78">
        <f t="shared" si="32"/>
        <v>119718.97103376733</v>
      </c>
    </row>
    <row r="51" spans="1:21" x14ac:dyDescent="0.35">
      <c r="A51" s="184" t="s">
        <v>155</v>
      </c>
      <c r="B51" s="184"/>
      <c r="C51" s="78"/>
      <c r="D51" s="78"/>
      <c r="E51" s="78"/>
      <c r="F51" s="78"/>
      <c r="G51" s="78">
        <f t="shared" ref="G51:U51" si="33">F42</f>
        <v>0</v>
      </c>
      <c r="H51" s="78">
        <f t="shared" si="33"/>
        <v>39514.499376</v>
      </c>
      <c r="I51" s="78">
        <f t="shared" si="33"/>
        <v>39316.926879120001</v>
      </c>
      <c r="J51" s="78">
        <f t="shared" si="33"/>
        <v>39120.342244724401</v>
      </c>
      <c r="K51" s="78">
        <f t="shared" si="33"/>
        <v>38924.740533500779</v>
      </c>
      <c r="L51" s="78">
        <f t="shared" si="33"/>
        <v>38730.116830833278</v>
      </c>
      <c r="M51" s="78">
        <f t="shared" si="33"/>
        <v>38536.466246679112</v>
      </c>
      <c r="N51" s="78">
        <f t="shared" si="33"/>
        <v>38343.783915445718</v>
      </c>
      <c r="O51" s="78">
        <f t="shared" si="33"/>
        <v>38152.064995868488</v>
      </c>
      <c r="P51" s="78">
        <f t="shared" si="33"/>
        <v>37961.304670889149</v>
      </c>
      <c r="Q51" s="78">
        <f t="shared" si="33"/>
        <v>37771.498147534701</v>
      </c>
      <c r="R51" s="78">
        <f t="shared" si="33"/>
        <v>37582.640656797026</v>
      </c>
      <c r="S51" s="78">
        <f t="shared" si="33"/>
        <v>37394.727453513042</v>
      </c>
      <c r="T51" s="78">
        <f t="shared" si="33"/>
        <v>37207.753816245473</v>
      </c>
      <c r="U51" s="78">
        <f t="shared" si="33"/>
        <v>37021.715047164245</v>
      </c>
    </row>
    <row r="52" spans="1:21" x14ac:dyDescent="0.35">
      <c r="A52" s="12" t="s">
        <v>158</v>
      </c>
      <c r="B52" s="12"/>
      <c r="C52" s="78"/>
      <c r="D52" s="78"/>
      <c r="E52" s="78"/>
      <c r="F52" s="78"/>
      <c r="G52" s="78">
        <f t="shared" ref="G52:U52" si="34">F43</f>
        <v>172602.59970134808</v>
      </c>
      <c r="H52" s="78">
        <f t="shared" si="34"/>
        <v>171739.58670284133</v>
      </c>
      <c r="I52" s="78">
        <f t="shared" si="34"/>
        <v>170880.88876932714</v>
      </c>
      <c r="J52" s="78">
        <f t="shared" si="34"/>
        <v>170026.4843254805</v>
      </c>
      <c r="K52" s="78">
        <f t="shared" si="34"/>
        <v>169176.35190385312</v>
      </c>
      <c r="L52" s="78">
        <f t="shared" si="34"/>
        <v>168330.47014433384</v>
      </c>
      <c r="M52" s="78">
        <f t="shared" si="34"/>
        <v>167488.81779361214</v>
      </c>
      <c r="N52" s="78">
        <f t="shared" si="34"/>
        <v>166651.37370464409</v>
      </c>
      <c r="O52" s="78">
        <f t="shared" si="34"/>
        <v>165818.11683612087</v>
      </c>
      <c r="P52" s="78">
        <f t="shared" si="34"/>
        <v>164989.02625194026</v>
      </c>
      <c r="Q52" s="78">
        <f t="shared" si="34"/>
        <v>164164.08112068055</v>
      </c>
      <c r="R52" s="78">
        <f t="shared" si="34"/>
        <v>163343.26071507717</v>
      </c>
      <c r="S52" s="78">
        <f t="shared" si="34"/>
        <v>162526.54441150179</v>
      </c>
      <c r="T52" s="78">
        <f t="shared" si="34"/>
        <v>161713.91168944424</v>
      </c>
      <c r="U52" s="78">
        <f t="shared" si="34"/>
        <v>160905.34213099704</v>
      </c>
    </row>
    <row r="53" spans="1:21" x14ac:dyDescent="0.35">
      <c r="A53" s="14" t="s">
        <v>90</v>
      </c>
      <c r="B53" s="14"/>
      <c r="C53" s="79">
        <f t="shared" ref="C53:U53" si="35">SUM(C47:C52)</f>
        <v>0</v>
      </c>
      <c r="D53" s="79">
        <f t="shared" si="35"/>
        <v>0</v>
      </c>
      <c r="E53" s="79">
        <f t="shared" si="35"/>
        <v>0</v>
      </c>
      <c r="F53" s="79">
        <f t="shared" si="35"/>
        <v>0</v>
      </c>
      <c r="G53" s="79">
        <f t="shared" si="35"/>
        <v>602273.92248011334</v>
      </c>
      <c r="H53" s="79">
        <f t="shared" si="35"/>
        <v>905499.92303171277</v>
      </c>
      <c r="I53" s="79">
        <f t="shared" si="35"/>
        <v>900972.42341655423</v>
      </c>
      <c r="J53" s="79">
        <f t="shared" si="35"/>
        <v>896467.56129947142</v>
      </c>
      <c r="K53" s="79">
        <f t="shared" si="35"/>
        <v>891985.22349297418</v>
      </c>
      <c r="L53" s="79">
        <f t="shared" si="35"/>
        <v>887525.29737550928</v>
      </c>
      <c r="M53" s="79">
        <f t="shared" si="35"/>
        <v>883087.6708886316</v>
      </c>
      <c r="N53" s="79">
        <f t="shared" si="35"/>
        <v>878672.23253418854</v>
      </c>
      <c r="O53" s="79">
        <f t="shared" si="35"/>
        <v>874278.87137151754</v>
      </c>
      <c r="P53" s="79">
        <f t="shared" si="35"/>
        <v>869907.4770146599</v>
      </c>
      <c r="Q53" s="79">
        <f t="shared" si="35"/>
        <v>865557.93962958653</v>
      </c>
      <c r="R53" s="79">
        <f t="shared" si="35"/>
        <v>861230.14993143862</v>
      </c>
      <c r="S53" s="79">
        <f t="shared" si="35"/>
        <v>856923.99918178143</v>
      </c>
      <c r="T53" s="79">
        <f t="shared" si="35"/>
        <v>852639.3791858725</v>
      </c>
      <c r="U53" s="79">
        <f t="shared" si="35"/>
        <v>848376.18228994333</v>
      </c>
    </row>
    <row r="55" spans="1:21" ht="15.5" x14ac:dyDescent="0.35">
      <c r="A55" s="77">
        <v>2029</v>
      </c>
      <c r="B55" s="220">
        <v>2024</v>
      </c>
      <c r="C55" s="220">
        <f>C46</f>
        <v>2025</v>
      </c>
      <c r="D55" s="220">
        <f t="shared" ref="D55:U55" si="36">D46</f>
        <v>2026</v>
      </c>
      <c r="E55" s="220">
        <f t="shared" si="36"/>
        <v>2027</v>
      </c>
      <c r="F55" s="220">
        <f t="shared" si="36"/>
        <v>2028</v>
      </c>
      <c r="G55" s="220">
        <f t="shared" si="36"/>
        <v>2029</v>
      </c>
      <c r="H55" s="220">
        <f t="shared" si="36"/>
        <v>2030</v>
      </c>
      <c r="I55" s="220">
        <f t="shared" si="36"/>
        <v>2031</v>
      </c>
      <c r="J55" s="220">
        <f t="shared" si="36"/>
        <v>2032</v>
      </c>
      <c r="K55" s="220">
        <f t="shared" si="36"/>
        <v>2033</v>
      </c>
      <c r="L55" s="220">
        <f t="shared" si="36"/>
        <v>2034</v>
      </c>
      <c r="M55" s="220">
        <f t="shared" si="36"/>
        <v>2035</v>
      </c>
      <c r="N55" s="220">
        <f t="shared" si="36"/>
        <v>2036</v>
      </c>
      <c r="O55" s="220">
        <f t="shared" si="36"/>
        <v>2037</v>
      </c>
      <c r="P55" s="220">
        <f t="shared" si="36"/>
        <v>2038</v>
      </c>
      <c r="Q55" s="220">
        <f t="shared" si="36"/>
        <v>2039</v>
      </c>
      <c r="R55" s="220">
        <f t="shared" si="36"/>
        <v>2040</v>
      </c>
      <c r="S55" s="220">
        <f t="shared" si="36"/>
        <v>2041</v>
      </c>
      <c r="T55" s="220">
        <f t="shared" si="36"/>
        <v>2042</v>
      </c>
      <c r="U55" s="220">
        <f t="shared" si="36"/>
        <v>2043</v>
      </c>
    </row>
    <row r="56" spans="1:21" x14ac:dyDescent="0.35">
      <c r="A56" s="184" t="s">
        <v>131</v>
      </c>
      <c r="B56" s="184"/>
      <c r="C56" s="78"/>
      <c r="D56" s="78"/>
      <c r="E56" s="78"/>
      <c r="F56" s="78"/>
      <c r="G56" s="78"/>
      <c r="H56" s="78">
        <f>G47</f>
        <v>145906.86007555202</v>
      </c>
      <c r="I56" s="78">
        <f t="shared" ref="I56:U56" si="37">H47</f>
        <v>145177.32577517425</v>
      </c>
      <c r="J56" s="78">
        <f t="shared" si="37"/>
        <v>144451.43914629839</v>
      </c>
      <c r="K56" s="78">
        <f t="shared" si="37"/>
        <v>143729.18195056688</v>
      </c>
      <c r="L56" s="78">
        <f t="shared" si="37"/>
        <v>143010.53604081407</v>
      </c>
      <c r="M56" s="78">
        <f t="shared" si="37"/>
        <v>142295.48336060997</v>
      </c>
      <c r="N56" s="78">
        <f t="shared" si="37"/>
        <v>141584.00594380693</v>
      </c>
      <c r="O56" s="78">
        <f t="shared" si="37"/>
        <v>140876.08591408789</v>
      </c>
      <c r="P56" s="78">
        <f t="shared" si="37"/>
        <v>140171.70548451744</v>
      </c>
      <c r="Q56" s="78">
        <f t="shared" si="37"/>
        <v>139470.84695709485</v>
      </c>
      <c r="R56" s="78">
        <f t="shared" si="37"/>
        <v>138773.49272230937</v>
      </c>
      <c r="S56" s="78">
        <f t="shared" si="37"/>
        <v>138079.62525869784</v>
      </c>
      <c r="T56" s="78">
        <f t="shared" si="37"/>
        <v>137389.22713240434</v>
      </c>
      <c r="U56" s="78">
        <f t="shared" si="37"/>
        <v>136702.28099674231</v>
      </c>
    </row>
    <row r="57" spans="1:21" x14ac:dyDescent="0.35">
      <c r="A57" s="184" t="s">
        <v>137</v>
      </c>
      <c r="B57" s="184"/>
      <c r="C57" s="78"/>
      <c r="D57" s="78"/>
      <c r="E57" s="78"/>
      <c r="F57" s="78"/>
      <c r="G57" s="78"/>
      <c r="H57" s="78">
        <f t="shared" ref="H57:U57" si="38">G48</f>
        <v>155342.33973121329</v>
      </c>
      <c r="I57" s="78">
        <f t="shared" si="38"/>
        <v>154565.6280325572</v>
      </c>
      <c r="J57" s="78">
        <f t="shared" si="38"/>
        <v>153792.79989239443</v>
      </c>
      <c r="K57" s="78">
        <f t="shared" si="38"/>
        <v>153023.83589293246</v>
      </c>
      <c r="L57" s="78">
        <f t="shared" si="38"/>
        <v>152258.71671346779</v>
      </c>
      <c r="M57" s="78">
        <f t="shared" si="38"/>
        <v>151497.42312990045</v>
      </c>
      <c r="N57" s="78">
        <f t="shared" si="38"/>
        <v>150739.93601425094</v>
      </c>
      <c r="O57" s="78">
        <f t="shared" si="38"/>
        <v>149986.2363341797</v>
      </c>
      <c r="P57" s="78">
        <f t="shared" si="38"/>
        <v>149236.30515250878</v>
      </c>
      <c r="Q57" s="78">
        <f t="shared" si="38"/>
        <v>148490.12362674624</v>
      </c>
      <c r="R57" s="78">
        <f t="shared" si="38"/>
        <v>147747.6730086125</v>
      </c>
      <c r="S57" s="78">
        <f t="shared" si="38"/>
        <v>147008.93464356946</v>
      </c>
      <c r="T57" s="78">
        <f t="shared" si="38"/>
        <v>146273.88997035159</v>
      </c>
      <c r="U57" s="78">
        <f t="shared" si="38"/>
        <v>145542.52052049985</v>
      </c>
    </row>
    <row r="58" spans="1:21" x14ac:dyDescent="0.35">
      <c r="A58" s="184" t="s">
        <v>146</v>
      </c>
      <c r="B58" s="184"/>
      <c r="C58" s="78"/>
      <c r="D58" s="78"/>
      <c r="E58" s="78"/>
      <c r="F58" s="78"/>
      <c r="G58" s="78"/>
      <c r="H58" s="78">
        <f t="shared" ref="H58:U58" si="39">G49</f>
        <v>0</v>
      </c>
      <c r="I58" s="78">
        <f t="shared" si="39"/>
        <v>266722.870788</v>
      </c>
      <c r="J58" s="78">
        <f t="shared" si="39"/>
        <v>265389.25643405999</v>
      </c>
      <c r="K58" s="78">
        <f t="shared" si="39"/>
        <v>264062.31015188969</v>
      </c>
      <c r="L58" s="78">
        <f t="shared" si="39"/>
        <v>262741.99860113027</v>
      </c>
      <c r="M58" s="78">
        <f t="shared" si="39"/>
        <v>261428.2886081246</v>
      </c>
      <c r="N58" s="78">
        <f t="shared" si="39"/>
        <v>260121.14716508397</v>
      </c>
      <c r="O58" s="78">
        <f t="shared" si="39"/>
        <v>258820.54142925856</v>
      </c>
      <c r="P58" s="78">
        <f t="shared" si="39"/>
        <v>257526.43872211227</v>
      </c>
      <c r="Q58" s="78">
        <f t="shared" si="39"/>
        <v>256238.80652850171</v>
      </c>
      <c r="R58" s="78">
        <f t="shared" si="39"/>
        <v>254957.61249585918</v>
      </c>
      <c r="S58" s="78">
        <f t="shared" si="39"/>
        <v>253682.82443337986</v>
      </c>
      <c r="T58" s="78">
        <f t="shared" si="39"/>
        <v>252414.41031121297</v>
      </c>
      <c r="U58" s="78">
        <f t="shared" si="39"/>
        <v>251152.33825965691</v>
      </c>
    </row>
    <row r="59" spans="1:21" x14ac:dyDescent="0.35">
      <c r="A59" s="184" t="s">
        <v>151</v>
      </c>
      <c r="B59" s="184"/>
      <c r="C59" s="78"/>
      <c r="D59" s="78"/>
      <c r="E59" s="78"/>
      <c r="F59" s="78"/>
      <c r="G59" s="78"/>
      <c r="H59" s="78">
        <f t="shared" ref="H59:U59" si="40">G50</f>
        <v>128422.12297199998</v>
      </c>
      <c r="I59" s="78">
        <f t="shared" si="40"/>
        <v>127780.01235713999</v>
      </c>
      <c r="J59" s="78">
        <f t="shared" si="40"/>
        <v>127141.11229535428</v>
      </c>
      <c r="K59" s="78">
        <f t="shared" si="40"/>
        <v>126505.40673387751</v>
      </c>
      <c r="L59" s="78">
        <f t="shared" si="40"/>
        <v>125872.87970020811</v>
      </c>
      <c r="M59" s="78">
        <f t="shared" si="40"/>
        <v>125243.51530170708</v>
      </c>
      <c r="N59" s="78">
        <f t="shared" si="40"/>
        <v>124617.29772519854</v>
      </c>
      <c r="O59" s="78">
        <f t="shared" si="40"/>
        <v>123994.21123657255</v>
      </c>
      <c r="P59" s="78">
        <f t="shared" si="40"/>
        <v>123374.24018038969</v>
      </c>
      <c r="Q59" s="78">
        <f t="shared" si="40"/>
        <v>122757.36897948774</v>
      </c>
      <c r="R59" s="78">
        <f t="shared" si="40"/>
        <v>122143.58213459028</v>
      </c>
      <c r="S59" s="78">
        <f t="shared" si="40"/>
        <v>121532.86422391734</v>
      </c>
      <c r="T59" s="78">
        <f t="shared" si="40"/>
        <v>120925.19990279774</v>
      </c>
      <c r="U59" s="78">
        <f t="shared" si="40"/>
        <v>120320.57390328377</v>
      </c>
    </row>
    <row r="60" spans="1:21" x14ac:dyDescent="0.35">
      <c r="A60" s="184" t="s">
        <v>155</v>
      </c>
      <c r="B60" s="184"/>
      <c r="C60" s="78"/>
      <c r="D60" s="78"/>
      <c r="E60" s="78"/>
      <c r="F60" s="78"/>
      <c r="G60" s="78"/>
      <c r="H60" s="78">
        <f t="shared" ref="H60:U60" si="41">G51</f>
        <v>0</v>
      </c>
      <c r="I60" s="78">
        <f t="shared" si="41"/>
        <v>39514.499376</v>
      </c>
      <c r="J60" s="78">
        <f t="shared" si="41"/>
        <v>39316.926879120001</v>
      </c>
      <c r="K60" s="78">
        <f t="shared" si="41"/>
        <v>39120.342244724401</v>
      </c>
      <c r="L60" s="78">
        <f t="shared" si="41"/>
        <v>38924.740533500779</v>
      </c>
      <c r="M60" s="78">
        <f t="shared" si="41"/>
        <v>38730.116830833278</v>
      </c>
      <c r="N60" s="78">
        <f t="shared" si="41"/>
        <v>38536.466246679112</v>
      </c>
      <c r="O60" s="78">
        <f t="shared" si="41"/>
        <v>38343.783915445718</v>
      </c>
      <c r="P60" s="78">
        <f t="shared" si="41"/>
        <v>38152.064995868488</v>
      </c>
      <c r="Q60" s="78">
        <f t="shared" si="41"/>
        <v>37961.304670889149</v>
      </c>
      <c r="R60" s="78">
        <f t="shared" si="41"/>
        <v>37771.498147534701</v>
      </c>
      <c r="S60" s="78">
        <f t="shared" si="41"/>
        <v>37582.640656797026</v>
      </c>
      <c r="T60" s="78">
        <f t="shared" si="41"/>
        <v>37394.727453513042</v>
      </c>
      <c r="U60" s="78">
        <f t="shared" si="41"/>
        <v>37207.753816245473</v>
      </c>
    </row>
    <row r="61" spans="1:21" x14ac:dyDescent="0.35">
      <c r="A61" s="12" t="s">
        <v>158</v>
      </c>
      <c r="B61" s="12"/>
      <c r="C61" s="78"/>
      <c r="D61" s="78"/>
      <c r="E61" s="78"/>
      <c r="F61" s="78"/>
      <c r="G61" s="78"/>
      <c r="H61" s="78">
        <f t="shared" ref="H61:U61" si="42">G52</f>
        <v>172602.59970134808</v>
      </c>
      <c r="I61" s="78">
        <f t="shared" si="42"/>
        <v>171739.58670284133</v>
      </c>
      <c r="J61" s="78">
        <f t="shared" si="42"/>
        <v>170880.88876932714</v>
      </c>
      <c r="K61" s="78">
        <f t="shared" si="42"/>
        <v>170026.4843254805</v>
      </c>
      <c r="L61" s="78">
        <f t="shared" si="42"/>
        <v>169176.35190385312</v>
      </c>
      <c r="M61" s="78">
        <f t="shared" si="42"/>
        <v>168330.47014433384</v>
      </c>
      <c r="N61" s="78">
        <f t="shared" si="42"/>
        <v>167488.81779361214</v>
      </c>
      <c r="O61" s="78">
        <f t="shared" si="42"/>
        <v>166651.37370464409</v>
      </c>
      <c r="P61" s="78">
        <f t="shared" si="42"/>
        <v>165818.11683612087</v>
      </c>
      <c r="Q61" s="78">
        <f t="shared" si="42"/>
        <v>164989.02625194026</v>
      </c>
      <c r="R61" s="78">
        <f t="shared" si="42"/>
        <v>164164.08112068055</v>
      </c>
      <c r="S61" s="78">
        <f t="shared" si="42"/>
        <v>163343.26071507717</v>
      </c>
      <c r="T61" s="78">
        <f t="shared" si="42"/>
        <v>162526.54441150179</v>
      </c>
      <c r="U61" s="78">
        <f t="shared" si="42"/>
        <v>161713.91168944424</v>
      </c>
    </row>
    <row r="62" spans="1:21" x14ac:dyDescent="0.35">
      <c r="A62" s="14" t="s">
        <v>90</v>
      </c>
      <c r="B62" s="14"/>
      <c r="C62" s="79">
        <f t="shared" ref="C62:U62" si="43">SUM(C56:C61)</f>
        <v>0</v>
      </c>
      <c r="D62" s="79">
        <f t="shared" si="43"/>
        <v>0</v>
      </c>
      <c r="E62" s="79">
        <f t="shared" si="43"/>
        <v>0</v>
      </c>
      <c r="F62" s="79">
        <f t="shared" si="43"/>
        <v>0</v>
      </c>
      <c r="G62" s="79">
        <f t="shared" si="43"/>
        <v>0</v>
      </c>
      <c r="H62" s="79">
        <f t="shared" si="43"/>
        <v>602273.92248011334</v>
      </c>
      <c r="I62" s="79">
        <f t="shared" si="43"/>
        <v>905499.92303171277</v>
      </c>
      <c r="J62" s="79">
        <f t="shared" si="43"/>
        <v>900972.42341655423</v>
      </c>
      <c r="K62" s="79">
        <f t="shared" si="43"/>
        <v>896467.56129947142</v>
      </c>
      <c r="L62" s="79">
        <f t="shared" si="43"/>
        <v>891985.22349297418</v>
      </c>
      <c r="M62" s="79">
        <f t="shared" si="43"/>
        <v>887525.29737550928</v>
      </c>
      <c r="N62" s="79">
        <f t="shared" si="43"/>
        <v>883087.6708886316</v>
      </c>
      <c r="O62" s="79">
        <f t="shared" si="43"/>
        <v>878672.23253418854</v>
      </c>
      <c r="P62" s="79">
        <f t="shared" si="43"/>
        <v>874278.87137151754</v>
      </c>
      <c r="Q62" s="79">
        <f t="shared" si="43"/>
        <v>869907.4770146599</v>
      </c>
      <c r="R62" s="79">
        <f t="shared" si="43"/>
        <v>865557.93962958653</v>
      </c>
      <c r="S62" s="79">
        <f t="shared" si="43"/>
        <v>861230.14993143862</v>
      </c>
      <c r="T62" s="79">
        <f t="shared" si="43"/>
        <v>856923.99918178143</v>
      </c>
      <c r="U62" s="79">
        <f t="shared" si="43"/>
        <v>852639.3791858725</v>
      </c>
    </row>
    <row r="64" spans="1:21" ht="15.5" x14ac:dyDescent="0.35">
      <c r="A64" s="77">
        <v>2030</v>
      </c>
      <c r="B64" s="220">
        <v>2024</v>
      </c>
      <c r="C64" s="220">
        <f>C55</f>
        <v>2025</v>
      </c>
      <c r="D64" s="220">
        <f t="shared" ref="D64:U64" si="44">D55</f>
        <v>2026</v>
      </c>
      <c r="E64" s="220">
        <f t="shared" si="44"/>
        <v>2027</v>
      </c>
      <c r="F64" s="220">
        <f t="shared" si="44"/>
        <v>2028</v>
      </c>
      <c r="G64" s="220">
        <f t="shared" si="44"/>
        <v>2029</v>
      </c>
      <c r="H64" s="220">
        <f t="shared" si="44"/>
        <v>2030</v>
      </c>
      <c r="I64" s="220">
        <f t="shared" si="44"/>
        <v>2031</v>
      </c>
      <c r="J64" s="220">
        <f t="shared" si="44"/>
        <v>2032</v>
      </c>
      <c r="K64" s="220">
        <f t="shared" si="44"/>
        <v>2033</v>
      </c>
      <c r="L64" s="220">
        <f t="shared" si="44"/>
        <v>2034</v>
      </c>
      <c r="M64" s="220">
        <f t="shared" si="44"/>
        <v>2035</v>
      </c>
      <c r="N64" s="220">
        <f t="shared" si="44"/>
        <v>2036</v>
      </c>
      <c r="O64" s="220">
        <f t="shared" si="44"/>
        <v>2037</v>
      </c>
      <c r="P64" s="220">
        <f t="shared" si="44"/>
        <v>2038</v>
      </c>
      <c r="Q64" s="220">
        <f t="shared" si="44"/>
        <v>2039</v>
      </c>
      <c r="R64" s="220">
        <f t="shared" si="44"/>
        <v>2040</v>
      </c>
      <c r="S64" s="220">
        <f t="shared" si="44"/>
        <v>2041</v>
      </c>
      <c r="T64" s="220">
        <f t="shared" si="44"/>
        <v>2042</v>
      </c>
      <c r="U64" s="220">
        <f t="shared" si="44"/>
        <v>2043</v>
      </c>
    </row>
    <row r="65" spans="1:41" x14ac:dyDescent="0.35">
      <c r="A65" s="184" t="s">
        <v>131</v>
      </c>
      <c r="B65" s="184"/>
      <c r="C65" s="78"/>
      <c r="D65" s="78"/>
      <c r="E65" s="78"/>
      <c r="F65" s="78"/>
      <c r="G65" s="78"/>
      <c r="H65" s="78"/>
      <c r="I65" s="78">
        <v>162118.73341727999</v>
      </c>
      <c r="J65" s="78">
        <v>161308.1397501936</v>
      </c>
      <c r="K65" s="78">
        <v>160501.59905144264</v>
      </c>
      <c r="L65" s="78">
        <v>159699.09105618543</v>
      </c>
      <c r="M65" s="78">
        <v>158900.59560090449</v>
      </c>
      <c r="N65" s="78">
        <v>158106.09262289997</v>
      </c>
      <c r="O65" s="78">
        <v>157315.56215978548</v>
      </c>
      <c r="P65" s="78">
        <v>156528.98434898653</v>
      </c>
      <c r="Q65" s="78">
        <v>155746.33942724159</v>
      </c>
      <c r="R65" s="78">
        <v>154967.6077301054</v>
      </c>
      <c r="S65" s="78">
        <v>154192.76969145489</v>
      </c>
      <c r="T65" s="78">
        <v>153421.80584299756</v>
      </c>
      <c r="U65" s="78">
        <v>152654.69681378259</v>
      </c>
      <c r="W65" s="31"/>
      <c r="X65" s="31"/>
      <c r="Y65" s="31"/>
      <c r="Z65" s="31"/>
      <c r="AA65" s="31"/>
      <c r="AB65" s="31"/>
      <c r="AC65" s="31"/>
      <c r="AD65" s="31"/>
      <c r="AE65" s="31"/>
      <c r="AF65" s="31"/>
      <c r="AG65" s="31"/>
      <c r="AH65" s="31"/>
      <c r="AI65" s="31"/>
      <c r="AJ65" s="31"/>
      <c r="AK65" s="31"/>
      <c r="AL65" s="31"/>
      <c r="AM65" s="31"/>
      <c r="AN65" s="31"/>
      <c r="AO65" s="31"/>
    </row>
    <row r="66" spans="1:41" x14ac:dyDescent="0.35">
      <c r="A66" s="184" t="s">
        <v>137</v>
      </c>
      <c r="B66" s="184"/>
      <c r="C66" s="78"/>
      <c r="D66" s="78"/>
      <c r="E66" s="78"/>
      <c r="F66" s="78"/>
      <c r="G66" s="78"/>
      <c r="H66" s="78"/>
      <c r="I66" s="78">
        <v>172602.59970134808</v>
      </c>
      <c r="J66" s="78">
        <v>171739.58670284133</v>
      </c>
      <c r="K66" s="78">
        <v>170880.88876932714</v>
      </c>
      <c r="L66" s="78">
        <v>170026.4843254805</v>
      </c>
      <c r="M66" s="78">
        <v>169176.35190385312</v>
      </c>
      <c r="N66" s="78">
        <v>168330.47014433384</v>
      </c>
      <c r="O66" s="78">
        <v>167488.81779361214</v>
      </c>
      <c r="P66" s="78">
        <v>166651.37370464409</v>
      </c>
      <c r="Q66" s="78">
        <v>165818.11683612087</v>
      </c>
      <c r="R66" s="78">
        <v>164989.02625194026</v>
      </c>
      <c r="S66" s="78">
        <v>164164.08112068055</v>
      </c>
      <c r="T66" s="78">
        <v>163343.26071507717</v>
      </c>
      <c r="U66" s="78">
        <v>162526.54441150179</v>
      </c>
      <c r="W66" s="31"/>
      <c r="X66" s="31"/>
      <c r="Y66" s="31"/>
      <c r="Z66" s="31"/>
      <c r="AA66" s="31"/>
      <c r="AB66" s="31"/>
      <c r="AC66" s="31"/>
      <c r="AD66" s="31"/>
      <c r="AE66" s="31"/>
      <c r="AF66" s="31"/>
      <c r="AG66" s="31"/>
      <c r="AH66" s="31"/>
      <c r="AI66" s="31"/>
      <c r="AJ66" s="31"/>
      <c r="AK66" s="31"/>
      <c r="AL66" s="31"/>
      <c r="AM66" s="31"/>
      <c r="AN66" s="31"/>
      <c r="AO66" s="31"/>
    </row>
    <row r="67" spans="1:41" x14ac:dyDescent="0.35">
      <c r="A67" s="184" t="s">
        <v>146</v>
      </c>
      <c r="B67" s="184"/>
      <c r="C67" s="78"/>
      <c r="D67" s="78"/>
      <c r="E67" s="78"/>
      <c r="F67" s="78"/>
      <c r="G67" s="78"/>
      <c r="H67" s="78"/>
      <c r="I67" s="78">
        <v>0</v>
      </c>
      <c r="J67" s="78">
        <v>296358.74531999999</v>
      </c>
      <c r="K67" s="78">
        <v>294876.95159339998</v>
      </c>
      <c r="L67" s="78">
        <v>293402.56683543301</v>
      </c>
      <c r="M67" s="78">
        <v>291935.55400125583</v>
      </c>
      <c r="N67" s="78">
        <v>290475.87623124954</v>
      </c>
      <c r="O67" s="78">
        <v>289023.4968500933</v>
      </c>
      <c r="P67" s="78">
        <v>287578.37936584279</v>
      </c>
      <c r="Q67" s="78">
        <v>286140.48746901361</v>
      </c>
      <c r="R67" s="78">
        <v>284709.78503166855</v>
      </c>
      <c r="S67" s="78">
        <v>283286.23610651016</v>
      </c>
      <c r="T67" s="78">
        <v>281869.8049259776</v>
      </c>
      <c r="U67" s="78">
        <v>280460.45590134774</v>
      </c>
      <c r="W67" s="31"/>
      <c r="X67" s="31"/>
      <c r="Y67" s="31"/>
      <c r="Z67" s="31"/>
      <c r="AA67" s="31"/>
      <c r="AB67" s="31"/>
      <c r="AC67" s="31"/>
      <c r="AD67" s="31"/>
      <c r="AE67" s="31"/>
      <c r="AF67" s="31"/>
      <c r="AG67" s="31"/>
      <c r="AH67" s="31"/>
      <c r="AI67" s="31"/>
      <c r="AJ67" s="31"/>
      <c r="AK67" s="31"/>
      <c r="AL67" s="31"/>
      <c r="AM67" s="31"/>
      <c r="AN67" s="31"/>
      <c r="AO67" s="31"/>
    </row>
    <row r="68" spans="1:41" x14ac:dyDescent="0.35">
      <c r="A68" s="184" t="s">
        <v>151</v>
      </c>
      <c r="B68" s="184"/>
      <c r="C68" s="78"/>
      <c r="D68" s="78"/>
      <c r="E68" s="78"/>
      <c r="F68" s="78"/>
      <c r="G68" s="78"/>
      <c r="H68" s="78"/>
      <c r="I68" s="78">
        <v>148179.37265999999</v>
      </c>
      <c r="J68" s="78">
        <v>147438.47579669999</v>
      </c>
      <c r="K68" s="78">
        <v>146701.28341771651</v>
      </c>
      <c r="L68" s="78">
        <v>145967.77700062795</v>
      </c>
      <c r="M68" s="78">
        <v>145237.9381156248</v>
      </c>
      <c r="N68" s="78">
        <v>144511.74842504668</v>
      </c>
      <c r="O68" s="78">
        <v>143789.18968292145</v>
      </c>
      <c r="P68" s="78">
        <v>143070.24373450683</v>
      </c>
      <c r="Q68" s="78">
        <v>142354.8925158343</v>
      </c>
      <c r="R68" s="78">
        <v>141643.11805325511</v>
      </c>
      <c r="S68" s="78">
        <v>140934.90246298886</v>
      </c>
      <c r="T68" s="78">
        <v>140230.2279506739</v>
      </c>
      <c r="U68" s="78">
        <v>139529.07681092052</v>
      </c>
      <c r="W68" s="31"/>
      <c r="X68" s="31"/>
      <c r="Y68" s="31"/>
      <c r="Z68" s="31"/>
      <c r="AA68" s="31"/>
      <c r="AB68" s="31"/>
      <c r="AC68" s="31"/>
      <c r="AD68" s="31"/>
      <c r="AE68" s="31"/>
      <c r="AF68" s="31"/>
      <c r="AG68" s="31"/>
      <c r="AH68" s="31"/>
      <c r="AI68" s="31"/>
      <c r="AJ68" s="31"/>
      <c r="AK68" s="31"/>
      <c r="AL68" s="31"/>
      <c r="AM68" s="31"/>
      <c r="AN68" s="31"/>
      <c r="AO68" s="31"/>
    </row>
    <row r="69" spans="1:41" x14ac:dyDescent="0.35">
      <c r="A69" s="184" t="s">
        <v>155</v>
      </c>
      <c r="B69" s="184"/>
      <c r="C69" s="78"/>
      <c r="D69" s="78"/>
      <c r="E69" s="78"/>
      <c r="F69" s="78"/>
      <c r="G69" s="78"/>
      <c r="H69" s="78"/>
      <c r="I69" s="78">
        <v>0</v>
      </c>
      <c r="J69" s="78">
        <v>49393.124220000005</v>
      </c>
      <c r="K69" s="78">
        <v>49146.158598900001</v>
      </c>
      <c r="L69" s="78">
        <v>48900.4278059055</v>
      </c>
      <c r="M69" s="78">
        <v>48655.92566687597</v>
      </c>
      <c r="N69" s="78">
        <v>48412.646038541592</v>
      </c>
      <c r="O69" s="78">
        <v>48170.582808348889</v>
      </c>
      <c r="P69" s="78">
        <v>47929.729894307144</v>
      </c>
      <c r="Q69" s="78">
        <v>47690.081244835608</v>
      </c>
      <c r="R69" s="78">
        <v>47451.630838611432</v>
      </c>
      <c r="S69" s="78">
        <v>47214.372684418369</v>
      </c>
      <c r="T69" s="78">
        <v>46978.300820996279</v>
      </c>
      <c r="U69" s="78">
        <v>46743.409316891295</v>
      </c>
      <c r="W69" s="31"/>
      <c r="X69" s="31"/>
      <c r="Y69" s="31"/>
      <c r="Z69" s="31"/>
      <c r="AA69" s="31"/>
      <c r="AB69" s="31"/>
      <c r="AC69" s="31"/>
      <c r="AD69" s="31"/>
      <c r="AE69" s="31"/>
      <c r="AF69" s="31"/>
      <c r="AG69" s="31"/>
      <c r="AH69" s="31"/>
      <c r="AI69" s="31"/>
      <c r="AJ69" s="31"/>
      <c r="AK69" s="31"/>
      <c r="AL69" s="31"/>
      <c r="AM69" s="31"/>
      <c r="AN69" s="31"/>
      <c r="AO69" s="31"/>
    </row>
    <row r="70" spans="1:41" x14ac:dyDescent="0.35">
      <c r="A70" s="12" t="s">
        <v>158</v>
      </c>
      <c r="B70" s="12"/>
      <c r="C70" s="78"/>
      <c r="D70" s="78"/>
      <c r="E70" s="78"/>
      <c r="F70" s="78"/>
      <c r="G70" s="78"/>
      <c r="H70" s="78"/>
      <c r="I70" s="78">
        <v>86301.29985067404</v>
      </c>
      <c r="J70" s="78">
        <v>85869.793351420667</v>
      </c>
      <c r="K70" s="78">
        <v>85440.44438466357</v>
      </c>
      <c r="L70" s="78">
        <v>85013.242162740251</v>
      </c>
      <c r="M70" s="78">
        <v>84588.175951926562</v>
      </c>
      <c r="N70" s="78">
        <v>84165.235072166921</v>
      </c>
      <c r="O70" s="78">
        <v>83744.408896806068</v>
      </c>
      <c r="P70" s="78">
        <v>83325.686852322047</v>
      </c>
      <c r="Q70" s="78">
        <v>82909.058418060435</v>
      </c>
      <c r="R70" s="78">
        <v>82494.51312597013</v>
      </c>
      <c r="S70" s="78">
        <v>82082.040560340276</v>
      </c>
      <c r="T70" s="78">
        <v>81671.630357538583</v>
      </c>
      <c r="U70" s="78">
        <v>81263.272205750894</v>
      </c>
      <c r="W70" s="31"/>
      <c r="X70" s="31"/>
      <c r="Y70" s="31"/>
      <c r="Z70" s="31"/>
      <c r="AA70" s="31"/>
      <c r="AB70" s="31"/>
      <c r="AC70" s="31"/>
      <c r="AD70" s="31"/>
      <c r="AE70" s="31"/>
      <c r="AF70" s="31"/>
      <c r="AG70" s="31"/>
      <c r="AH70" s="31"/>
      <c r="AI70" s="31"/>
      <c r="AJ70" s="31"/>
      <c r="AK70" s="31"/>
      <c r="AL70" s="31"/>
      <c r="AM70" s="31"/>
      <c r="AN70" s="31"/>
      <c r="AO70" s="31"/>
    </row>
    <row r="71" spans="1:41" x14ac:dyDescent="0.35">
      <c r="A71" s="14" t="s">
        <v>90</v>
      </c>
      <c r="B71" s="14"/>
      <c r="C71" s="79">
        <f t="shared" ref="C71:U71" si="45">SUM(C65:C70)</f>
        <v>0</v>
      </c>
      <c r="D71" s="79">
        <f t="shared" si="45"/>
        <v>0</v>
      </c>
      <c r="E71" s="79">
        <f t="shared" si="45"/>
        <v>0</v>
      </c>
      <c r="F71" s="79">
        <f t="shared" si="45"/>
        <v>0</v>
      </c>
      <c r="G71" s="79">
        <f t="shared" si="45"/>
        <v>0</v>
      </c>
      <c r="H71" s="79">
        <f t="shared" si="45"/>
        <v>0</v>
      </c>
      <c r="I71" s="79">
        <f t="shared" si="45"/>
        <v>569202.00562930212</v>
      </c>
      <c r="J71" s="79">
        <f t="shared" si="45"/>
        <v>912107.86514115555</v>
      </c>
      <c r="K71" s="79">
        <f t="shared" si="45"/>
        <v>907547.32581544982</v>
      </c>
      <c r="L71" s="79">
        <f t="shared" si="45"/>
        <v>903009.58918637258</v>
      </c>
      <c r="M71" s="79">
        <f t="shared" si="45"/>
        <v>898494.54124044091</v>
      </c>
      <c r="N71" s="79">
        <f t="shared" si="45"/>
        <v>894002.0685342385</v>
      </c>
      <c r="O71" s="79">
        <f t="shared" si="45"/>
        <v>889532.05819156743</v>
      </c>
      <c r="P71" s="79">
        <f t="shared" si="45"/>
        <v>885084.39790060953</v>
      </c>
      <c r="Q71" s="79">
        <f t="shared" si="45"/>
        <v>880658.97591110633</v>
      </c>
      <c r="R71" s="79">
        <f t="shared" si="45"/>
        <v>876255.68103155086</v>
      </c>
      <c r="S71" s="79">
        <f t="shared" si="45"/>
        <v>871874.40262639301</v>
      </c>
      <c r="T71" s="79">
        <f t="shared" si="45"/>
        <v>867515.03061326116</v>
      </c>
      <c r="U71" s="79">
        <f t="shared" si="45"/>
        <v>863177.45546019485</v>
      </c>
    </row>
    <row r="73" spans="1:41" ht="15.5" x14ac:dyDescent="0.35">
      <c r="A73" s="77">
        <v>2031</v>
      </c>
      <c r="B73" s="220">
        <v>2024</v>
      </c>
      <c r="C73" s="220">
        <f>C64</f>
        <v>2025</v>
      </c>
      <c r="D73" s="220">
        <f t="shared" ref="D73:U73" si="46">D64</f>
        <v>2026</v>
      </c>
      <c r="E73" s="220">
        <f t="shared" si="46"/>
        <v>2027</v>
      </c>
      <c r="F73" s="220">
        <f t="shared" si="46"/>
        <v>2028</v>
      </c>
      <c r="G73" s="220">
        <f t="shared" si="46"/>
        <v>2029</v>
      </c>
      <c r="H73" s="220">
        <f t="shared" si="46"/>
        <v>2030</v>
      </c>
      <c r="I73" s="220">
        <f t="shared" si="46"/>
        <v>2031</v>
      </c>
      <c r="J73" s="220">
        <f t="shared" si="46"/>
        <v>2032</v>
      </c>
      <c r="K73" s="220">
        <f t="shared" si="46"/>
        <v>2033</v>
      </c>
      <c r="L73" s="220">
        <f t="shared" si="46"/>
        <v>2034</v>
      </c>
      <c r="M73" s="220">
        <f t="shared" si="46"/>
        <v>2035</v>
      </c>
      <c r="N73" s="220">
        <f t="shared" si="46"/>
        <v>2036</v>
      </c>
      <c r="O73" s="220">
        <f t="shared" si="46"/>
        <v>2037</v>
      </c>
      <c r="P73" s="220">
        <f t="shared" si="46"/>
        <v>2038</v>
      </c>
      <c r="Q73" s="220">
        <f t="shared" si="46"/>
        <v>2039</v>
      </c>
      <c r="R73" s="220">
        <f t="shared" si="46"/>
        <v>2040</v>
      </c>
      <c r="S73" s="220">
        <f t="shared" si="46"/>
        <v>2041</v>
      </c>
      <c r="T73" s="220">
        <f t="shared" si="46"/>
        <v>2042</v>
      </c>
      <c r="U73" s="220">
        <f t="shared" si="46"/>
        <v>2043</v>
      </c>
    </row>
    <row r="74" spans="1:41" x14ac:dyDescent="0.35">
      <c r="A74" s="184" t="s">
        <v>131</v>
      </c>
      <c r="B74" s="184"/>
      <c r="C74" s="78"/>
      <c r="D74" s="78"/>
      <c r="E74" s="78"/>
      <c r="F74" s="78"/>
      <c r="G74" s="78"/>
      <c r="H74" s="78"/>
      <c r="I74" s="78"/>
      <c r="J74" s="78">
        <f>I65</f>
        <v>162118.73341727999</v>
      </c>
      <c r="K74" s="78">
        <f t="shared" ref="K74:U74" si="47">J65</f>
        <v>161308.1397501936</v>
      </c>
      <c r="L74" s="78">
        <f t="shared" si="47"/>
        <v>160501.59905144264</v>
      </c>
      <c r="M74" s="78">
        <f t="shared" si="47"/>
        <v>159699.09105618543</v>
      </c>
      <c r="N74" s="78">
        <f t="shared" si="47"/>
        <v>158900.59560090449</v>
      </c>
      <c r="O74" s="78">
        <f t="shared" si="47"/>
        <v>158106.09262289997</v>
      </c>
      <c r="P74" s="78">
        <f t="shared" si="47"/>
        <v>157315.56215978548</v>
      </c>
      <c r="Q74" s="78">
        <f t="shared" si="47"/>
        <v>156528.98434898653</v>
      </c>
      <c r="R74" s="78">
        <f t="shared" si="47"/>
        <v>155746.33942724159</v>
      </c>
      <c r="S74" s="78">
        <f t="shared" si="47"/>
        <v>154967.6077301054</v>
      </c>
      <c r="T74" s="78">
        <f t="shared" si="47"/>
        <v>154192.76969145489</v>
      </c>
      <c r="U74" s="78">
        <f t="shared" si="47"/>
        <v>153421.80584299756</v>
      </c>
    </row>
    <row r="75" spans="1:41" x14ac:dyDescent="0.35">
      <c r="A75" s="184" t="s">
        <v>137</v>
      </c>
      <c r="B75" s="184"/>
      <c r="C75" s="78"/>
      <c r="D75" s="78"/>
      <c r="E75" s="78"/>
      <c r="F75" s="78"/>
      <c r="G75" s="78"/>
      <c r="H75" s="78"/>
      <c r="I75" s="78"/>
      <c r="J75" s="78">
        <f t="shared" ref="J75:U75" si="48">I66</f>
        <v>172602.59970134808</v>
      </c>
      <c r="K75" s="78">
        <f t="shared" si="48"/>
        <v>171739.58670284133</v>
      </c>
      <c r="L75" s="78">
        <f t="shared" si="48"/>
        <v>170880.88876932714</v>
      </c>
      <c r="M75" s="78">
        <f t="shared" si="48"/>
        <v>170026.4843254805</v>
      </c>
      <c r="N75" s="78">
        <f t="shared" si="48"/>
        <v>169176.35190385312</v>
      </c>
      <c r="O75" s="78">
        <f t="shared" si="48"/>
        <v>168330.47014433384</v>
      </c>
      <c r="P75" s="78">
        <f t="shared" si="48"/>
        <v>167488.81779361214</v>
      </c>
      <c r="Q75" s="78">
        <f t="shared" si="48"/>
        <v>166651.37370464409</v>
      </c>
      <c r="R75" s="78">
        <f t="shared" si="48"/>
        <v>165818.11683612087</v>
      </c>
      <c r="S75" s="78">
        <f t="shared" si="48"/>
        <v>164989.02625194026</v>
      </c>
      <c r="T75" s="78">
        <f t="shared" si="48"/>
        <v>164164.08112068055</v>
      </c>
      <c r="U75" s="78">
        <f t="shared" si="48"/>
        <v>163343.26071507717</v>
      </c>
    </row>
    <row r="76" spans="1:41" x14ac:dyDescent="0.35">
      <c r="A76" s="184" t="s">
        <v>146</v>
      </c>
      <c r="B76" s="184"/>
      <c r="C76" s="78"/>
      <c r="D76" s="78"/>
      <c r="E76" s="78"/>
      <c r="F76" s="78"/>
      <c r="G76" s="78"/>
      <c r="H76" s="78"/>
      <c r="I76" s="78"/>
      <c r="J76" s="78">
        <f t="shared" ref="J76:U76" si="49">I67</f>
        <v>0</v>
      </c>
      <c r="K76" s="78">
        <f t="shared" si="49"/>
        <v>296358.74531999999</v>
      </c>
      <c r="L76" s="78">
        <f t="shared" si="49"/>
        <v>294876.95159339998</v>
      </c>
      <c r="M76" s="78">
        <f t="shared" si="49"/>
        <v>293402.56683543301</v>
      </c>
      <c r="N76" s="78">
        <f t="shared" si="49"/>
        <v>291935.55400125583</v>
      </c>
      <c r="O76" s="78">
        <f t="shared" si="49"/>
        <v>290475.87623124954</v>
      </c>
      <c r="P76" s="78">
        <f t="shared" si="49"/>
        <v>289023.4968500933</v>
      </c>
      <c r="Q76" s="78">
        <f t="shared" si="49"/>
        <v>287578.37936584279</v>
      </c>
      <c r="R76" s="78">
        <f t="shared" si="49"/>
        <v>286140.48746901361</v>
      </c>
      <c r="S76" s="78">
        <f t="shared" si="49"/>
        <v>284709.78503166855</v>
      </c>
      <c r="T76" s="78">
        <f t="shared" si="49"/>
        <v>283286.23610651016</v>
      </c>
      <c r="U76" s="78">
        <f t="shared" si="49"/>
        <v>281869.8049259776</v>
      </c>
    </row>
    <row r="77" spans="1:41" x14ac:dyDescent="0.35">
      <c r="A77" s="184" t="s">
        <v>151</v>
      </c>
      <c r="B77" s="184"/>
      <c r="C77" s="78"/>
      <c r="D77" s="78"/>
      <c r="E77" s="78"/>
      <c r="F77" s="78"/>
      <c r="G77" s="78"/>
      <c r="H77" s="78"/>
      <c r="I77" s="78"/>
      <c r="J77" s="78">
        <f t="shared" ref="J77:U77" si="50">I68</f>
        <v>148179.37265999999</v>
      </c>
      <c r="K77" s="78">
        <f t="shared" si="50"/>
        <v>147438.47579669999</v>
      </c>
      <c r="L77" s="78">
        <f t="shared" si="50"/>
        <v>146701.28341771651</v>
      </c>
      <c r="M77" s="78">
        <f t="shared" si="50"/>
        <v>145967.77700062795</v>
      </c>
      <c r="N77" s="78">
        <f t="shared" si="50"/>
        <v>145237.9381156248</v>
      </c>
      <c r="O77" s="78">
        <f t="shared" si="50"/>
        <v>144511.74842504668</v>
      </c>
      <c r="P77" s="78">
        <f t="shared" si="50"/>
        <v>143789.18968292145</v>
      </c>
      <c r="Q77" s="78">
        <f t="shared" si="50"/>
        <v>143070.24373450683</v>
      </c>
      <c r="R77" s="78">
        <f t="shared" si="50"/>
        <v>142354.8925158343</v>
      </c>
      <c r="S77" s="78">
        <f t="shared" si="50"/>
        <v>141643.11805325511</v>
      </c>
      <c r="T77" s="78">
        <f t="shared" si="50"/>
        <v>140934.90246298886</v>
      </c>
      <c r="U77" s="78">
        <f t="shared" si="50"/>
        <v>140230.2279506739</v>
      </c>
    </row>
    <row r="78" spans="1:41" x14ac:dyDescent="0.35">
      <c r="A78" s="184" t="s">
        <v>155</v>
      </c>
      <c r="B78" s="184"/>
      <c r="C78" s="78"/>
      <c r="D78" s="78"/>
      <c r="E78" s="78"/>
      <c r="F78" s="78"/>
      <c r="G78" s="78"/>
      <c r="H78" s="78"/>
      <c r="I78" s="78"/>
      <c r="J78" s="78">
        <f t="shared" ref="J78:U78" si="51">I69</f>
        <v>0</v>
      </c>
      <c r="K78" s="78">
        <f t="shared" si="51"/>
        <v>49393.124220000005</v>
      </c>
      <c r="L78" s="78">
        <f t="shared" si="51"/>
        <v>49146.158598900001</v>
      </c>
      <c r="M78" s="78">
        <f t="shared" si="51"/>
        <v>48900.4278059055</v>
      </c>
      <c r="N78" s="78">
        <f t="shared" si="51"/>
        <v>48655.92566687597</v>
      </c>
      <c r="O78" s="78">
        <f t="shared" si="51"/>
        <v>48412.646038541592</v>
      </c>
      <c r="P78" s="78">
        <f t="shared" si="51"/>
        <v>48170.582808348889</v>
      </c>
      <c r="Q78" s="78">
        <f t="shared" si="51"/>
        <v>47929.729894307144</v>
      </c>
      <c r="R78" s="78">
        <f t="shared" si="51"/>
        <v>47690.081244835608</v>
      </c>
      <c r="S78" s="78">
        <f t="shared" si="51"/>
        <v>47451.630838611432</v>
      </c>
      <c r="T78" s="78">
        <f t="shared" si="51"/>
        <v>47214.372684418369</v>
      </c>
      <c r="U78" s="78">
        <f t="shared" si="51"/>
        <v>46978.300820996279</v>
      </c>
    </row>
    <row r="79" spans="1:41" x14ac:dyDescent="0.35">
      <c r="A79" s="12" t="s">
        <v>158</v>
      </c>
      <c r="B79" s="12"/>
      <c r="C79" s="78"/>
      <c r="D79" s="78"/>
      <c r="E79" s="78"/>
      <c r="F79" s="78"/>
      <c r="G79" s="78"/>
      <c r="H79" s="78"/>
      <c r="I79" s="78"/>
      <c r="J79" s="78">
        <f t="shared" ref="J79:U79" si="52">I70</f>
        <v>86301.29985067404</v>
      </c>
      <c r="K79" s="78">
        <f t="shared" si="52"/>
        <v>85869.793351420667</v>
      </c>
      <c r="L79" s="78">
        <f t="shared" si="52"/>
        <v>85440.44438466357</v>
      </c>
      <c r="M79" s="78">
        <f t="shared" si="52"/>
        <v>85013.242162740251</v>
      </c>
      <c r="N79" s="78">
        <f t="shared" si="52"/>
        <v>84588.175951926562</v>
      </c>
      <c r="O79" s="78">
        <f t="shared" si="52"/>
        <v>84165.235072166921</v>
      </c>
      <c r="P79" s="78">
        <f t="shared" si="52"/>
        <v>83744.408896806068</v>
      </c>
      <c r="Q79" s="78">
        <f t="shared" si="52"/>
        <v>83325.686852322047</v>
      </c>
      <c r="R79" s="78">
        <f t="shared" si="52"/>
        <v>82909.058418060435</v>
      </c>
      <c r="S79" s="78">
        <f t="shared" si="52"/>
        <v>82494.51312597013</v>
      </c>
      <c r="T79" s="78">
        <f t="shared" si="52"/>
        <v>82082.040560340276</v>
      </c>
      <c r="U79" s="78">
        <f t="shared" si="52"/>
        <v>81671.630357538583</v>
      </c>
    </row>
    <row r="80" spans="1:41" x14ac:dyDescent="0.35">
      <c r="A80" s="14" t="s">
        <v>90</v>
      </c>
      <c r="B80" s="14"/>
      <c r="C80" s="79">
        <f t="shared" ref="C80:U80" si="53">SUM(C74:C79)</f>
        <v>0</v>
      </c>
      <c r="D80" s="79">
        <f t="shared" si="53"/>
        <v>0</v>
      </c>
      <c r="E80" s="79">
        <f t="shared" si="53"/>
        <v>0</v>
      </c>
      <c r="F80" s="79">
        <f t="shared" si="53"/>
        <v>0</v>
      </c>
      <c r="G80" s="79">
        <f t="shared" si="53"/>
        <v>0</v>
      </c>
      <c r="H80" s="79">
        <f t="shared" si="53"/>
        <v>0</v>
      </c>
      <c r="I80" s="79">
        <f t="shared" si="53"/>
        <v>0</v>
      </c>
      <c r="J80" s="79">
        <f t="shared" si="53"/>
        <v>569202.00562930212</v>
      </c>
      <c r="K80" s="79">
        <f t="shared" si="53"/>
        <v>912107.86514115555</v>
      </c>
      <c r="L80" s="79">
        <f t="shared" si="53"/>
        <v>907547.32581544982</v>
      </c>
      <c r="M80" s="79">
        <f t="shared" si="53"/>
        <v>903009.58918637258</v>
      </c>
      <c r="N80" s="79">
        <f t="shared" si="53"/>
        <v>898494.54124044091</v>
      </c>
      <c r="O80" s="79">
        <f t="shared" si="53"/>
        <v>894002.0685342385</v>
      </c>
      <c r="P80" s="79">
        <f t="shared" si="53"/>
        <v>889532.05819156743</v>
      </c>
      <c r="Q80" s="79">
        <f t="shared" si="53"/>
        <v>885084.39790060953</v>
      </c>
      <c r="R80" s="79">
        <f t="shared" si="53"/>
        <v>880658.97591110633</v>
      </c>
      <c r="S80" s="79">
        <f t="shared" si="53"/>
        <v>876255.68103155086</v>
      </c>
      <c r="T80" s="79">
        <f t="shared" si="53"/>
        <v>871874.40262639301</v>
      </c>
      <c r="U80" s="79">
        <f t="shared" si="53"/>
        <v>867515.03061326116</v>
      </c>
    </row>
    <row r="82" spans="1:21" ht="15.5" x14ac:dyDescent="0.35">
      <c r="A82" s="77">
        <v>2032</v>
      </c>
      <c r="B82" s="220">
        <v>2024</v>
      </c>
      <c r="C82" s="220">
        <f>C73</f>
        <v>2025</v>
      </c>
      <c r="D82" s="220">
        <f t="shared" ref="D82:U82" si="54">D73</f>
        <v>2026</v>
      </c>
      <c r="E82" s="220">
        <f t="shared" si="54"/>
        <v>2027</v>
      </c>
      <c r="F82" s="220">
        <f t="shared" si="54"/>
        <v>2028</v>
      </c>
      <c r="G82" s="220">
        <f t="shared" si="54"/>
        <v>2029</v>
      </c>
      <c r="H82" s="220">
        <f t="shared" si="54"/>
        <v>2030</v>
      </c>
      <c r="I82" s="220">
        <f t="shared" si="54"/>
        <v>2031</v>
      </c>
      <c r="J82" s="220">
        <f t="shared" si="54"/>
        <v>2032</v>
      </c>
      <c r="K82" s="220">
        <f t="shared" si="54"/>
        <v>2033</v>
      </c>
      <c r="L82" s="220">
        <f t="shared" si="54"/>
        <v>2034</v>
      </c>
      <c r="M82" s="220">
        <f t="shared" si="54"/>
        <v>2035</v>
      </c>
      <c r="N82" s="220">
        <f t="shared" si="54"/>
        <v>2036</v>
      </c>
      <c r="O82" s="220">
        <f t="shared" si="54"/>
        <v>2037</v>
      </c>
      <c r="P82" s="220">
        <f t="shared" si="54"/>
        <v>2038</v>
      </c>
      <c r="Q82" s="220">
        <f t="shared" si="54"/>
        <v>2039</v>
      </c>
      <c r="R82" s="220">
        <f t="shared" si="54"/>
        <v>2040</v>
      </c>
      <c r="S82" s="220">
        <f t="shared" si="54"/>
        <v>2041</v>
      </c>
      <c r="T82" s="220">
        <f t="shared" si="54"/>
        <v>2042</v>
      </c>
      <c r="U82" s="220">
        <f t="shared" si="54"/>
        <v>2043</v>
      </c>
    </row>
    <row r="83" spans="1:21" x14ac:dyDescent="0.35">
      <c r="A83" s="184" t="s">
        <v>131</v>
      </c>
      <c r="B83" s="184"/>
      <c r="C83" s="78"/>
      <c r="D83" s="78"/>
      <c r="E83" s="78"/>
      <c r="F83" s="78"/>
      <c r="G83" s="78"/>
      <c r="H83" s="78"/>
      <c r="I83" s="78"/>
      <c r="J83" s="78"/>
      <c r="K83" s="78">
        <f t="shared" ref="K83:U83" si="55">J74</f>
        <v>162118.73341727999</v>
      </c>
      <c r="L83" s="78">
        <f t="shared" si="55"/>
        <v>161308.1397501936</v>
      </c>
      <c r="M83" s="78">
        <f t="shared" si="55"/>
        <v>160501.59905144264</v>
      </c>
      <c r="N83" s="78">
        <f t="shared" si="55"/>
        <v>159699.09105618543</v>
      </c>
      <c r="O83" s="78">
        <f t="shared" si="55"/>
        <v>158900.59560090449</v>
      </c>
      <c r="P83" s="78">
        <f t="shared" si="55"/>
        <v>158106.09262289997</v>
      </c>
      <c r="Q83" s="78">
        <f t="shared" si="55"/>
        <v>157315.56215978548</v>
      </c>
      <c r="R83" s="78">
        <f t="shared" si="55"/>
        <v>156528.98434898653</v>
      </c>
      <c r="S83" s="78">
        <f t="shared" si="55"/>
        <v>155746.33942724159</v>
      </c>
      <c r="T83" s="78">
        <f t="shared" si="55"/>
        <v>154967.6077301054</v>
      </c>
      <c r="U83" s="78">
        <f t="shared" si="55"/>
        <v>154192.76969145489</v>
      </c>
    </row>
    <row r="84" spans="1:21" x14ac:dyDescent="0.35">
      <c r="A84" s="184" t="s">
        <v>137</v>
      </c>
      <c r="B84" s="184"/>
      <c r="C84" s="78"/>
      <c r="D84" s="78"/>
      <c r="E84" s="78"/>
      <c r="F84" s="78"/>
      <c r="G84" s="78"/>
      <c r="H84" s="78"/>
      <c r="I84" s="78"/>
      <c r="J84" s="78"/>
      <c r="K84" s="78">
        <f t="shared" ref="K84:U84" si="56">J75</f>
        <v>172602.59970134808</v>
      </c>
      <c r="L84" s="78">
        <f t="shared" si="56"/>
        <v>171739.58670284133</v>
      </c>
      <c r="M84" s="78">
        <f t="shared" si="56"/>
        <v>170880.88876932714</v>
      </c>
      <c r="N84" s="78">
        <f t="shared" si="56"/>
        <v>170026.4843254805</v>
      </c>
      <c r="O84" s="78">
        <f t="shared" si="56"/>
        <v>169176.35190385312</v>
      </c>
      <c r="P84" s="78">
        <f t="shared" si="56"/>
        <v>168330.47014433384</v>
      </c>
      <c r="Q84" s="78">
        <f t="shared" si="56"/>
        <v>167488.81779361214</v>
      </c>
      <c r="R84" s="78">
        <f t="shared" si="56"/>
        <v>166651.37370464409</v>
      </c>
      <c r="S84" s="78">
        <f t="shared" si="56"/>
        <v>165818.11683612087</v>
      </c>
      <c r="T84" s="78">
        <f t="shared" si="56"/>
        <v>164989.02625194026</v>
      </c>
      <c r="U84" s="78">
        <f t="shared" si="56"/>
        <v>164164.08112068055</v>
      </c>
    </row>
    <row r="85" spans="1:21" x14ac:dyDescent="0.35">
      <c r="A85" s="184" t="s">
        <v>146</v>
      </c>
      <c r="B85" s="184"/>
      <c r="C85" s="78"/>
      <c r="D85" s="78"/>
      <c r="E85" s="78"/>
      <c r="F85" s="78"/>
      <c r="G85" s="78"/>
      <c r="H85" s="78"/>
      <c r="I85" s="78"/>
      <c r="J85" s="78"/>
      <c r="K85" s="78">
        <f t="shared" ref="K85:U85" si="57">J76</f>
        <v>0</v>
      </c>
      <c r="L85" s="78">
        <f t="shared" si="57"/>
        <v>296358.74531999999</v>
      </c>
      <c r="M85" s="78">
        <f t="shared" si="57"/>
        <v>294876.95159339998</v>
      </c>
      <c r="N85" s="78">
        <f t="shared" si="57"/>
        <v>293402.56683543301</v>
      </c>
      <c r="O85" s="78">
        <f t="shared" si="57"/>
        <v>291935.55400125583</v>
      </c>
      <c r="P85" s="78">
        <f t="shared" si="57"/>
        <v>290475.87623124954</v>
      </c>
      <c r="Q85" s="78">
        <f t="shared" si="57"/>
        <v>289023.4968500933</v>
      </c>
      <c r="R85" s="78">
        <f t="shared" si="57"/>
        <v>287578.37936584279</v>
      </c>
      <c r="S85" s="78">
        <f t="shared" si="57"/>
        <v>286140.48746901361</v>
      </c>
      <c r="T85" s="78">
        <f t="shared" si="57"/>
        <v>284709.78503166855</v>
      </c>
      <c r="U85" s="78">
        <f t="shared" si="57"/>
        <v>283286.23610651016</v>
      </c>
    </row>
    <row r="86" spans="1:21" x14ac:dyDescent="0.35">
      <c r="A86" s="184" t="s">
        <v>151</v>
      </c>
      <c r="B86" s="184"/>
      <c r="C86" s="78"/>
      <c r="D86" s="78"/>
      <c r="E86" s="78"/>
      <c r="F86" s="78"/>
      <c r="G86" s="78"/>
      <c r="H86" s="78"/>
      <c r="I86" s="78"/>
      <c r="J86" s="78"/>
      <c r="K86" s="78">
        <f t="shared" ref="K86:U86" si="58">J77</f>
        <v>148179.37265999999</v>
      </c>
      <c r="L86" s="78">
        <f t="shared" si="58"/>
        <v>147438.47579669999</v>
      </c>
      <c r="M86" s="78">
        <f t="shared" si="58"/>
        <v>146701.28341771651</v>
      </c>
      <c r="N86" s="78">
        <f t="shared" si="58"/>
        <v>145967.77700062795</v>
      </c>
      <c r="O86" s="78">
        <f t="shared" si="58"/>
        <v>145237.9381156248</v>
      </c>
      <c r="P86" s="78">
        <f t="shared" si="58"/>
        <v>144511.74842504668</v>
      </c>
      <c r="Q86" s="78">
        <f t="shared" si="58"/>
        <v>143789.18968292145</v>
      </c>
      <c r="R86" s="78">
        <f t="shared" si="58"/>
        <v>143070.24373450683</v>
      </c>
      <c r="S86" s="78">
        <f t="shared" si="58"/>
        <v>142354.8925158343</v>
      </c>
      <c r="T86" s="78">
        <f t="shared" si="58"/>
        <v>141643.11805325511</v>
      </c>
      <c r="U86" s="78">
        <f t="shared" si="58"/>
        <v>140934.90246298886</v>
      </c>
    </row>
    <row r="87" spans="1:21" x14ac:dyDescent="0.35">
      <c r="A87" s="184" t="s">
        <v>155</v>
      </c>
      <c r="B87" s="184"/>
      <c r="C87" s="78"/>
      <c r="D87" s="78"/>
      <c r="E87" s="78"/>
      <c r="F87" s="78"/>
      <c r="G87" s="78"/>
      <c r="H87" s="78"/>
      <c r="I87" s="78"/>
      <c r="J87" s="78"/>
      <c r="K87" s="78">
        <f t="shared" ref="K87:U87" si="59">J78</f>
        <v>0</v>
      </c>
      <c r="L87" s="78">
        <f t="shared" si="59"/>
        <v>49393.124220000005</v>
      </c>
      <c r="M87" s="78">
        <f t="shared" si="59"/>
        <v>49146.158598900001</v>
      </c>
      <c r="N87" s="78">
        <f t="shared" si="59"/>
        <v>48900.4278059055</v>
      </c>
      <c r="O87" s="78">
        <f t="shared" si="59"/>
        <v>48655.92566687597</v>
      </c>
      <c r="P87" s="78">
        <f t="shared" si="59"/>
        <v>48412.646038541592</v>
      </c>
      <c r="Q87" s="78">
        <f t="shared" si="59"/>
        <v>48170.582808348889</v>
      </c>
      <c r="R87" s="78">
        <f t="shared" si="59"/>
        <v>47929.729894307144</v>
      </c>
      <c r="S87" s="78">
        <f t="shared" si="59"/>
        <v>47690.081244835608</v>
      </c>
      <c r="T87" s="78">
        <f t="shared" si="59"/>
        <v>47451.630838611432</v>
      </c>
      <c r="U87" s="78">
        <f t="shared" si="59"/>
        <v>47214.372684418369</v>
      </c>
    </row>
    <row r="88" spans="1:21" x14ac:dyDescent="0.35">
      <c r="A88" s="12" t="s">
        <v>158</v>
      </c>
      <c r="B88" s="12"/>
      <c r="C88" s="78"/>
      <c r="D88" s="78"/>
      <c r="E88" s="78"/>
      <c r="F88" s="78"/>
      <c r="G88" s="78"/>
      <c r="H88" s="78"/>
      <c r="I88" s="78"/>
      <c r="J88" s="78"/>
      <c r="K88" s="78">
        <f t="shared" ref="K88:U88" si="60">J79</f>
        <v>86301.29985067404</v>
      </c>
      <c r="L88" s="78">
        <f t="shared" si="60"/>
        <v>85869.793351420667</v>
      </c>
      <c r="M88" s="78">
        <f t="shared" si="60"/>
        <v>85440.44438466357</v>
      </c>
      <c r="N88" s="78">
        <f t="shared" si="60"/>
        <v>85013.242162740251</v>
      </c>
      <c r="O88" s="78">
        <f t="shared" si="60"/>
        <v>84588.175951926562</v>
      </c>
      <c r="P88" s="78">
        <f t="shared" si="60"/>
        <v>84165.235072166921</v>
      </c>
      <c r="Q88" s="78">
        <f t="shared" si="60"/>
        <v>83744.408896806068</v>
      </c>
      <c r="R88" s="78">
        <f t="shared" si="60"/>
        <v>83325.686852322047</v>
      </c>
      <c r="S88" s="78">
        <f t="shared" si="60"/>
        <v>82909.058418060435</v>
      </c>
      <c r="T88" s="78">
        <f t="shared" si="60"/>
        <v>82494.51312597013</v>
      </c>
      <c r="U88" s="78">
        <f t="shared" si="60"/>
        <v>82082.040560340276</v>
      </c>
    </row>
    <row r="89" spans="1:21" x14ac:dyDescent="0.35">
      <c r="A89" s="14" t="s">
        <v>90</v>
      </c>
      <c r="B89" s="14"/>
      <c r="C89" s="79">
        <f t="shared" ref="C89:U89" si="61">SUM(C83:C88)</f>
        <v>0</v>
      </c>
      <c r="D89" s="79">
        <f t="shared" si="61"/>
        <v>0</v>
      </c>
      <c r="E89" s="79">
        <f t="shared" si="61"/>
        <v>0</v>
      </c>
      <c r="F89" s="79">
        <f t="shared" si="61"/>
        <v>0</v>
      </c>
      <c r="G89" s="79">
        <f t="shared" si="61"/>
        <v>0</v>
      </c>
      <c r="H89" s="79">
        <f t="shared" si="61"/>
        <v>0</v>
      </c>
      <c r="I89" s="79">
        <f t="shared" si="61"/>
        <v>0</v>
      </c>
      <c r="J89" s="79">
        <f t="shared" si="61"/>
        <v>0</v>
      </c>
      <c r="K89" s="79">
        <f t="shared" si="61"/>
        <v>569202.00562930212</v>
      </c>
      <c r="L89" s="79">
        <f t="shared" si="61"/>
        <v>912107.86514115555</v>
      </c>
      <c r="M89" s="79">
        <f t="shared" si="61"/>
        <v>907547.32581544982</v>
      </c>
      <c r="N89" s="79">
        <f t="shared" si="61"/>
        <v>903009.58918637258</v>
      </c>
      <c r="O89" s="79">
        <f t="shared" si="61"/>
        <v>898494.54124044091</v>
      </c>
      <c r="P89" s="79">
        <f t="shared" si="61"/>
        <v>894002.0685342385</v>
      </c>
      <c r="Q89" s="79">
        <f t="shared" si="61"/>
        <v>889532.05819156743</v>
      </c>
      <c r="R89" s="79">
        <f t="shared" si="61"/>
        <v>885084.39790060953</v>
      </c>
      <c r="S89" s="79">
        <f t="shared" si="61"/>
        <v>880658.97591110633</v>
      </c>
      <c r="T89" s="79">
        <f t="shared" si="61"/>
        <v>876255.68103155086</v>
      </c>
      <c r="U89" s="79">
        <f t="shared" si="61"/>
        <v>871874.40262639301</v>
      </c>
    </row>
    <row r="91" spans="1:21" ht="15.5" x14ac:dyDescent="0.35">
      <c r="A91" s="77">
        <v>2033</v>
      </c>
      <c r="B91" s="220">
        <v>2024</v>
      </c>
      <c r="C91" s="220">
        <f>C82</f>
        <v>2025</v>
      </c>
      <c r="D91" s="220">
        <f t="shared" ref="D91:U91" si="62">D82</f>
        <v>2026</v>
      </c>
      <c r="E91" s="220">
        <f t="shared" si="62"/>
        <v>2027</v>
      </c>
      <c r="F91" s="220">
        <f t="shared" si="62"/>
        <v>2028</v>
      </c>
      <c r="G91" s="220">
        <f t="shared" si="62"/>
        <v>2029</v>
      </c>
      <c r="H91" s="220">
        <f t="shared" si="62"/>
        <v>2030</v>
      </c>
      <c r="I91" s="220">
        <f t="shared" si="62"/>
        <v>2031</v>
      </c>
      <c r="J91" s="220">
        <f t="shared" si="62"/>
        <v>2032</v>
      </c>
      <c r="K91" s="220">
        <f t="shared" si="62"/>
        <v>2033</v>
      </c>
      <c r="L91" s="220">
        <f t="shared" si="62"/>
        <v>2034</v>
      </c>
      <c r="M91" s="220">
        <f t="shared" si="62"/>
        <v>2035</v>
      </c>
      <c r="N91" s="220">
        <f t="shared" si="62"/>
        <v>2036</v>
      </c>
      <c r="O91" s="220">
        <f t="shared" si="62"/>
        <v>2037</v>
      </c>
      <c r="P91" s="220">
        <f t="shared" si="62"/>
        <v>2038</v>
      </c>
      <c r="Q91" s="220">
        <f t="shared" si="62"/>
        <v>2039</v>
      </c>
      <c r="R91" s="220">
        <f t="shared" si="62"/>
        <v>2040</v>
      </c>
      <c r="S91" s="220">
        <f t="shared" si="62"/>
        <v>2041</v>
      </c>
      <c r="T91" s="220">
        <f t="shared" si="62"/>
        <v>2042</v>
      </c>
      <c r="U91" s="220">
        <f t="shared" si="62"/>
        <v>2043</v>
      </c>
    </row>
    <row r="92" spans="1:21" x14ac:dyDescent="0.35">
      <c r="A92" s="184" t="s">
        <v>131</v>
      </c>
      <c r="B92" s="184"/>
      <c r="C92" s="78"/>
      <c r="D92" s="78"/>
      <c r="E92" s="78"/>
      <c r="F92" s="78"/>
      <c r="G92" s="78"/>
      <c r="H92" s="78"/>
      <c r="I92" s="78"/>
      <c r="J92" s="78"/>
      <c r="K92" s="78"/>
      <c r="L92" s="78">
        <f t="shared" ref="L92:U92" si="63">K83/2</f>
        <v>81059.366708639995</v>
      </c>
      <c r="M92" s="78">
        <f t="shared" si="63"/>
        <v>80654.0698750968</v>
      </c>
      <c r="N92" s="78">
        <f t="shared" si="63"/>
        <v>80250.799525721319</v>
      </c>
      <c r="O92" s="78">
        <f t="shared" si="63"/>
        <v>79849.545528092713</v>
      </c>
      <c r="P92" s="78">
        <f t="shared" si="63"/>
        <v>79450.297800452245</v>
      </c>
      <c r="Q92" s="78">
        <f t="shared" si="63"/>
        <v>79053.046311449987</v>
      </c>
      <c r="R92" s="78">
        <f t="shared" si="63"/>
        <v>78657.781079892738</v>
      </c>
      <c r="S92" s="78">
        <f t="shared" si="63"/>
        <v>78264.492174493265</v>
      </c>
      <c r="T92" s="78">
        <f t="shared" si="63"/>
        <v>77873.169713620795</v>
      </c>
      <c r="U92" s="78">
        <f t="shared" si="63"/>
        <v>77483.803865052701</v>
      </c>
    </row>
    <row r="93" spans="1:21" x14ac:dyDescent="0.35">
      <c r="A93" s="184" t="s">
        <v>137</v>
      </c>
      <c r="B93" s="184"/>
      <c r="C93" s="78"/>
      <c r="D93" s="78"/>
      <c r="E93" s="78"/>
      <c r="F93" s="78"/>
      <c r="G93" s="78"/>
      <c r="H93" s="78"/>
      <c r="I93" s="78"/>
      <c r="J93" s="78"/>
      <c r="K93" s="78"/>
      <c r="L93" s="78">
        <f t="shared" ref="L93:U93" si="64">K84/2</f>
        <v>86301.29985067404</v>
      </c>
      <c r="M93" s="78">
        <f t="shared" si="64"/>
        <v>85869.793351420667</v>
      </c>
      <c r="N93" s="78">
        <f t="shared" si="64"/>
        <v>85440.44438466357</v>
      </c>
      <c r="O93" s="78">
        <f t="shared" si="64"/>
        <v>85013.242162740251</v>
      </c>
      <c r="P93" s="78">
        <f t="shared" si="64"/>
        <v>84588.175951926562</v>
      </c>
      <c r="Q93" s="78">
        <f t="shared" si="64"/>
        <v>84165.235072166921</v>
      </c>
      <c r="R93" s="78">
        <f t="shared" si="64"/>
        <v>83744.408896806068</v>
      </c>
      <c r="S93" s="78">
        <f t="shared" si="64"/>
        <v>83325.686852322047</v>
      </c>
      <c r="T93" s="78">
        <f t="shared" si="64"/>
        <v>82909.058418060435</v>
      </c>
      <c r="U93" s="78">
        <f t="shared" si="64"/>
        <v>82494.51312597013</v>
      </c>
    </row>
    <row r="94" spans="1:21" x14ac:dyDescent="0.35">
      <c r="A94" s="184" t="s">
        <v>146</v>
      </c>
      <c r="B94" s="184"/>
      <c r="C94" s="78"/>
      <c r="D94" s="78"/>
      <c r="E94" s="78"/>
      <c r="F94" s="78"/>
      <c r="G94" s="78"/>
      <c r="H94" s="78"/>
      <c r="I94" s="78"/>
      <c r="J94" s="78"/>
      <c r="K94" s="78"/>
      <c r="L94" s="78">
        <f t="shared" ref="L94:U94" si="65">K85/2</f>
        <v>0</v>
      </c>
      <c r="M94" s="78">
        <f t="shared" si="65"/>
        <v>148179.37265999999</v>
      </c>
      <c r="N94" s="78">
        <f t="shared" si="65"/>
        <v>147438.47579669999</v>
      </c>
      <c r="O94" s="78">
        <f t="shared" si="65"/>
        <v>146701.28341771651</v>
      </c>
      <c r="P94" s="78">
        <f t="shared" si="65"/>
        <v>145967.77700062792</v>
      </c>
      <c r="Q94" s="78">
        <f t="shared" si="65"/>
        <v>145237.93811562477</v>
      </c>
      <c r="R94" s="78">
        <f t="shared" si="65"/>
        <v>144511.74842504665</v>
      </c>
      <c r="S94" s="78">
        <f t="shared" si="65"/>
        <v>143789.18968292139</v>
      </c>
      <c r="T94" s="78">
        <f t="shared" si="65"/>
        <v>143070.2437345068</v>
      </c>
      <c r="U94" s="78">
        <f t="shared" si="65"/>
        <v>142354.89251583428</v>
      </c>
    </row>
    <row r="95" spans="1:21" x14ac:dyDescent="0.35">
      <c r="A95" s="184" t="s">
        <v>151</v>
      </c>
      <c r="B95" s="184"/>
      <c r="C95" s="78"/>
      <c r="D95" s="78"/>
      <c r="E95" s="78"/>
      <c r="F95" s="78"/>
      <c r="G95" s="78"/>
      <c r="H95" s="78"/>
      <c r="I95" s="78"/>
      <c r="J95" s="78"/>
      <c r="K95" s="78"/>
      <c r="L95" s="78">
        <f>K86/2</f>
        <v>74089.686329999997</v>
      </c>
      <c r="M95" s="78">
        <f t="shared" ref="M95:U95" si="66">L86/2</f>
        <v>73719.237898349995</v>
      </c>
      <c r="N95" s="78">
        <f t="shared" si="66"/>
        <v>73350.641708858253</v>
      </c>
      <c r="O95" s="78">
        <f t="shared" si="66"/>
        <v>72983.888500313973</v>
      </c>
      <c r="P95" s="78">
        <f t="shared" si="66"/>
        <v>72618.969057812399</v>
      </c>
      <c r="Q95" s="78">
        <f t="shared" si="66"/>
        <v>72255.87421252334</v>
      </c>
      <c r="R95" s="78">
        <f t="shared" si="66"/>
        <v>71894.594841460726</v>
      </c>
      <c r="S95" s="78">
        <f t="shared" si="66"/>
        <v>71535.121867253416</v>
      </c>
      <c r="T95" s="78">
        <f t="shared" si="66"/>
        <v>71177.446257917152</v>
      </c>
      <c r="U95" s="78">
        <f t="shared" si="66"/>
        <v>70821.559026627554</v>
      </c>
    </row>
    <row r="96" spans="1:21" x14ac:dyDescent="0.35">
      <c r="A96" s="184" t="s">
        <v>155</v>
      </c>
      <c r="B96" s="184"/>
      <c r="C96" s="78"/>
      <c r="D96" s="78"/>
      <c r="E96" s="78"/>
      <c r="F96" s="78"/>
      <c r="G96" s="78"/>
      <c r="H96" s="78"/>
      <c r="I96" s="78"/>
      <c r="J96" s="78"/>
      <c r="K96" s="78"/>
      <c r="L96" s="78">
        <f t="shared" ref="L96:U96" si="67">K87/2</f>
        <v>0</v>
      </c>
      <c r="M96" s="78">
        <f t="shared" si="67"/>
        <v>24696.562110000003</v>
      </c>
      <c r="N96" s="78">
        <f t="shared" si="67"/>
        <v>24573.079299450001</v>
      </c>
      <c r="O96" s="78">
        <f t="shared" si="67"/>
        <v>24450.21390295275</v>
      </c>
      <c r="P96" s="78">
        <f t="shared" si="67"/>
        <v>24327.962833437985</v>
      </c>
      <c r="Q96" s="78">
        <f t="shared" si="67"/>
        <v>24206.323019270796</v>
      </c>
      <c r="R96" s="78">
        <f t="shared" si="67"/>
        <v>24085.291404174444</v>
      </c>
      <c r="S96" s="78">
        <f t="shared" si="67"/>
        <v>23964.864947153572</v>
      </c>
      <c r="T96" s="78">
        <f t="shared" si="67"/>
        <v>23845.040622417804</v>
      </c>
      <c r="U96" s="78">
        <f t="shared" si="67"/>
        <v>23725.815419305716</v>
      </c>
    </row>
    <row r="97" spans="1:21" x14ac:dyDescent="0.35">
      <c r="A97" s="12" t="s">
        <v>158</v>
      </c>
      <c r="B97" s="12"/>
      <c r="C97" s="78"/>
      <c r="D97" s="78"/>
      <c r="E97" s="78"/>
      <c r="F97" s="78"/>
      <c r="G97" s="78"/>
      <c r="H97" s="78"/>
      <c r="I97" s="78"/>
      <c r="J97" s="78"/>
      <c r="K97" s="78"/>
      <c r="L97" s="78">
        <f t="shared" ref="L97:U97" si="68">K88/2</f>
        <v>43150.64992533702</v>
      </c>
      <c r="M97" s="78">
        <f t="shared" si="68"/>
        <v>42934.896675710334</v>
      </c>
      <c r="N97" s="78">
        <f t="shared" si="68"/>
        <v>42720.222192331785</v>
      </c>
      <c r="O97" s="78">
        <f t="shared" si="68"/>
        <v>42506.621081370125</v>
      </c>
      <c r="P97" s="78">
        <f t="shared" si="68"/>
        <v>42294.087975963281</v>
      </c>
      <c r="Q97" s="78">
        <f t="shared" si="68"/>
        <v>42082.61753608346</v>
      </c>
      <c r="R97" s="78">
        <f t="shared" si="68"/>
        <v>41872.204448403034</v>
      </c>
      <c r="S97" s="78">
        <f t="shared" si="68"/>
        <v>41662.843426161024</v>
      </c>
      <c r="T97" s="78">
        <f t="shared" si="68"/>
        <v>41454.529209030217</v>
      </c>
      <c r="U97" s="78">
        <f t="shared" si="68"/>
        <v>41247.256562985065</v>
      </c>
    </row>
    <row r="98" spans="1:21" x14ac:dyDescent="0.35">
      <c r="A98" s="14" t="s">
        <v>90</v>
      </c>
      <c r="B98" s="14"/>
      <c r="C98" s="79">
        <f t="shared" ref="C98:U98" si="69">SUM(C92:C97)</f>
        <v>0</v>
      </c>
      <c r="D98" s="79">
        <f t="shared" si="69"/>
        <v>0</v>
      </c>
      <c r="E98" s="79">
        <f t="shared" si="69"/>
        <v>0</v>
      </c>
      <c r="F98" s="79">
        <f t="shared" si="69"/>
        <v>0</v>
      </c>
      <c r="G98" s="79">
        <f t="shared" si="69"/>
        <v>0</v>
      </c>
      <c r="H98" s="79">
        <f t="shared" si="69"/>
        <v>0</v>
      </c>
      <c r="I98" s="79">
        <f t="shared" si="69"/>
        <v>0</v>
      </c>
      <c r="J98" s="79">
        <f t="shared" si="69"/>
        <v>0</v>
      </c>
      <c r="K98" s="79">
        <f t="shared" si="69"/>
        <v>0</v>
      </c>
      <c r="L98" s="79">
        <f t="shared" si="69"/>
        <v>284601.00281465106</v>
      </c>
      <c r="M98" s="79">
        <f t="shared" si="69"/>
        <v>456053.93257057777</v>
      </c>
      <c r="N98" s="79">
        <f t="shared" si="69"/>
        <v>453773.66290772491</v>
      </c>
      <c r="O98" s="79">
        <f t="shared" si="69"/>
        <v>451504.79459318629</v>
      </c>
      <c r="P98" s="79">
        <f t="shared" si="69"/>
        <v>449247.27062022046</v>
      </c>
      <c r="Q98" s="79">
        <f t="shared" si="69"/>
        <v>447001.03426711925</v>
      </c>
      <c r="R98" s="79">
        <f t="shared" si="69"/>
        <v>444766.02909578371</v>
      </c>
      <c r="S98" s="79">
        <f t="shared" si="69"/>
        <v>442542.19895030477</v>
      </c>
      <c r="T98" s="79">
        <f t="shared" si="69"/>
        <v>440329.48795555317</v>
      </c>
      <c r="U98" s="79">
        <f t="shared" si="69"/>
        <v>438127.84051577543</v>
      </c>
    </row>
    <row r="100" spans="1:21" ht="15.5" x14ac:dyDescent="0.35">
      <c r="A100" s="77">
        <v>2034</v>
      </c>
      <c r="B100" s="220">
        <v>2024</v>
      </c>
      <c r="C100" s="220">
        <f>C91</f>
        <v>2025</v>
      </c>
      <c r="D100" s="220">
        <f t="shared" ref="D100:U100" si="70">D91</f>
        <v>2026</v>
      </c>
      <c r="E100" s="220">
        <f t="shared" si="70"/>
        <v>2027</v>
      </c>
      <c r="F100" s="220">
        <f t="shared" si="70"/>
        <v>2028</v>
      </c>
      <c r="G100" s="220">
        <f t="shared" si="70"/>
        <v>2029</v>
      </c>
      <c r="H100" s="220">
        <f t="shared" si="70"/>
        <v>2030</v>
      </c>
      <c r="I100" s="220">
        <f t="shared" si="70"/>
        <v>2031</v>
      </c>
      <c r="J100" s="220">
        <f t="shared" si="70"/>
        <v>2032</v>
      </c>
      <c r="K100" s="220">
        <f t="shared" si="70"/>
        <v>2033</v>
      </c>
      <c r="L100" s="220">
        <f t="shared" si="70"/>
        <v>2034</v>
      </c>
      <c r="M100" s="220">
        <f t="shared" si="70"/>
        <v>2035</v>
      </c>
      <c r="N100" s="220">
        <f t="shared" si="70"/>
        <v>2036</v>
      </c>
      <c r="O100" s="220">
        <f t="shared" si="70"/>
        <v>2037</v>
      </c>
      <c r="P100" s="220">
        <f t="shared" si="70"/>
        <v>2038</v>
      </c>
      <c r="Q100" s="220">
        <f t="shared" si="70"/>
        <v>2039</v>
      </c>
      <c r="R100" s="220">
        <f t="shared" si="70"/>
        <v>2040</v>
      </c>
      <c r="S100" s="220">
        <f t="shared" si="70"/>
        <v>2041</v>
      </c>
      <c r="T100" s="220">
        <f t="shared" si="70"/>
        <v>2042</v>
      </c>
      <c r="U100" s="220">
        <f t="shared" si="70"/>
        <v>2043</v>
      </c>
    </row>
    <row r="101" spans="1:21" x14ac:dyDescent="0.35">
      <c r="A101" s="184" t="s">
        <v>131</v>
      </c>
      <c r="B101" s="184"/>
      <c r="C101" s="78"/>
      <c r="D101" s="78"/>
      <c r="E101" s="78"/>
      <c r="F101" s="78"/>
      <c r="G101" s="78"/>
      <c r="H101" s="78"/>
      <c r="I101" s="78"/>
      <c r="J101" s="78"/>
      <c r="K101" s="78"/>
      <c r="L101" s="78"/>
      <c r="M101" s="78">
        <f t="shared" ref="M101:U101" si="71">L92</f>
        <v>81059.366708639995</v>
      </c>
      <c r="N101" s="78">
        <f t="shared" si="71"/>
        <v>80654.0698750968</v>
      </c>
      <c r="O101" s="78">
        <f t="shared" si="71"/>
        <v>80250.799525721319</v>
      </c>
      <c r="P101" s="78">
        <f t="shared" si="71"/>
        <v>79849.545528092713</v>
      </c>
      <c r="Q101" s="78">
        <f t="shared" si="71"/>
        <v>79450.297800452245</v>
      </c>
      <c r="R101" s="78">
        <f t="shared" si="71"/>
        <v>79053.046311449987</v>
      </c>
      <c r="S101" s="78">
        <f t="shared" si="71"/>
        <v>78657.781079892738</v>
      </c>
      <c r="T101" s="78">
        <f t="shared" si="71"/>
        <v>78264.492174493265</v>
      </c>
      <c r="U101" s="78">
        <f t="shared" si="71"/>
        <v>77873.169713620795</v>
      </c>
    </row>
    <row r="102" spans="1:21" x14ac:dyDescent="0.35">
      <c r="A102" s="184" t="s">
        <v>137</v>
      </c>
      <c r="B102" s="184"/>
      <c r="C102" s="78"/>
      <c r="D102" s="78"/>
      <c r="E102" s="78"/>
      <c r="F102" s="78"/>
      <c r="G102" s="78"/>
      <c r="H102" s="78"/>
      <c r="I102" s="78"/>
      <c r="J102" s="78"/>
      <c r="K102" s="78"/>
      <c r="L102" s="78"/>
      <c r="M102" s="78">
        <f t="shared" ref="M102:U102" si="72">L93</f>
        <v>86301.29985067404</v>
      </c>
      <c r="N102" s="78">
        <f t="shared" si="72"/>
        <v>85869.793351420667</v>
      </c>
      <c r="O102" s="78">
        <f t="shared" si="72"/>
        <v>85440.44438466357</v>
      </c>
      <c r="P102" s="78">
        <f t="shared" si="72"/>
        <v>85013.242162740251</v>
      </c>
      <c r="Q102" s="78">
        <f t="shared" si="72"/>
        <v>84588.175951926562</v>
      </c>
      <c r="R102" s="78">
        <f t="shared" si="72"/>
        <v>84165.235072166921</v>
      </c>
      <c r="S102" s="78">
        <f t="shared" si="72"/>
        <v>83744.408896806068</v>
      </c>
      <c r="T102" s="78">
        <f t="shared" si="72"/>
        <v>83325.686852322047</v>
      </c>
      <c r="U102" s="78">
        <f t="shared" si="72"/>
        <v>82909.058418060435</v>
      </c>
    </row>
    <row r="103" spans="1:21" x14ac:dyDescent="0.35">
      <c r="A103" s="184" t="s">
        <v>146</v>
      </c>
      <c r="B103" s="184"/>
      <c r="C103" s="78"/>
      <c r="D103" s="78"/>
      <c r="E103" s="78"/>
      <c r="F103" s="78"/>
      <c r="G103" s="78"/>
      <c r="H103" s="78"/>
      <c r="I103" s="78"/>
      <c r="J103" s="78"/>
      <c r="K103" s="78"/>
      <c r="L103" s="78"/>
      <c r="M103" s="78">
        <f t="shared" ref="M103:U103" si="73">L94</f>
        <v>0</v>
      </c>
      <c r="N103" s="78">
        <f t="shared" si="73"/>
        <v>148179.37265999999</v>
      </c>
      <c r="O103" s="78">
        <f t="shared" si="73"/>
        <v>147438.47579669999</v>
      </c>
      <c r="P103" s="78">
        <f t="shared" si="73"/>
        <v>146701.28341771651</v>
      </c>
      <c r="Q103" s="78">
        <f t="shared" si="73"/>
        <v>145967.77700062792</v>
      </c>
      <c r="R103" s="78">
        <f t="shared" si="73"/>
        <v>145237.93811562477</v>
      </c>
      <c r="S103" s="78">
        <f t="shared" si="73"/>
        <v>144511.74842504665</v>
      </c>
      <c r="T103" s="78">
        <f t="shared" si="73"/>
        <v>143789.18968292139</v>
      </c>
      <c r="U103" s="78">
        <f t="shared" si="73"/>
        <v>143070.2437345068</v>
      </c>
    </row>
    <row r="104" spans="1:21" x14ac:dyDescent="0.35">
      <c r="A104" s="184" t="s">
        <v>151</v>
      </c>
      <c r="B104" s="184"/>
      <c r="C104" s="78"/>
      <c r="D104" s="78"/>
      <c r="E104" s="78"/>
      <c r="F104" s="78"/>
      <c r="G104" s="78"/>
      <c r="H104" s="78"/>
      <c r="I104" s="78"/>
      <c r="J104" s="78"/>
      <c r="K104" s="78"/>
      <c r="L104" s="78"/>
      <c r="M104" s="78">
        <f t="shared" ref="M104:U104" si="74">L95</f>
        <v>74089.686329999997</v>
      </c>
      <c r="N104" s="78">
        <f t="shared" si="74"/>
        <v>73719.237898349995</v>
      </c>
      <c r="O104" s="78">
        <f t="shared" si="74"/>
        <v>73350.641708858253</v>
      </c>
      <c r="P104" s="78">
        <f t="shared" si="74"/>
        <v>72983.888500313973</v>
      </c>
      <c r="Q104" s="78">
        <f t="shared" si="74"/>
        <v>72618.969057812399</v>
      </c>
      <c r="R104" s="78">
        <f t="shared" si="74"/>
        <v>72255.87421252334</v>
      </c>
      <c r="S104" s="78">
        <f t="shared" si="74"/>
        <v>71894.594841460726</v>
      </c>
      <c r="T104" s="78">
        <f t="shared" si="74"/>
        <v>71535.121867253416</v>
      </c>
      <c r="U104" s="78">
        <f t="shared" si="74"/>
        <v>71177.446257917152</v>
      </c>
    </row>
    <row r="105" spans="1:21" x14ac:dyDescent="0.35">
      <c r="A105" s="184" t="s">
        <v>155</v>
      </c>
      <c r="B105" s="184"/>
      <c r="C105" s="78"/>
      <c r="D105" s="78"/>
      <c r="E105" s="78"/>
      <c r="F105" s="78"/>
      <c r="G105" s="78"/>
      <c r="H105" s="78"/>
      <c r="I105" s="78"/>
      <c r="J105" s="78"/>
      <c r="K105" s="78"/>
      <c r="L105" s="78"/>
      <c r="M105" s="78">
        <f t="shared" ref="M105:U105" si="75">L96</f>
        <v>0</v>
      </c>
      <c r="N105" s="78">
        <f t="shared" si="75"/>
        <v>24696.562110000003</v>
      </c>
      <c r="O105" s="78">
        <f t="shared" si="75"/>
        <v>24573.079299450001</v>
      </c>
      <c r="P105" s="78">
        <f t="shared" si="75"/>
        <v>24450.21390295275</v>
      </c>
      <c r="Q105" s="78">
        <f t="shared" si="75"/>
        <v>24327.962833437985</v>
      </c>
      <c r="R105" s="78">
        <f t="shared" si="75"/>
        <v>24206.323019270796</v>
      </c>
      <c r="S105" s="78">
        <f t="shared" si="75"/>
        <v>24085.291404174444</v>
      </c>
      <c r="T105" s="78">
        <f t="shared" si="75"/>
        <v>23964.864947153572</v>
      </c>
      <c r="U105" s="78">
        <f t="shared" si="75"/>
        <v>23845.040622417804</v>
      </c>
    </row>
    <row r="106" spans="1:21" x14ac:dyDescent="0.35">
      <c r="A106" s="12" t="s">
        <v>158</v>
      </c>
      <c r="B106" s="12"/>
      <c r="C106" s="78"/>
      <c r="D106" s="78"/>
      <c r="E106" s="78"/>
      <c r="F106" s="78"/>
      <c r="G106" s="78"/>
      <c r="H106" s="78"/>
      <c r="I106" s="78"/>
      <c r="J106" s="78"/>
      <c r="K106" s="78"/>
      <c r="L106" s="78"/>
      <c r="M106" s="78">
        <f t="shared" ref="M106:U106" si="76">L97</f>
        <v>43150.64992533702</v>
      </c>
      <c r="N106" s="78">
        <f t="shared" si="76"/>
        <v>42934.896675710334</v>
      </c>
      <c r="O106" s="78">
        <f t="shared" si="76"/>
        <v>42720.222192331785</v>
      </c>
      <c r="P106" s="78">
        <f t="shared" si="76"/>
        <v>42506.621081370125</v>
      </c>
      <c r="Q106" s="78">
        <f t="shared" si="76"/>
        <v>42294.087975963281</v>
      </c>
      <c r="R106" s="78">
        <f t="shared" si="76"/>
        <v>42082.61753608346</v>
      </c>
      <c r="S106" s="78">
        <f t="shared" si="76"/>
        <v>41872.204448403034</v>
      </c>
      <c r="T106" s="78">
        <f t="shared" si="76"/>
        <v>41662.843426161024</v>
      </c>
      <c r="U106" s="78">
        <f t="shared" si="76"/>
        <v>41454.529209030217</v>
      </c>
    </row>
    <row r="107" spans="1:21" x14ac:dyDescent="0.35">
      <c r="A107" s="14" t="s">
        <v>90</v>
      </c>
      <c r="B107" s="14"/>
      <c r="C107" s="79">
        <f t="shared" ref="C107:U107" si="77">SUM(C101:C106)</f>
        <v>0</v>
      </c>
      <c r="D107" s="79">
        <f t="shared" si="77"/>
        <v>0</v>
      </c>
      <c r="E107" s="79">
        <f t="shared" si="77"/>
        <v>0</v>
      </c>
      <c r="F107" s="79">
        <f t="shared" si="77"/>
        <v>0</v>
      </c>
      <c r="G107" s="79">
        <f t="shared" si="77"/>
        <v>0</v>
      </c>
      <c r="H107" s="79">
        <f t="shared" si="77"/>
        <v>0</v>
      </c>
      <c r="I107" s="79">
        <f t="shared" si="77"/>
        <v>0</v>
      </c>
      <c r="J107" s="79">
        <f t="shared" si="77"/>
        <v>0</v>
      </c>
      <c r="K107" s="79">
        <f t="shared" si="77"/>
        <v>0</v>
      </c>
      <c r="L107" s="79">
        <f t="shared" si="77"/>
        <v>0</v>
      </c>
      <c r="M107" s="79">
        <f t="shared" si="77"/>
        <v>284601.00281465106</v>
      </c>
      <c r="N107" s="79">
        <f t="shared" si="77"/>
        <v>456053.93257057777</v>
      </c>
      <c r="O107" s="79">
        <f t="shared" si="77"/>
        <v>453773.66290772491</v>
      </c>
      <c r="P107" s="79">
        <f t="shared" si="77"/>
        <v>451504.79459318629</v>
      </c>
      <c r="Q107" s="79">
        <f t="shared" si="77"/>
        <v>449247.27062022046</v>
      </c>
      <c r="R107" s="79">
        <f t="shared" si="77"/>
        <v>447001.03426711925</v>
      </c>
      <c r="S107" s="79">
        <f t="shared" si="77"/>
        <v>444766.02909578371</v>
      </c>
      <c r="T107" s="79">
        <f t="shared" si="77"/>
        <v>442542.19895030477</v>
      </c>
      <c r="U107" s="79">
        <f t="shared" si="77"/>
        <v>440329.48795555317</v>
      </c>
    </row>
    <row r="109" spans="1:21" ht="15.5" x14ac:dyDescent="0.35">
      <c r="A109" s="77">
        <v>2035</v>
      </c>
      <c r="B109" s="220">
        <v>2024</v>
      </c>
      <c r="C109" s="220">
        <f>C100</f>
        <v>2025</v>
      </c>
      <c r="D109" s="220">
        <f t="shared" ref="D109:U109" si="78">D100</f>
        <v>2026</v>
      </c>
      <c r="E109" s="220">
        <f t="shared" si="78"/>
        <v>2027</v>
      </c>
      <c r="F109" s="220">
        <f t="shared" si="78"/>
        <v>2028</v>
      </c>
      <c r="G109" s="220">
        <f t="shared" si="78"/>
        <v>2029</v>
      </c>
      <c r="H109" s="220">
        <f t="shared" si="78"/>
        <v>2030</v>
      </c>
      <c r="I109" s="220">
        <f t="shared" si="78"/>
        <v>2031</v>
      </c>
      <c r="J109" s="220">
        <f t="shared" si="78"/>
        <v>2032</v>
      </c>
      <c r="K109" s="220">
        <f t="shared" si="78"/>
        <v>2033</v>
      </c>
      <c r="L109" s="220">
        <f t="shared" si="78"/>
        <v>2034</v>
      </c>
      <c r="M109" s="220">
        <f t="shared" si="78"/>
        <v>2035</v>
      </c>
      <c r="N109" s="220">
        <f t="shared" si="78"/>
        <v>2036</v>
      </c>
      <c r="O109" s="220">
        <f t="shared" si="78"/>
        <v>2037</v>
      </c>
      <c r="P109" s="220">
        <f t="shared" si="78"/>
        <v>2038</v>
      </c>
      <c r="Q109" s="220">
        <f t="shared" si="78"/>
        <v>2039</v>
      </c>
      <c r="R109" s="220">
        <f t="shared" si="78"/>
        <v>2040</v>
      </c>
      <c r="S109" s="220">
        <f t="shared" si="78"/>
        <v>2041</v>
      </c>
      <c r="T109" s="220">
        <f t="shared" si="78"/>
        <v>2042</v>
      </c>
      <c r="U109" s="220">
        <f t="shared" si="78"/>
        <v>2043</v>
      </c>
    </row>
    <row r="110" spans="1:21" x14ac:dyDescent="0.35">
      <c r="A110" s="184" t="s">
        <v>131</v>
      </c>
      <c r="B110" s="184"/>
      <c r="C110" s="78"/>
      <c r="D110" s="78"/>
      <c r="E110" s="78"/>
      <c r="F110" s="78"/>
      <c r="G110" s="78"/>
      <c r="H110" s="78"/>
      <c r="I110" s="78"/>
      <c r="J110" s="78"/>
      <c r="K110" s="78"/>
      <c r="L110" s="78"/>
      <c r="M110" s="78"/>
      <c r="N110" s="78">
        <f t="shared" ref="N110:U115" si="79">M101</f>
        <v>81059.366708639995</v>
      </c>
      <c r="O110" s="78">
        <f t="shared" si="79"/>
        <v>80654.0698750968</v>
      </c>
      <c r="P110" s="78">
        <f t="shared" si="79"/>
        <v>80250.799525721319</v>
      </c>
      <c r="Q110" s="78">
        <f t="shared" si="79"/>
        <v>79849.545528092713</v>
      </c>
      <c r="R110" s="78">
        <f t="shared" si="79"/>
        <v>79450.297800452245</v>
      </c>
      <c r="S110" s="78">
        <f t="shared" si="79"/>
        <v>79053.046311449987</v>
      </c>
      <c r="T110" s="78">
        <f t="shared" si="79"/>
        <v>78657.781079892738</v>
      </c>
      <c r="U110" s="78">
        <f t="shared" si="79"/>
        <v>78264.492174493265</v>
      </c>
    </row>
    <row r="111" spans="1:21" x14ac:dyDescent="0.35">
      <c r="A111" s="184" t="s">
        <v>137</v>
      </c>
      <c r="B111" s="184"/>
      <c r="C111" s="78"/>
      <c r="D111" s="78"/>
      <c r="E111" s="78"/>
      <c r="F111" s="78"/>
      <c r="G111" s="78"/>
      <c r="H111" s="78"/>
      <c r="I111" s="78"/>
      <c r="J111" s="78"/>
      <c r="K111" s="78"/>
      <c r="L111" s="78"/>
      <c r="M111" s="78"/>
      <c r="N111" s="78">
        <f t="shared" si="79"/>
        <v>86301.29985067404</v>
      </c>
      <c r="O111" s="78">
        <f t="shared" si="79"/>
        <v>85869.793351420667</v>
      </c>
      <c r="P111" s="78">
        <f t="shared" si="79"/>
        <v>85440.44438466357</v>
      </c>
      <c r="Q111" s="78">
        <f t="shared" si="79"/>
        <v>85013.242162740251</v>
      </c>
      <c r="R111" s="78">
        <f t="shared" si="79"/>
        <v>84588.175951926562</v>
      </c>
      <c r="S111" s="78">
        <f t="shared" si="79"/>
        <v>84165.235072166921</v>
      </c>
      <c r="T111" s="78">
        <f t="shared" si="79"/>
        <v>83744.408896806068</v>
      </c>
      <c r="U111" s="78">
        <f t="shared" si="79"/>
        <v>83325.686852322047</v>
      </c>
    </row>
    <row r="112" spans="1:21" x14ac:dyDescent="0.35">
      <c r="A112" s="184" t="s">
        <v>146</v>
      </c>
      <c r="B112" s="184"/>
      <c r="C112" s="78"/>
      <c r="D112" s="78"/>
      <c r="E112" s="78"/>
      <c r="F112" s="78"/>
      <c r="G112" s="78"/>
      <c r="H112" s="78"/>
      <c r="I112" s="78"/>
      <c r="J112" s="78"/>
      <c r="K112" s="78"/>
      <c r="L112" s="78"/>
      <c r="M112" s="78"/>
      <c r="N112" s="78">
        <f t="shared" si="79"/>
        <v>0</v>
      </c>
      <c r="O112" s="78">
        <f t="shared" si="79"/>
        <v>148179.37265999999</v>
      </c>
      <c r="P112" s="78">
        <f t="shared" si="79"/>
        <v>147438.47579669999</v>
      </c>
      <c r="Q112" s="78">
        <f t="shared" si="79"/>
        <v>146701.28341771651</v>
      </c>
      <c r="R112" s="78">
        <f t="shared" si="79"/>
        <v>145967.77700062792</v>
      </c>
      <c r="S112" s="78">
        <f t="shared" si="79"/>
        <v>145237.93811562477</v>
      </c>
      <c r="T112" s="78">
        <f t="shared" si="79"/>
        <v>144511.74842504665</v>
      </c>
      <c r="U112" s="78">
        <f t="shared" si="79"/>
        <v>143789.18968292139</v>
      </c>
    </row>
    <row r="113" spans="1:21" x14ac:dyDescent="0.35">
      <c r="A113" s="184" t="s">
        <v>151</v>
      </c>
      <c r="B113" s="184"/>
      <c r="C113" s="78"/>
      <c r="D113" s="78"/>
      <c r="E113" s="78"/>
      <c r="F113" s="78"/>
      <c r="G113" s="78"/>
      <c r="H113" s="78"/>
      <c r="I113" s="78"/>
      <c r="J113" s="78"/>
      <c r="K113" s="78"/>
      <c r="L113" s="78"/>
      <c r="M113" s="78"/>
      <c r="N113" s="78">
        <f t="shared" si="79"/>
        <v>74089.686329999997</v>
      </c>
      <c r="O113" s="78">
        <f t="shared" si="79"/>
        <v>73719.237898349995</v>
      </c>
      <c r="P113" s="78">
        <f t="shared" si="79"/>
        <v>73350.641708858253</v>
      </c>
      <c r="Q113" s="78">
        <f t="shared" si="79"/>
        <v>72983.888500313973</v>
      </c>
      <c r="R113" s="78">
        <f t="shared" si="79"/>
        <v>72618.969057812399</v>
      </c>
      <c r="S113" s="78">
        <f t="shared" si="79"/>
        <v>72255.87421252334</v>
      </c>
      <c r="T113" s="78">
        <f t="shared" si="79"/>
        <v>71894.594841460726</v>
      </c>
      <c r="U113" s="78">
        <f t="shared" si="79"/>
        <v>71535.121867253416</v>
      </c>
    </row>
    <row r="114" spans="1:21" x14ac:dyDescent="0.35">
      <c r="A114" s="184" t="s">
        <v>155</v>
      </c>
      <c r="B114" s="184"/>
      <c r="C114" s="78"/>
      <c r="D114" s="78"/>
      <c r="E114" s="78"/>
      <c r="F114" s="78"/>
      <c r="G114" s="78"/>
      <c r="H114" s="78"/>
      <c r="I114" s="78"/>
      <c r="J114" s="78"/>
      <c r="K114" s="78"/>
      <c r="L114" s="78"/>
      <c r="M114" s="78"/>
      <c r="N114" s="78">
        <f t="shared" si="79"/>
        <v>0</v>
      </c>
      <c r="O114" s="78">
        <f t="shared" si="79"/>
        <v>24696.562110000003</v>
      </c>
      <c r="P114" s="78">
        <f t="shared" si="79"/>
        <v>24573.079299450001</v>
      </c>
      <c r="Q114" s="78">
        <f t="shared" si="79"/>
        <v>24450.21390295275</v>
      </c>
      <c r="R114" s="78">
        <f t="shared" si="79"/>
        <v>24327.962833437985</v>
      </c>
      <c r="S114" s="78">
        <f t="shared" si="79"/>
        <v>24206.323019270796</v>
      </c>
      <c r="T114" s="78">
        <f t="shared" si="79"/>
        <v>24085.291404174444</v>
      </c>
      <c r="U114" s="78">
        <f t="shared" si="79"/>
        <v>23964.864947153572</v>
      </c>
    </row>
    <row r="115" spans="1:21" x14ac:dyDescent="0.35">
      <c r="A115" s="12" t="s">
        <v>158</v>
      </c>
      <c r="B115" s="12"/>
      <c r="C115" s="78"/>
      <c r="D115" s="78"/>
      <c r="E115" s="78"/>
      <c r="F115" s="78"/>
      <c r="G115" s="78"/>
      <c r="H115" s="78"/>
      <c r="I115" s="78"/>
      <c r="J115" s="78"/>
      <c r="K115" s="78"/>
      <c r="L115" s="78"/>
      <c r="M115" s="78"/>
      <c r="N115" s="78">
        <f t="shared" si="79"/>
        <v>43150.64992533702</v>
      </c>
      <c r="O115" s="78">
        <f t="shared" si="79"/>
        <v>42934.896675710334</v>
      </c>
      <c r="P115" s="78">
        <f t="shared" si="79"/>
        <v>42720.222192331785</v>
      </c>
      <c r="Q115" s="78">
        <f t="shared" si="79"/>
        <v>42506.621081370125</v>
      </c>
      <c r="R115" s="78">
        <f t="shared" si="79"/>
        <v>42294.087975963281</v>
      </c>
      <c r="S115" s="78">
        <f t="shared" si="79"/>
        <v>42082.61753608346</v>
      </c>
      <c r="T115" s="78">
        <f t="shared" si="79"/>
        <v>41872.204448403034</v>
      </c>
      <c r="U115" s="78">
        <f t="shared" si="79"/>
        <v>41662.843426161024</v>
      </c>
    </row>
    <row r="116" spans="1:21" x14ac:dyDescent="0.35">
      <c r="A116" s="14" t="s">
        <v>90</v>
      </c>
      <c r="B116" s="14"/>
      <c r="C116" s="79">
        <f t="shared" ref="C116:U116" si="80">SUM(C110:C115)</f>
        <v>0</v>
      </c>
      <c r="D116" s="79">
        <f t="shared" si="80"/>
        <v>0</v>
      </c>
      <c r="E116" s="79">
        <f t="shared" si="80"/>
        <v>0</v>
      </c>
      <c r="F116" s="79">
        <f t="shared" si="80"/>
        <v>0</v>
      </c>
      <c r="G116" s="79">
        <f t="shared" si="80"/>
        <v>0</v>
      </c>
      <c r="H116" s="79">
        <f t="shared" si="80"/>
        <v>0</v>
      </c>
      <c r="I116" s="79">
        <f t="shared" si="80"/>
        <v>0</v>
      </c>
      <c r="J116" s="79">
        <f t="shared" si="80"/>
        <v>0</v>
      </c>
      <c r="K116" s="79">
        <f t="shared" si="80"/>
        <v>0</v>
      </c>
      <c r="L116" s="79">
        <f t="shared" si="80"/>
        <v>0</v>
      </c>
      <c r="M116" s="79">
        <f t="shared" si="80"/>
        <v>0</v>
      </c>
      <c r="N116" s="79">
        <f t="shared" si="80"/>
        <v>284601.00281465106</v>
      </c>
      <c r="O116" s="79">
        <f t="shared" si="80"/>
        <v>456053.93257057777</v>
      </c>
      <c r="P116" s="79">
        <f t="shared" si="80"/>
        <v>453773.66290772491</v>
      </c>
      <c r="Q116" s="79">
        <f t="shared" si="80"/>
        <v>451504.79459318629</v>
      </c>
      <c r="R116" s="79">
        <f t="shared" si="80"/>
        <v>449247.27062022046</v>
      </c>
      <c r="S116" s="79">
        <f t="shared" si="80"/>
        <v>447001.03426711925</v>
      </c>
      <c r="T116" s="79">
        <f t="shared" si="80"/>
        <v>444766.02909578371</v>
      </c>
      <c r="U116" s="79">
        <f t="shared" si="80"/>
        <v>442542.19895030477</v>
      </c>
    </row>
    <row r="118" spans="1:21" ht="15.5" x14ac:dyDescent="0.35">
      <c r="A118" s="77">
        <v>2036</v>
      </c>
      <c r="B118" s="220">
        <v>2024</v>
      </c>
      <c r="C118" s="220">
        <f>C109</f>
        <v>2025</v>
      </c>
      <c r="D118" s="220">
        <f t="shared" ref="D118:U118" si="81">D109</f>
        <v>2026</v>
      </c>
      <c r="E118" s="220">
        <f t="shared" si="81"/>
        <v>2027</v>
      </c>
      <c r="F118" s="220">
        <f t="shared" si="81"/>
        <v>2028</v>
      </c>
      <c r="G118" s="220">
        <f t="shared" si="81"/>
        <v>2029</v>
      </c>
      <c r="H118" s="220">
        <f t="shared" si="81"/>
        <v>2030</v>
      </c>
      <c r="I118" s="220">
        <f t="shared" si="81"/>
        <v>2031</v>
      </c>
      <c r="J118" s="220">
        <f t="shared" si="81"/>
        <v>2032</v>
      </c>
      <c r="K118" s="220">
        <f t="shared" si="81"/>
        <v>2033</v>
      </c>
      <c r="L118" s="220">
        <f t="shared" si="81"/>
        <v>2034</v>
      </c>
      <c r="M118" s="220">
        <f t="shared" si="81"/>
        <v>2035</v>
      </c>
      <c r="N118" s="220">
        <f t="shared" si="81"/>
        <v>2036</v>
      </c>
      <c r="O118" s="220">
        <f t="shared" si="81"/>
        <v>2037</v>
      </c>
      <c r="P118" s="220">
        <f t="shared" si="81"/>
        <v>2038</v>
      </c>
      <c r="Q118" s="220">
        <f t="shared" si="81"/>
        <v>2039</v>
      </c>
      <c r="R118" s="220">
        <f t="shared" si="81"/>
        <v>2040</v>
      </c>
      <c r="S118" s="220">
        <f t="shared" si="81"/>
        <v>2041</v>
      </c>
      <c r="T118" s="220">
        <f t="shared" si="81"/>
        <v>2042</v>
      </c>
      <c r="U118" s="220">
        <f t="shared" si="81"/>
        <v>2043</v>
      </c>
    </row>
    <row r="119" spans="1:21" x14ac:dyDescent="0.35">
      <c r="A119" s="184" t="s">
        <v>131</v>
      </c>
      <c r="C119" s="78"/>
      <c r="D119" s="78"/>
      <c r="E119" s="78"/>
      <c r="F119" s="78"/>
      <c r="G119" s="78"/>
      <c r="H119" s="78"/>
      <c r="I119" s="78"/>
      <c r="J119" s="78"/>
      <c r="K119" s="78"/>
      <c r="L119" s="78"/>
      <c r="M119" s="78"/>
      <c r="N119" s="78"/>
      <c r="O119" s="78">
        <f t="shared" ref="O119:U124" si="82">N110</f>
        <v>81059.366708639995</v>
      </c>
      <c r="P119" s="78">
        <f t="shared" si="82"/>
        <v>80654.0698750968</v>
      </c>
      <c r="Q119" s="78">
        <f t="shared" si="82"/>
        <v>80250.799525721319</v>
      </c>
      <c r="R119" s="78">
        <f t="shared" si="82"/>
        <v>79849.545528092713</v>
      </c>
      <c r="S119" s="78">
        <f t="shared" si="82"/>
        <v>79450.297800452245</v>
      </c>
      <c r="T119" s="78">
        <f t="shared" si="82"/>
        <v>79053.046311449987</v>
      </c>
      <c r="U119" s="78">
        <f t="shared" si="82"/>
        <v>78657.781079892738</v>
      </c>
    </row>
    <row r="120" spans="1:21" x14ac:dyDescent="0.35">
      <c r="A120" s="184" t="s">
        <v>137</v>
      </c>
      <c r="B120" s="184"/>
      <c r="C120" s="78"/>
      <c r="D120" s="78"/>
      <c r="E120" s="78"/>
      <c r="F120" s="78"/>
      <c r="G120" s="78"/>
      <c r="H120" s="78"/>
      <c r="I120" s="78"/>
      <c r="J120" s="78"/>
      <c r="K120" s="78"/>
      <c r="L120" s="78"/>
      <c r="M120" s="78"/>
      <c r="N120" s="78"/>
      <c r="O120" s="78">
        <f t="shared" si="82"/>
        <v>86301.29985067404</v>
      </c>
      <c r="P120" s="78">
        <f t="shared" si="82"/>
        <v>85869.793351420667</v>
      </c>
      <c r="Q120" s="78">
        <f t="shared" si="82"/>
        <v>85440.44438466357</v>
      </c>
      <c r="R120" s="78">
        <f t="shared" si="82"/>
        <v>85013.242162740251</v>
      </c>
      <c r="S120" s="78">
        <f t="shared" si="82"/>
        <v>84588.175951926562</v>
      </c>
      <c r="T120" s="78">
        <f t="shared" si="82"/>
        <v>84165.235072166921</v>
      </c>
      <c r="U120" s="78">
        <f t="shared" si="82"/>
        <v>83744.408896806068</v>
      </c>
    </row>
    <row r="121" spans="1:21" x14ac:dyDescent="0.35">
      <c r="A121" s="184" t="s">
        <v>146</v>
      </c>
      <c r="B121" s="184"/>
      <c r="C121" s="78"/>
      <c r="D121" s="78"/>
      <c r="E121" s="78"/>
      <c r="F121" s="78"/>
      <c r="G121" s="78"/>
      <c r="H121" s="78"/>
      <c r="I121" s="78"/>
      <c r="J121" s="78"/>
      <c r="K121" s="78"/>
      <c r="L121" s="78"/>
      <c r="M121" s="78"/>
      <c r="N121" s="78"/>
      <c r="O121" s="78">
        <f t="shared" si="82"/>
        <v>0</v>
      </c>
      <c r="P121" s="78">
        <f t="shared" si="82"/>
        <v>148179.37265999999</v>
      </c>
      <c r="Q121" s="78">
        <f t="shared" si="82"/>
        <v>147438.47579669999</v>
      </c>
      <c r="R121" s="78">
        <f t="shared" si="82"/>
        <v>146701.28341771651</v>
      </c>
      <c r="S121" s="78">
        <f t="shared" si="82"/>
        <v>145967.77700062792</v>
      </c>
      <c r="T121" s="78">
        <f t="shared" si="82"/>
        <v>145237.93811562477</v>
      </c>
      <c r="U121" s="78">
        <f t="shared" si="82"/>
        <v>144511.74842504665</v>
      </c>
    </row>
    <row r="122" spans="1:21" x14ac:dyDescent="0.35">
      <c r="A122" s="184" t="s">
        <v>151</v>
      </c>
      <c r="B122" s="184"/>
      <c r="C122" s="78"/>
      <c r="D122" s="78"/>
      <c r="E122" s="78"/>
      <c r="F122" s="78"/>
      <c r="G122" s="78"/>
      <c r="H122" s="78"/>
      <c r="I122" s="78"/>
      <c r="J122" s="78"/>
      <c r="K122" s="78"/>
      <c r="L122" s="78"/>
      <c r="M122" s="78"/>
      <c r="N122" s="78"/>
      <c r="O122" s="78">
        <f t="shared" si="82"/>
        <v>74089.686329999997</v>
      </c>
      <c r="P122" s="78">
        <f t="shared" si="82"/>
        <v>73719.237898349995</v>
      </c>
      <c r="Q122" s="78">
        <f t="shared" si="82"/>
        <v>73350.641708858253</v>
      </c>
      <c r="R122" s="78">
        <f t="shared" si="82"/>
        <v>72983.888500313973</v>
      </c>
      <c r="S122" s="78">
        <f t="shared" si="82"/>
        <v>72618.969057812399</v>
      </c>
      <c r="T122" s="78">
        <f t="shared" si="82"/>
        <v>72255.87421252334</v>
      </c>
      <c r="U122" s="78">
        <f t="shared" si="82"/>
        <v>71894.594841460726</v>
      </c>
    </row>
    <row r="123" spans="1:21" x14ac:dyDescent="0.35">
      <c r="A123" s="184" t="s">
        <v>155</v>
      </c>
      <c r="B123" s="184"/>
      <c r="C123" s="78"/>
      <c r="D123" s="78"/>
      <c r="E123" s="78"/>
      <c r="F123" s="78"/>
      <c r="G123" s="78"/>
      <c r="H123" s="78"/>
      <c r="I123" s="78"/>
      <c r="J123" s="78"/>
      <c r="K123" s="78"/>
      <c r="L123" s="78"/>
      <c r="M123" s="78"/>
      <c r="N123" s="78"/>
      <c r="O123" s="78">
        <f t="shared" si="82"/>
        <v>0</v>
      </c>
      <c r="P123" s="78">
        <f t="shared" si="82"/>
        <v>24696.562110000003</v>
      </c>
      <c r="Q123" s="78">
        <f t="shared" si="82"/>
        <v>24573.079299450001</v>
      </c>
      <c r="R123" s="78">
        <f t="shared" si="82"/>
        <v>24450.21390295275</v>
      </c>
      <c r="S123" s="78">
        <f t="shared" si="82"/>
        <v>24327.962833437985</v>
      </c>
      <c r="T123" s="78">
        <f t="shared" si="82"/>
        <v>24206.323019270796</v>
      </c>
      <c r="U123" s="78">
        <f t="shared" si="82"/>
        <v>24085.291404174444</v>
      </c>
    </row>
    <row r="124" spans="1:21" x14ac:dyDescent="0.35">
      <c r="A124" s="12" t="s">
        <v>158</v>
      </c>
      <c r="B124" s="12"/>
      <c r="C124" s="78"/>
      <c r="D124" s="78"/>
      <c r="E124" s="78"/>
      <c r="F124" s="78"/>
      <c r="G124" s="78"/>
      <c r="H124" s="78"/>
      <c r="I124" s="78"/>
      <c r="J124" s="78"/>
      <c r="K124" s="78"/>
      <c r="L124" s="78"/>
      <c r="M124" s="78"/>
      <c r="N124" s="78"/>
      <c r="O124" s="78">
        <f t="shared" si="82"/>
        <v>43150.64992533702</v>
      </c>
      <c r="P124" s="78">
        <f t="shared" si="82"/>
        <v>42934.896675710334</v>
      </c>
      <c r="Q124" s="78">
        <f t="shared" si="82"/>
        <v>42720.222192331785</v>
      </c>
      <c r="R124" s="78">
        <f t="shared" si="82"/>
        <v>42506.621081370125</v>
      </c>
      <c r="S124" s="78">
        <f t="shared" si="82"/>
        <v>42294.087975963281</v>
      </c>
      <c r="T124" s="78">
        <f t="shared" si="82"/>
        <v>42082.61753608346</v>
      </c>
      <c r="U124" s="78">
        <f t="shared" si="82"/>
        <v>41872.204448403034</v>
      </c>
    </row>
    <row r="125" spans="1:21" x14ac:dyDescent="0.35">
      <c r="A125" s="14" t="s">
        <v>90</v>
      </c>
      <c r="B125" s="14"/>
      <c r="C125" s="79">
        <f t="shared" ref="C125:U125" si="83">SUM(C119:C124)</f>
        <v>0</v>
      </c>
      <c r="D125" s="79">
        <f t="shared" si="83"/>
        <v>0</v>
      </c>
      <c r="E125" s="79">
        <f t="shared" si="83"/>
        <v>0</v>
      </c>
      <c r="F125" s="79">
        <f t="shared" si="83"/>
        <v>0</v>
      </c>
      <c r="G125" s="79">
        <f t="shared" si="83"/>
        <v>0</v>
      </c>
      <c r="H125" s="79">
        <f t="shared" si="83"/>
        <v>0</v>
      </c>
      <c r="I125" s="79">
        <f t="shared" si="83"/>
        <v>0</v>
      </c>
      <c r="J125" s="79">
        <f t="shared" si="83"/>
        <v>0</v>
      </c>
      <c r="K125" s="79">
        <f t="shared" si="83"/>
        <v>0</v>
      </c>
      <c r="L125" s="79">
        <f t="shared" si="83"/>
        <v>0</v>
      </c>
      <c r="M125" s="79">
        <f t="shared" si="83"/>
        <v>0</v>
      </c>
      <c r="N125" s="79">
        <f t="shared" si="83"/>
        <v>0</v>
      </c>
      <c r="O125" s="79">
        <f t="shared" si="83"/>
        <v>284601.00281465106</v>
      </c>
      <c r="P125" s="79">
        <f t="shared" si="83"/>
        <v>456053.93257057777</v>
      </c>
      <c r="Q125" s="79">
        <f t="shared" si="83"/>
        <v>453773.66290772491</v>
      </c>
      <c r="R125" s="79">
        <f t="shared" si="83"/>
        <v>451504.79459318629</v>
      </c>
      <c r="S125" s="79">
        <f t="shared" si="83"/>
        <v>449247.27062022046</v>
      </c>
      <c r="T125" s="79">
        <f t="shared" si="83"/>
        <v>447001.03426711925</v>
      </c>
      <c r="U125" s="79">
        <f t="shared" si="83"/>
        <v>444766.02909578371</v>
      </c>
    </row>
    <row r="127" spans="1:21" ht="15.5" x14ac:dyDescent="0.35">
      <c r="A127" s="77">
        <v>2037</v>
      </c>
      <c r="B127" s="220">
        <v>2024</v>
      </c>
      <c r="C127" s="220">
        <f>C118</f>
        <v>2025</v>
      </c>
      <c r="D127" s="220">
        <f t="shared" ref="D127:U127" si="84">D118</f>
        <v>2026</v>
      </c>
      <c r="E127" s="220">
        <f t="shared" si="84"/>
        <v>2027</v>
      </c>
      <c r="F127" s="220">
        <f t="shared" si="84"/>
        <v>2028</v>
      </c>
      <c r="G127" s="220">
        <f t="shared" si="84"/>
        <v>2029</v>
      </c>
      <c r="H127" s="220">
        <f t="shared" si="84"/>
        <v>2030</v>
      </c>
      <c r="I127" s="220">
        <f t="shared" si="84"/>
        <v>2031</v>
      </c>
      <c r="J127" s="220">
        <f t="shared" si="84"/>
        <v>2032</v>
      </c>
      <c r="K127" s="220">
        <f t="shared" si="84"/>
        <v>2033</v>
      </c>
      <c r="L127" s="220">
        <f t="shared" si="84"/>
        <v>2034</v>
      </c>
      <c r="M127" s="220">
        <f t="shared" si="84"/>
        <v>2035</v>
      </c>
      <c r="N127" s="220">
        <f t="shared" si="84"/>
        <v>2036</v>
      </c>
      <c r="O127" s="220">
        <f t="shared" si="84"/>
        <v>2037</v>
      </c>
      <c r="P127" s="220">
        <f t="shared" si="84"/>
        <v>2038</v>
      </c>
      <c r="Q127" s="220">
        <f t="shared" si="84"/>
        <v>2039</v>
      </c>
      <c r="R127" s="220">
        <f t="shared" si="84"/>
        <v>2040</v>
      </c>
      <c r="S127" s="220">
        <f t="shared" si="84"/>
        <v>2041</v>
      </c>
      <c r="T127" s="220">
        <f t="shared" si="84"/>
        <v>2042</v>
      </c>
      <c r="U127" s="220">
        <f t="shared" si="84"/>
        <v>2043</v>
      </c>
    </row>
    <row r="128" spans="1:21" x14ac:dyDescent="0.35">
      <c r="A128" s="184" t="s">
        <v>131</v>
      </c>
      <c r="B128" s="184"/>
      <c r="C128" s="78"/>
      <c r="D128" s="78"/>
      <c r="E128" s="78"/>
      <c r="F128" s="78"/>
      <c r="G128" s="78"/>
      <c r="H128" s="78"/>
      <c r="I128" s="78"/>
      <c r="J128" s="78"/>
      <c r="K128" s="78"/>
      <c r="L128" s="78"/>
      <c r="M128" s="78"/>
      <c r="N128" s="78"/>
      <c r="O128" s="78"/>
      <c r="P128" s="78">
        <f t="shared" ref="P128:U133" si="85">O119</f>
        <v>81059.366708639995</v>
      </c>
      <c r="Q128" s="78">
        <f t="shared" si="85"/>
        <v>80654.0698750968</v>
      </c>
      <c r="R128" s="78">
        <f t="shared" si="85"/>
        <v>80250.799525721319</v>
      </c>
      <c r="S128" s="78">
        <f t="shared" si="85"/>
        <v>79849.545528092713</v>
      </c>
      <c r="T128" s="78">
        <f t="shared" si="85"/>
        <v>79450.297800452245</v>
      </c>
      <c r="U128" s="78">
        <f t="shared" si="85"/>
        <v>79053.046311449987</v>
      </c>
    </row>
    <row r="129" spans="1:21" x14ac:dyDescent="0.35">
      <c r="A129" s="184" t="s">
        <v>137</v>
      </c>
      <c r="B129" s="184"/>
      <c r="C129" s="78"/>
      <c r="D129" s="78"/>
      <c r="E129" s="78"/>
      <c r="F129" s="78"/>
      <c r="G129" s="78"/>
      <c r="H129" s="78"/>
      <c r="I129" s="78"/>
      <c r="J129" s="78"/>
      <c r="K129" s="78"/>
      <c r="L129" s="78"/>
      <c r="M129" s="78"/>
      <c r="N129" s="78"/>
      <c r="O129" s="78"/>
      <c r="P129" s="78">
        <f t="shared" si="85"/>
        <v>86301.29985067404</v>
      </c>
      <c r="Q129" s="78">
        <f t="shared" si="85"/>
        <v>85869.793351420667</v>
      </c>
      <c r="R129" s="78">
        <f t="shared" si="85"/>
        <v>85440.44438466357</v>
      </c>
      <c r="S129" s="78">
        <f t="shared" si="85"/>
        <v>85013.242162740251</v>
      </c>
      <c r="T129" s="78">
        <f t="shared" si="85"/>
        <v>84588.175951926562</v>
      </c>
      <c r="U129" s="78">
        <f t="shared" si="85"/>
        <v>84165.235072166921</v>
      </c>
    </row>
    <row r="130" spans="1:21" x14ac:dyDescent="0.35">
      <c r="A130" s="184" t="s">
        <v>146</v>
      </c>
      <c r="B130" s="184"/>
      <c r="C130" s="78"/>
      <c r="D130" s="78"/>
      <c r="E130" s="78"/>
      <c r="F130" s="78"/>
      <c r="G130" s="78"/>
      <c r="H130" s="78"/>
      <c r="I130" s="78"/>
      <c r="J130" s="78"/>
      <c r="K130" s="78"/>
      <c r="L130" s="78"/>
      <c r="M130" s="78"/>
      <c r="N130" s="78"/>
      <c r="O130" s="78"/>
      <c r="P130" s="78">
        <f t="shared" si="85"/>
        <v>0</v>
      </c>
      <c r="Q130" s="78">
        <f t="shared" si="85"/>
        <v>148179.37265999999</v>
      </c>
      <c r="R130" s="78">
        <f t="shared" si="85"/>
        <v>147438.47579669999</v>
      </c>
      <c r="S130" s="78">
        <f t="shared" si="85"/>
        <v>146701.28341771651</v>
      </c>
      <c r="T130" s="78">
        <f t="shared" si="85"/>
        <v>145967.77700062792</v>
      </c>
      <c r="U130" s="78">
        <f t="shared" si="85"/>
        <v>145237.93811562477</v>
      </c>
    </row>
    <row r="131" spans="1:21" x14ac:dyDescent="0.35">
      <c r="A131" s="184" t="s">
        <v>151</v>
      </c>
      <c r="B131" s="184"/>
      <c r="C131" s="78"/>
      <c r="D131" s="78"/>
      <c r="E131" s="78"/>
      <c r="F131" s="78"/>
      <c r="G131" s="78"/>
      <c r="H131" s="78"/>
      <c r="I131" s="78"/>
      <c r="J131" s="78"/>
      <c r="K131" s="78"/>
      <c r="L131" s="78"/>
      <c r="M131" s="78"/>
      <c r="N131" s="78"/>
      <c r="O131" s="78"/>
      <c r="P131" s="78">
        <f t="shared" si="85"/>
        <v>74089.686329999997</v>
      </c>
      <c r="Q131" s="78">
        <f t="shared" si="85"/>
        <v>73719.237898349995</v>
      </c>
      <c r="R131" s="78">
        <f t="shared" si="85"/>
        <v>73350.641708858253</v>
      </c>
      <c r="S131" s="78">
        <f t="shared" si="85"/>
        <v>72983.888500313973</v>
      </c>
      <c r="T131" s="78">
        <f t="shared" si="85"/>
        <v>72618.969057812399</v>
      </c>
      <c r="U131" s="78">
        <f t="shared" si="85"/>
        <v>72255.87421252334</v>
      </c>
    </row>
    <row r="132" spans="1:21" x14ac:dyDescent="0.35">
      <c r="A132" s="184" t="s">
        <v>155</v>
      </c>
      <c r="B132" s="184"/>
      <c r="C132" s="78"/>
      <c r="D132" s="78"/>
      <c r="E132" s="78"/>
      <c r="F132" s="78"/>
      <c r="G132" s="78"/>
      <c r="H132" s="78"/>
      <c r="I132" s="78"/>
      <c r="J132" s="78"/>
      <c r="K132" s="78"/>
      <c r="L132" s="78"/>
      <c r="M132" s="78"/>
      <c r="N132" s="78"/>
      <c r="O132" s="78"/>
      <c r="P132" s="78">
        <f t="shared" si="85"/>
        <v>0</v>
      </c>
      <c r="Q132" s="78">
        <f t="shared" si="85"/>
        <v>24696.562110000003</v>
      </c>
      <c r="R132" s="78">
        <f t="shared" si="85"/>
        <v>24573.079299450001</v>
      </c>
      <c r="S132" s="78">
        <f t="shared" si="85"/>
        <v>24450.21390295275</v>
      </c>
      <c r="T132" s="78">
        <f t="shared" si="85"/>
        <v>24327.962833437985</v>
      </c>
      <c r="U132" s="78">
        <f t="shared" si="85"/>
        <v>24206.323019270796</v>
      </c>
    </row>
    <row r="133" spans="1:21" x14ac:dyDescent="0.35">
      <c r="A133" s="12" t="s">
        <v>158</v>
      </c>
      <c r="B133" s="12"/>
      <c r="C133" s="78"/>
      <c r="D133" s="78"/>
      <c r="E133" s="78"/>
      <c r="F133" s="78"/>
      <c r="G133" s="78"/>
      <c r="H133" s="78"/>
      <c r="I133" s="78"/>
      <c r="J133" s="78"/>
      <c r="K133" s="78"/>
      <c r="L133" s="78"/>
      <c r="M133" s="78"/>
      <c r="N133" s="78"/>
      <c r="O133" s="78"/>
      <c r="P133" s="78">
        <f t="shared" si="85"/>
        <v>43150.64992533702</v>
      </c>
      <c r="Q133" s="78">
        <f t="shared" si="85"/>
        <v>42934.896675710334</v>
      </c>
      <c r="R133" s="78">
        <f t="shared" si="85"/>
        <v>42720.222192331785</v>
      </c>
      <c r="S133" s="78">
        <f t="shared" si="85"/>
        <v>42506.621081370125</v>
      </c>
      <c r="T133" s="78">
        <f t="shared" si="85"/>
        <v>42294.087975963281</v>
      </c>
      <c r="U133" s="78">
        <f t="shared" si="85"/>
        <v>42082.61753608346</v>
      </c>
    </row>
    <row r="134" spans="1:21" x14ac:dyDescent="0.35">
      <c r="A134" s="14" t="s">
        <v>90</v>
      </c>
      <c r="B134" s="14"/>
      <c r="C134" s="79">
        <f t="shared" ref="C134:U134" si="86">SUM(C128:C133)</f>
        <v>0</v>
      </c>
      <c r="D134" s="79">
        <f t="shared" si="86"/>
        <v>0</v>
      </c>
      <c r="E134" s="79">
        <f t="shared" si="86"/>
        <v>0</v>
      </c>
      <c r="F134" s="79">
        <f t="shared" si="86"/>
        <v>0</v>
      </c>
      <c r="G134" s="79">
        <f t="shared" si="86"/>
        <v>0</v>
      </c>
      <c r="H134" s="79">
        <f t="shared" si="86"/>
        <v>0</v>
      </c>
      <c r="I134" s="79">
        <f t="shared" si="86"/>
        <v>0</v>
      </c>
      <c r="J134" s="79">
        <f t="shared" si="86"/>
        <v>0</v>
      </c>
      <c r="K134" s="79">
        <f t="shared" si="86"/>
        <v>0</v>
      </c>
      <c r="L134" s="79">
        <f t="shared" si="86"/>
        <v>0</v>
      </c>
      <c r="M134" s="79">
        <f t="shared" si="86"/>
        <v>0</v>
      </c>
      <c r="N134" s="79">
        <f t="shared" si="86"/>
        <v>0</v>
      </c>
      <c r="O134" s="79">
        <f t="shared" si="86"/>
        <v>0</v>
      </c>
      <c r="P134" s="79">
        <f t="shared" si="86"/>
        <v>284601.00281465106</v>
      </c>
      <c r="Q134" s="79">
        <f t="shared" si="86"/>
        <v>456053.93257057777</v>
      </c>
      <c r="R134" s="79">
        <f t="shared" si="86"/>
        <v>453773.66290772491</v>
      </c>
      <c r="S134" s="79">
        <f t="shared" si="86"/>
        <v>451504.79459318629</v>
      </c>
      <c r="T134" s="79">
        <f t="shared" si="86"/>
        <v>449247.27062022046</v>
      </c>
      <c r="U134" s="79">
        <f t="shared" si="86"/>
        <v>447001.03426711925</v>
      </c>
    </row>
    <row r="136" spans="1:21" ht="15.5" x14ac:dyDescent="0.35">
      <c r="A136" s="77">
        <v>2038</v>
      </c>
      <c r="B136" s="220">
        <v>2024</v>
      </c>
      <c r="C136" s="220">
        <f>C127</f>
        <v>2025</v>
      </c>
      <c r="D136" s="220">
        <f t="shared" ref="D136:U136" si="87">D127</f>
        <v>2026</v>
      </c>
      <c r="E136" s="220">
        <f t="shared" si="87"/>
        <v>2027</v>
      </c>
      <c r="F136" s="220">
        <f t="shared" si="87"/>
        <v>2028</v>
      </c>
      <c r="G136" s="220">
        <f t="shared" si="87"/>
        <v>2029</v>
      </c>
      <c r="H136" s="220">
        <f t="shared" si="87"/>
        <v>2030</v>
      </c>
      <c r="I136" s="220">
        <f t="shared" si="87"/>
        <v>2031</v>
      </c>
      <c r="J136" s="220">
        <f t="shared" si="87"/>
        <v>2032</v>
      </c>
      <c r="K136" s="220">
        <f t="shared" si="87"/>
        <v>2033</v>
      </c>
      <c r="L136" s="220">
        <f t="shared" si="87"/>
        <v>2034</v>
      </c>
      <c r="M136" s="220">
        <f t="shared" si="87"/>
        <v>2035</v>
      </c>
      <c r="N136" s="220">
        <f t="shared" si="87"/>
        <v>2036</v>
      </c>
      <c r="O136" s="220">
        <f t="shared" si="87"/>
        <v>2037</v>
      </c>
      <c r="P136" s="220">
        <f t="shared" si="87"/>
        <v>2038</v>
      </c>
      <c r="Q136" s="220">
        <f t="shared" si="87"/>
        <v>2039</v>
      </c>
      <c r="R136" s="220">
        <f t="shared" si="87"/>
        <v>2040</v>
      </c>
      <c r="S136" s="220">
        <f t="shared" si="87"/>
        <v>2041</v>
      </c>
      <c r="T136" s="220">
        <f t="shared" si="87"/>
        <v>2042</v>
      </c>
      <c r="U136" s="220">
        <f t="shared" si="87"/>
        <v>2043</v>
      </c>
    </row>
    <row r="137" spans="1:21" x14ac:dyDescent="0.35">
      <c r="A137" s="184" t="s">
        <v>131</v>
      </c>
      <c r="B137" s="184"/>
      <c r="C137" s="78"/>
      <c r="D137" s="78"/>
      <c r="E137" s="78"/>
      <c r="F137" s="78"/>
      <c r="G137" s="78"/>
      <c r="H137" s="78"/>
      <c r="I137" s="78"/>
      <c r="J137" s="78"/>
      <c r="K137" s="78"/>
      <c r="L137" s="78"/>
      <c r="M137" s="78"/>
      <c r="N137" s="78"/>
      <c r="O137" s="78"/>
      <c r="P137" s="78"/>
      <c r="Q137" s="78">
        <f t="shared" ref="Q137:U142" si="88">P128</f>
        <v>81059.366708639995</v>
      </c>
      <c r="R137" s="78">
        <f t="shared" si="88"/>
        <v>80654.0698750968</v>
      </c>
      <c r="S137" s="78">
        <f t="shared" si="88"/>
        <v>80250.799525721319</v>
      </c>
      <c r="T137" s="78">
        <f t="shared" si="88"/>
        <v>79849.545528092713</v>
      </c>
      <c r="U137" s="78">
        <f t="shared" si="88"/>
        <v>79450.297800452245</v>
      </c>
    </row>
    <row r="138" spans="1:21" x14ac:dyDescent="0.35">
      <c r="A138" s="184" t="s">
        <v>137</v>
      </c>
      <c r="B138" s="184"/>
      <c r="C138" s="78"/>
      <c r="D138" s="78"/>
      <c r="E138" s="78"/>
      <c r="F138" s="78"/>
      <c r="G138" s="78"/>
      <c r="H138" s="78"/>
      <c r="I138" s="78"/>
      <c r="J138" s="78"/>
      <c r="K138" s="78"/>
      <c r="L138" s="78"/>
      <c r="M138" s="78"/>
      <c r="N138" s="78"/>
      <c r="O138" s="78"/>
      <c r="P138" s="78"/>
      <c r="Q138" s="78">
        <f t="shared" si="88"/>
        <v>86301.29985067404</v>
      </c>
      <c r="R138" s="78">
        <f t="shared" si="88"/>
        <v>85869.793351420667</v>
      </c>
      <c r="S138" s="78">
        <f t="shared" si="88"/>
        <v>85440.44438466357</v>
      </c>
      <c r="T138" s="78">
        <f t="shared" si="88"/>
        <v>85013.242162740251</v>
      </c>
      <c r="U138" s="78">
        <f t="shared" si="88"/>
        <v>84588.175951926562</v>
      </c>
    </row>
    <row r="139" spans="1:21" x14ac:dyDescent="0.35">
      <c r="A139" s="184" t="s">
        <v>146</v>
      </c>
      <c r="B139" s="184"/>
      <c r="C139" s="78"/>
      <c r="D139" s="78"/>
      <c r="E139" s="78"/>
      <c r="F139" s="78"/>
      <c r="G139" s="78"/>
      <c r="H139" s="78"/>
      <c r="I139" s="78"/>
      <c r="J139" s="78"/>
      <c r="K139" s="78"/>
      <c r="L139" s="78"/>
      <c r="M139" s="78"/>
      <c r="N139" s="78"/>
      <c r="O139" s="78"/>
      <c r="P139" s="78"/>
      <c r="Q139" s="78">
        <f t="shared" si="88"/>
        <v>0</v>
      </c>
      <c r="R139" s="78">
        <f t="shared" si="88"/>
        <v>148179.37265999999</v>
      </c>
      <c r="S139" s="78">
        <f t="shared" si="88"/>
        <v>147438.47579669999</v>
      </c>
      <c r="T139" s="78">
        <f t="shared" si="88"/>
        <v>146701.28341771651</v>
      </c>
      <c r="U139" s="78">
        <f t="shared" si="88"/>
        <v>145967.77700062792</v>
      </c>
    </row>
    <row r="140" spans="1:21" x14ac:dyDescent="0.35">
      <c r="A140" s="184" t="s">
        <v>151</v>
      </c>
      <c r="B140" s="184"/>
      <c r="C140" s="78"/>
      <c r="D140" s="78"/>
      <c r="E140" s="78"/>
      <c r="F140" s="78"/>
      <c r="G140" s="78"/>
      <c r="H140" s="78"/>
      <c r="I140" s="78"/>
      <c r="J140" s="78"/>
      <c r="K140" s="78"/>
      <c r="L140" s="78"/>
      <c r="M140" s="78"/>
      <c r="N140" s="78"/>
      <c r="O140" s="78"/>
      <c r="P140" s="78"/>
      <c r="Q140" s="78">
        <f t="shared" si="88"/>
        <v>74089.686329999997</v>
      </c>
      <c r="R140" s="78">
        <f t="shared" si="88"/>
        <v>73719.237898349995</v>
      </c>
      <c r="S140" s="78">
        <f t="shared" si="88"/>
        <v>73350.641708858253</v>
      </c>
      <c r="T140" s="78">
        <f t="shared" si="88"/>
        <v>72983.888500313973</v>
      </c>
      <c r="U140" s="78">
        <f t="shared" si="88"/>
        <v>72618.969057812399</v>
      </c>
    </row>
    <row r="141" spans="1:21" x14ac:dyDescent="0.35">
      <c r="A141" s="184" t="s">
        <v>155</v>
      </c>
      <c r="B141" s="184"/>
      <c r="C141" s="78"/>
      <c r="D141" s="78"/>
      <c r="E141" s="78"/>
      <c r="F141" s="78"/>
      <c r="G141" s="78"/>
      <c r="H141" s="78"/>
      <c r="I141" s="78"/>
      <c r="J141" s="78"/>
      <c r="K141" s="78"/>
      <c r="L141" s="78"/>
      <c r="M141" s="78"/>
      <c r="N141" s="78"/>
      <c r="O141" s="78"/>
      <c r="P141" s="78"/>
      <c r="Q141" s="78">
        <f t="shared" si="88"/>
        <v>0</v>
      </c>
      <c r="R141" s="78">
        <f t="shared" si="88"/>
        <v>24696.562110000003</v>
      </c>
      <c r="S141" s="78">
        <f t="shared" si="88"/>
        <v>24573.079299450001</v>
      </c>
      <c r="T141" s="78">
        <f t="shared" si="88"/>
        <v>24450.21390295275</v>
      </c>
      <c r="U141" s="78">
        <f t="shared" si="88"/>
        <v>24327.962833437985</v>
      </c>
    </row>
    <row r="142" spans="1:21" x14ac:dyDescent="0.35">
      <c r="A142" s="12" t="s">
        <v>158</v>
      </c>
      <c r="B142" s="12"/>
      <c r="C142" s="78"/>
      <c r="D142" s="78"/>
      <c r="E142" s="78"/>
      <c r="F142" s="78"/>
      <c r="G142" s="78"/>
      <c r="H142" s="78"/>
      <c r="I142" s="78"/>
      <c r="J142" s="78"/>
      <c r="K142" s="78"/>
      <c r="L142" s="78"/>
      <c r="M142" s="78"/>
      <c r="N142" s="78"/>
      <c r="O142" s="78"/>
      <c r="P142" s="78"/>
      <c r="Q142" s="78">
        <f t="shared" si="88"/>
        <v>43150.64992533702</v>
      </c>
      <c r="R142" s="78">
        <f t="shared" si="88"/>
        <v>42934.896675710334</v>
      </c>
      <c r="S142" s="78">
        <f t="shared" si="88"/>
        <v>42720.222192331785</v>
      </c>
      <c r="T142" s="78">
        <f t="shared" si="88"/>
        <v>42506.621081370125</v>
      </c>
      <c r="U142" s="78">
        <f t="shared" si="88"/>
        <v>42294.087975963281</v>
      </c>
    </row>
    <row r="143" spans="1:21" x14ac:dyDescent="0.35">
      <c r="A143" s="14" t="s">
        <v>90</v>
      </c>
      <c r="B143" s="14"/>
      <c r="C143" s="79">
        <f t="shared" ref="C143:U143" si="89">SUM(C137:C142)</f>
        <v>0</v>
      </c>
      <c r="D143" s="79">
        <f t="shared" si="89"/>
        <v>0</v>
      </c>
      <c r="E143" s="79">
        <f t="shared" si="89"/>
        <v>0</v>
      </c>
      <c r="F143" s="79">
        <f t="shared" si="89"/>
        <v>0</v>
      </c>
      <c r="G143" s="79">
        <f t="shared" si="89"/>
        <v>0</v>
      </c>
      <c r="H143" s="79">
        <f t="shared" si="89"/>
        <v>0</v>
      </c>
      <c r="I143" s="79">
        <f t="shared" si="89"/>
        <v>0</v>
      </c>
      <c r="J143" s="79">
        <f t="shared" si="89"/>
        <v>0</v>
      </c>
      <c r="K143" s="79">
        <f t="shared" si="89"/>
        <v>0</v>
      </c>
      <c r="L143" s="79">
        <f t="shared" si="89"/>
        <v>0</v>
      </c>
      <c r="M143" s="79">
        <f t="shared" si="89"/>
        <v>0</v>
      </c>
      <c r="N143" s="79">
        <f t="shared" si="89"/>
        <v>0</v>
      </c>
      <c r="O143" s="79">
        <f t="shared" si="89"/>
        <v>0</v>
      </c>
      <c r="P143" s="79">
        <f t="shared" si="89"/>
        <v>0</v>
      </c>
      <c r="Q143" s="79">
        <f t="shared" si="89"/>
        <v>284601.00281465106</v>
      </c>
      <c r="R143" s="79">
        <f t="shared" si="89"/>
        <v>456053.93257057777</v>
      </c>
      <c r="S143" s="79">
        <f t="shared" si="89"/>
        <v>453773.66290772491</v>
      </c>
      <c r="T143" s="79">
        <f t="shared" si="89"/>
        <v>451504.79459318629</v>
      </c>
      <c r="U143" s="79">
        <f t="shared" si="89"/>
        <v>449247.27062022046</v>
      </c>
    </row>
    <row r="145" spans="1:21" ht="15.5" x14ac:dyDescent="0.35">
      <c r="A145" s="77">
        <v>2039</v>
      </c>
      <c r="B145" s="220">
        <v>2024</v>
      </c>
      <c r="C145" s="220">
        <f>C136</f>
        <v>2025</v>
      </c>
      <c r="D145" s="220">
        <f t="shared" ref="D145:U145" si="90">D136</f>
        <v>2026</v>
      </c>
      <c r="E145" s="220">
        <f t="shared" si="90"/>
        <v>2027</v>
      </c>
      <c r="F145" s="220">
        <f t="shared" si="90"/>
        <v>2028</v>
      </c>
      <c r="G145" s="220">
        <f t="shared" si="90"/>
        <v>2029</v>
      </c>
      <c r="H145" s="220">
        <f t="shared" si="90"/>
        <v>2030</v>
      </c>
      <c r="I145" s="220">
        <f t="shared" si="90"/>
        <v>2031</v>
      </c>
      <c r="J145" s="220">
        <f t="shared" si="90"/>
        <v>2032</v>
      </c>
      <c r="K145" s="220">
        <f t="shared" si="90"/>
        <v>2033</v>
      </c>
      <c r="L145" s="220">
        <f t="shared" si="90"/>
        <v>2034</v>
      </c>
      <c r="M145" s="220">
        <f t="shared" si="90"/>
        <v>2035</v>
      </c>
      <c r="N145" s="220">
        <f t="shared" si="90"/>
        <v>2036</v>
      </c>
      <c r="O145" s="220">
        <f t="shared" si="90"/>
        <v>2037</v>
      </c>
      <c r="P145" s="220">
        <f t="shared" si="90"/>
        <v>2038</v>
      </c>
      <c r="Q145" s="220">
        <f t="shared" si="90"/>
        <v>2039</v>
      </c>
      <c r="R145" s="220">
        <f t="shared" si="90"/>
        <v>2040</v>
      </c>
      <c r="S145" s="220">
        <f t="shared" si="90"/>
        <v>2041</v>
      </c>
      <c r="T145" s="220">
        <f t="shared" si="90"/>
        <v>2042</v>
      </c>
      <c r="U145" s="220">
        <f t="shared" si="90"/>
        <v>2043</v>
      </c>
    </row>
    <row r="146" spans="1:21" x14ac:dyDescent="0.35">
      <c r="A146" s="184" t="s">
        <v>131</v>
      </c>
      <c r="B146" s="184"/>
      <c r="C146" s="78"/>
      <c r="D146" s="78"/>
      <c r="E146" s="78"/>
      <c r="F146" s="78"/>
      <c r="G146" s="78"/>
      <c r="H146" s="78"/>
      <c r="I146" s="78"/>
      <c r="J146" s="78"/>
      <c r="K146" s="78"/>
      <c r="L146" s="78"/>
      <c r="M146" s="78"/>
      <c r="N146" s="78"/>
      <c r="O146" s="78"/>
      <c r="P146" s="78"/>
      <c r="Q146" s="78"/>
      <c r="R146" s="78">
        <f t="shared" ref="R146:U151" si="91">Q137</f>
        <v>81059.366708639995</v>
      </c>
      <c r="S146" s="78">
        <f t="shared" si="91"/>
        <v>80654.0698750968</v>
      </c>
      <c r="T146" s="78">
        <f t="shared" si="91"/>
        <v>80250.799525721319</v>
      </c>
      <c r="U146" s="78">
        <f t="shared" si="91"/>
        <v>79849.545528092713</v>
      </c>
    </row>
    <row r="147" spans="1:21" x14ac:dyDescent="0.35">
      <c r="A147" s="184" t="s">
        <v>137</v>
      </c>
      <c r="B147" s="184"/>
      <c r="C147" s="78"/>
      <c r="D147" s="78"/>
      <c r="E147" s="78"/>
      <c r="F147" s="78"/>
      <c r="G147" s="78"/>
      <c r="H147" s="78"/>
      <c r="I147" s="78"/>
      <c r="J147" s="78"/>
      <c r="K147" s="78"/>
      <c r="L147" s="78"/>
      <c r="M147" s="78"/>
      <c r="N147" s="78"/>
      <c r="O147" s="78"/>
      <c r="P147" s="78"/>
      <c r="Q147" s="78"/>
      <c r="R147" s="78">
        <f t="shared" si="91"/>
        <v>86301.29985067404</v>
      </c>
      <c r="S147" s="78">
        <f t="shared" si="91"/>
        <v>85869.793351420667</v>
      </c>
      <c r="T147" s="78">
        <f t="shared" si="91"/>
        <v>85440.44438466357</v>
      </c>
      <c r="U147" s="78">
        <f t="shared" si="91"/>
        <v>85013.242162740251</v>
      </c>
    </row>
    <row r="148" spans="1:21" x14ac:dyDescent="0.35">
      <c r="A148" s="184" t="s">
        <v>146</v>
      </c>
      <c r="B148" s="184"/>
      <c r="C148" s="78"/>
      <c r="D148" s="78"/>
      <c r="E148" s="78"/>
      <c r="F148" s="78"/>
      <c r="G148" s="78"/>
      <c r="H148" s="78"/>
      <c r="I148" s="78"/>
      <c r="J148" s="78"/>
      <c r="K148" s="78"/>
      <c r="L148" s="78"/>
      <c r="M148" s="78"/>
      <c r="N148" s="78"/>
      <c r="O148" s="78"/>
      <c r="P148" s="78"/>
      <c r="Q148" s="78"/>
      <c r="R148" s="78">
        <f t="shared" si="91"/>
        <v>0</v>
      </c>
      <c r="S148" s="78">
        <f t="shared" si="91"/>
        <v>148179.37265999999</v>
      </c>
      <c r="T148" s="78">
        <f t="shared" si="91"/>
        <v>147438.47579669999</v>
      </c>
      <c r="U148" s="78">
        <f t="shared" si="91"/>
        <v>146701.28341771651</v>
      </c>
    </row>
    <row r="149" spans="1:21" x14ac:dyDescent="0.35">
      <c r="A149" s="184" t="s">
        <v>151</v>
      </c>
      <c r="B149" s="184"/>
      <c r="C149" s="78"/>
      <c r="D149" s="78"/>
      <c r="E149" s="78"/>
      <c r="F149" s="78"/>
      <c r="G149" s="78"/>
      <c r="H149" s="78"/>
      <c r="I149" s="78"/>
      <c r="J149" s="78"/>
      <c r="K149" s="78"/>
      <c r="L149" s="78"/>
      <c r="M149" s="78"/>
      <c r="N149" s="78"/>
      <c r="O149" s="78"/>
      <c r="P149" s="78"/>
      <c r="Q149" s="78"/>
      <c r="R149" s="78">
        <f t="shared" si="91"/>
        <v>74089.686329999997</v>
      </c>
      <c r="S149" s="78">
        <f t="shared" si="91"/>
        <v>73719.237898349995</v>
      </c>
      <c r="T149" s="78">
        <f t="shared" si="91"/>
        <v>73350.641708858253</v>
      </c>
      <c r="U149" s="78">
        <f t="shared" si="91"/>
        <v>72983.888500313973</v>
      </c>
    </row>
    <row r="150" spans="1:21" x14ac:dyDescent="0.35">
      <c r="A150" s="184" t="s">
        <v>155</v>
      </c>
      <c r="B150" s="184"/>
      <c r="C150" s="78"/>
      <c r="D150" s="78"/>
      <c r="E150" s="78"/>
      <c r="F150" s="78"/>
      <c r="G150" s="78"/>
      <c r="H150" s="78"/>
      <c r="I150" s="78"/>
      <c r="J150" s="78"/>
      <c r="K150" s="78"/>
      <c r="L150" s="78"/>
      <c r="M150" s="78"/>
      <c r="N150" s="78"/>
      <c r="O150" s="78"/>
      <c r="P150" s="78"/>
      <c r="Q150" s="78"/>
      <c r="R150" s="78">
        <f t="shared" si="91"/>
        <v>0</v>
      </c>
      <c r="S150" s="78">
        <f t="shared" si="91"/>
        <v>24696.562110000003</v>
      </c>
      <c r="T150" s="78">
        <f t="shared" si="91"/>
        <v>24573.079299450001</v>
      </c>
      <c r="U150" s="78">
        <f t="shared" si="91"/>
        <v>24450.21390295275</v>
      </c>
    </row>
    <row r="151" spans="1:21" x14ac:dyDescent="0.35">
      <c r="A151" s="12" t="s">
        <v>158</v>
      </c>
      <c r="B151" s="12"/>
      <c r="C151" s="78"/>
      <c r="D151" s="78"/>
      <c r="E151" s="78"/>
      <c r="F151" s="78"/>
      <c r="G151" s="78"/>
      <c r="H151" s="78"/>
      <c r="I151" s="78"/>
      <c r="J151" s="78"/>
      <c r="K151" s="78"/>
      <c r="L151" s="78"/>
      <c r="M151" s="78"/>
      <c r="N151" s="78"/>
      <c r="O151" s="78"/>
      <c r="P151" s="78"/>
      <c r="Q151" s="78"/>
      <c r="R151" s="78">
        <f t="shared" si="91"/>
        <v>43150.64992533702</v>
      </c>
      <c r="S151" s="78">
        <f t="shared" si="91"/>
        <v>42934.896675710334</v>
      </c>
      <c r="T151" s="78">
        <f t="shared" si="91"/>
        <v>42720.222192331785</v>
      </c>
      <c r="U151" s="78">
        <f t="shared" si="91"/>
        <v>42506.621081370125</v>
      </c>
    </row>
    <row r="152" spans="1:21" x14ac:dyDescent="0.35">
      <c r="A152" s="14" t="s">
        <v>90</v>
      </c>
      <c r="B152" s="14"/>
      <c r="C152" s="79">
        <f t="shared" ref="C152:U152" si="92">SUM(C146:C151)</f>
        <v>0</v>
      </c>
      <c r="D152" s="79">
        <f t="shared" si="92"/>
        <v>0</v>
      </c>
      <c r="E152" s="79">
        <f t="shared" si="92"/>
        <v>0</v>
      </c>
      <c r="F152" s="79">
        <f t="shared" si="92"/>
        <v>0</v>
      </c>
      <c r="G152" s="79">
        <f t="shared" si="92"/>
        <v>0</v>
      </c>
      <c r="H152" s="79">
        <f t="shared" si="92"/>
        <v>0</v>
      </c>
      <c r="I152" s="79">
        <f t="shared" si="92"/>
        <v>0</v>
      </c>
      <c r="J152" s="79">
        <f t="shared" si="92"/>
        <v>0</v>
      </c>
      <c r="K152" s="79">
        <f t="shared" si="92"/>
        <v>0</v>
      </c>
      <c r="L152" s="79">
        <f t="shared" si="92"/>
        <v>0</v>
      </c>
      <c r="M152" s="79">
        <f t="shared" si="92"/>
        <v>0</v>
      </c>
      <c r="N152" s="79">
        <f t="shared" si="92"/>
        <v>0</v>
      </c>
      <c r="O152" s="79">
        <f t="shared" si="92"/>
        <v>0</v>
      </c>
      <c r="P152" s="79">
        <f t="shared" si="92"/>
        <v>0</v>
      </c>
      <c r="Q152" s="79">
        <f t="shared" si="92"/>
        <v>0</v>
      </c>
      <c r="R152" s="79">
        <f t="shared" si="92"/>
        <v>284601.00281465106</v>
      </c>
      <c r="S152" s="79">
        <f t="shared" si="92"/>
        <v>456053.93257057777</v>
      </c>
      <c r="T152" s="79">
        <f t="shared" si="92"/>
        <v>453773.66290772491</v>
      </c>
      <c r="U152" s="79">
        <f t="shared" si="92"/>
        <v>451504.79459318629</v>
      </c>
    </row>
    <row r="154" spans="1:21" ht="15.5" x14ac:dyDescent="0.35">
      <c r="A154" s="77">
        <v>2040</v>
      </c>
      <c r="B154" s="220">
        <v>2024</v>
      </c>
      <c r="C154" s="220">
        <f>C145</f>
        <v>2025</v>
      </c>
      <c r="D154" s="220">
        <f t="shared" ref="D154:U154" si="93">D145</f>
        <v>2026</v>
      </c>
      <c r="E154" s="220">
        <f t="shared" si="93"/>
        <v>2027</v>
      </c>
      <c r="F154" s="220">
        <f t="shared" si="93"/>
        <v>2028</v>
      </c>
      <c r="G154" s="220">
        <f t="shared" si="93"/>
        <v>2029</v>
      </c>
      <c r="H154" s="220">
        <f t="shared" si="93"/>
        <v>2030</v>
      </c>
      <c r="I154" s="220">
        <f t="shared" si="93"/>
        <v>2031</v>
      </c>
      <c r="J154" s="220">
        <f t="shared" si="93"/>
        <v>2032</v>
      </c>
      <c r="K154" s="220">
        <f t="shared" si="93"/>
        <v>2033</v>
      </c>
      <c r="L154" s="220">
        <f t="shared" si="93"/>
        <v>2034</v>
      </c>
      <c r="M154" s="220">
        <f t="shared" si="93"/>
        <v>2035</v>
      </c>
      <c r="N154" s="220">
        <f t="shared" si="93"/>
        <v>2036</v>
      </c>
      <c r="O154" s="220">
        <f t="shared" si="93"/>
        <v>2037</v>
      </c>
      <c r="P154" s="220">
        <f t="shared" si="93"/>
        <v>2038</v>
      </c>
      <c r="Q154" s="220">
        <f t="shared" si="93"/>
        <v>2039</v>
      </c>
      <c r="R154" s="220">
        <f t="shared" si="93"/>
        <v>2040</v>
      </c>
      <c r="S154" s="220">
        <f t="shared" si="93"/>
        <v>2041</v>
      </c>
      <c r="T154" s="220">
        <f t="shared" si="93"/>
        <v>2042</v>
      </c>
      <c r="U154" s="220">
        <f t="shared" si="93"/>
        <v>2043</v>
      </c>
    </row>
    <row r="155" spans="1:21" x14ac:dyDescent="0.35">
      <c r="A155" s="184" t="s">
        <v>131</v>
      </c>
      <c r="B155" s="184"/>
      <c r="C155" s="78"/>
      <c r="D155" s="78"/>
      <c r="E155" s="78"/>
      <c r="F155" s="78"/>
      <c r="G155" s="78"/>
      <c r="H155" s="78"/>
      <c r="I155" s="78"/>
      <c r="J155" s="78"/>
      <c r="K155" s="78"/>
      <c r="L155" s="78"/>
      <c r="M155" s="78"/>
      <c r="N155" s="78"/>
      <c r="O155" s="78"/>
      <c r="P155" s="78"/>
      <c r="Q155" s="78"/>
      <c r="R155" s="78"/>
      <c r="S155" s="78">
        <f t="shared" ref="S155:U160" si="94">R146</f>
        <v>81059.366708639995</v>
      </c>
      <c r="T155" s="78">
        <f t="shared" si="94"/>
        <v>80654.0698750968</v>
      </c>
      <c r="U155" s="78">
        <f t="shared" si="94"/>
        <v>80250.799525721319</v>
      </c>
    </row>
    <row r="156" spans="1:21" x14ac:dyDescent="0.35">
      <c r="A156" s="184" t="s">
        <v>137</v>
      </c>
      <c r="B156" s="184"/>
      <c r="C156" s="78"/>
      <c r="D156" s="78"/>
      <c r="E156" s="78"/>
      <c r="F156" s="78"/>
      <c r="G156" s="78"/>
      <c r="H156" s="78"/>
      <c r="I156" s="78"/>
      <c r="J156" s="78"/>
      <c r="K156" s="78"/>
      <c r="L156" s="78"/>
      <c r="M156" s="78"/>
      <c r="N156" s="78"/>
      <c r="O156" s="78"/>
      <c r="P156" s="78"/>
      <c r="Q156" s="78"/>
      <c r="R156" s="78"/>
      <c r="S156" s="78">
        <f t="shared" si="94"/>
        <v>86301.29985067404</v>
      </c>
      <c r="T156" s="78">
        <f t="shared" si="94"/>
        <v>85869.793351420667</v>
      </c>
      <c r="U156" s="78">
        <f t="shared" si="94"/>
        <v>85440.44438466357</v>
      </c>
    </row>
    <row r="157" spans="1:21" x14ac:dyDescent="0.35">
      <c r="A157" s="184" t="s">
        <v>146</v>
      </c>
      <c r="B157" s="184"/>
      <c r="C157" s="78"/>
      <c r="D157" s="78"/>
      <c r="E157" s="78"/>
      <c r="F157" s="78"/>
      <c r="G157" s="78"/>
      <c r="H157" s="78"/>
      <c r="I157" s="78"/>
      <c r="J157" s="78"/>
      <c r="K157" s="78"/>
      <c r="L157" s="78"/>
      <c r="M157" s="78"/>
      <c r="N157" s="78"/>
      <c r="O157" s="78"/>
      <c r="P157" s="78"/>
      <c r="Q157" s="78"/>
      <c r="R157" s="78"/>
      <c r="S157" s="78">
        <f t="shared" si="94"/>
        <v>0</v>
      </c>
      <c r="T157" s="78">
        <f t="shared" si="94"/>
        <v>148179.37265999999</v>
      </c>
      <c r="U157" s="78">
        <f t="shared" si="94"/>
        <v>147438.47579669999</v>
      </c>
    </row>
    <row r="158" spans="1:21" x14ac:dyDescent="0.35">
      <c r="A158" s="184" t="s">
        <v>151</v>
      </c>
      <c r="B158" s="184"/>
      <c r="C158" s="78"/>
      <c r="D158" s="78"/>
      <c r="E158" s="78"/>
      <c r="F158" s="78"/>
      <c r="G158" s="78"/>
      <c r="H158" s="78"/>
      <c r="I158" s="78"/>
      <c r="J158" s="78"/>
      <c r="K158" s="78"/>
      <c r="L158" s="78"/>
      <c r="M158" s="78"/>
      <c r="N158" s="78"/>
      <c r="O158" s="78"/>
      <c r="P158" s="78"/>
      <c r="Q158" s="78"/>
      <c r="R158" s="78"/>
      <c r="S158" s="78">
        <f t="shared" si="94"/>
        <v>74089.686329999997</v>
      </c>
      <c r="T158" s="78">
        <f t="shared" si="94"/>
        <v>73719.237898349995</v>
      </c>
      <c r="U158" s="78">
        <f t="shared" si="94"/>
        <v>73350.641708858253</v>
      </c>
    </row>
    <row r="159" spans="1:21" x14ac:dyDescent="0.35">
      <c r="A159" s="184" t="s">
        <v>155</v>
      </c>
      <c r="B159" s="184"/>
      <c r="C159" s="78"/>
      <c r="D159" s="78"/>
      <c r="E159" s="78"/>
      <c r="F159" s="78"/>
      <c r="G159" s="78"/>
      <c r="H159" s="78"/>
      <c r="I159" s="78"/>
      <c r="J159" s="78"/>
      <c r="K159" s="78"/>
      <c r="L159" s="78"/>
      <c r="M159" s="78"/>
      <c r="N159" s="78"/>
      <c r="O159" s="78"/>
      <c r="P159" s="78"/>
      <c r="Q159" s="78"/>
      <c r="R159" s="78"/>
      <c r="S159" s="78">
        <f t="shared" si="94"/>
        <v>0</v>
      </c>
      <c r="T159" s="78">
        <f t="shared" si="94"/>
        <v>24696.562110000003</v>
      </c>
      <c r="U159" s="78">
        <f t="shared" si="94"/>
        <v>24573.079299450001</v>
      </c>
    </row>
    <row r="160" spans="1:21" x14ac:dyDescent="0.35">
      <c r="A160" s="12" t="s">
        <v>158</v>
      </c>
      <c r="B160" s="12"/>
      <c r="C160" s="78"/>
      <c r="D160" s="78"/>
      <c r="E160" s="78"/>
      <c r="F160" s="78"/>
      <c r="G160" s="78"/>
      <c r="H160" s="78"/>
      <c r="I160" s="78"/>
      <c r="J160" s="78"/>
      <c r="K160" s="78"/>
      <c r="L160" s="78"/>
      <c r="M160" s="78"/>
      <c r="N160" s="78"/>
      <c r="O160" s="78"/>
      <c r="P160" s="78"/>
      <c r="Q160" s="78"/>
      <c r="R160" s="78"/>
      <c r="S160" s="78">
        <f t="shared" si="94"/>
        <v>43150.64992533702</v>
      </c>
      <c r="T160" s="78">
        <f t="shared" si="94"/>
        <v>42934.896675710334</v>
      </c>
      <c r="U160" s="78">
        <f t="shared" si="94"/>
        <v>42720.222192331785</v>
      </c>
    </row>
    <row r="161" spans="1:21" x14ac:dyDescent="0.35">
      <c r="A161" s="14" t="s">
        <v>90</v>
      </c>
      <c r="B161" s="14"/>
      <c r="C161" s="79">
        <f t="shared" ref="C161:U161" si="95">SUM(C155:C160)</f>
        <v>0</v>
      </c>
      <c r="D161" s="79">
        <f t="shared" si="95"/>
        <v>0</v>
      </c>
      <c r="E161" s="79">
        <f t="shared" si="95"/>
        <v>0</v>
      </c>
      <c r="F161" s="79">
        <f t="shared" si="95"/>
        <v>0</v>
      </c>
      <c r="G161" s="79">
        <f t="shared" si="95"/>
        <v>0</v>
      </c>
      <c r="H161" s="79">
        <f t="shared" si="95"/>
        <v>0</v>
      </c>
      <c r="I161" s="79">
        <f t="shared" si="95"/>
        <v>0</v>
      </c>
      <c r="J161" s="79">
        <f t="shared" si="95"/>
        <v>0</v>
      </c>
      <c r="K161" s="79">
        <f t="shared" si="95"/>
        <v>0</v>
      </c>
      <c r="L161" s="79">
        <f t="shared" si="95"/>
        <v>0</v>
      </c>
      <c r="M161" s="79">
        <f t="shared" si="95"/>
        <v>0</v>
      </c>
      <c r="N161" s="79">
        <f t="shared" si="95"/>
        <v>0</v>
      </c>
      <c r="O161" s="79">
        <f t="shared" si="95"/>
        <v>0</v>
      </c>
      <c r="P161" s="79">
        <f t="shared" si="95"/>
        <v>0</v>
      </c>
      <c r="Q161" s="79">
        <f t="shared" si="95"/>
        <v>0</v>
      </c>
      <c r="R161" s="79">
        <f t="shared" si="95"/>
        <v>0</v>
      </c>
      <c r="S161" s="79">
        <f t="shared" si="95"/>
        <v>284601.00281465106</v>
      </c>
      <c r="T161" s="79">
        <f t="shared" si="95"/>
        <v>456053.93257057777</v>
      </c>
      <c r="U161" s="79">
        <f t="shared" si="95"/>
        <v>453773.66290772491</v>
      </c>
    </row>
    <row r="163" spans="1:21" ht="15.5" x14ac:dyDescent="0.35">
      <c r="A163" s="177" t="s">
        <v>175</v>
      </c>
      <c r="B163" s="177">
        <v>2024</v>
      </c>
      <c r="C163" s="220">
        <f>C154</f>
        <v>2025</v>
      </c>
      <c r="D163" s="220">
        <f t="shared" ref="D163:U163" si="96">D154</f>
        <v>2026</v>
      </c>
      <c r="E163" s="220">
        <f t="shared" si="96"/>
        <v>2027</v>
      </c>
      <c r="F163" s="220">
        <f t="shared" si="96"/>
        <v>2028</v>
      </c>
      <c r="G163" s="220">
        <f t="shared" si="96"/>
        <v>2029</v>
      </c>
      <c r="H163" s="220">
        <f t="shared" si="96"/>
        <v>2030</v>
      </c>
      <c r="I163" s="220">
        <f t="shared" si="96"/>
        <v>2031</v>
      </c>
      <c r="J163" s="220">
        <f t="shared" si="96"/>
        <v>2032</v>
      </c>
      <c r="K163" s="220">
        <f t="shared" si="96"/>
        <v>2033</v>
      </c>
      <c r="L163" s="220">
        <f t="shared" si="96"/>
        <v>2034</v>
      </c>
      <c r="M163" s="220">
        <f t="shared" si="96"/>
        <v>2035</v>
      </c>
      <c r="N163" s="220">
        <f t="shared" si="96"/>
        <v>2036</v>
      </c>
      <c r="O163" s="220">
        <f t="shared" si="96"/>
        <v>2037</v>
      </c>
      <c r="P163" s="220">
        <f t="shared" si="96"/>
        <v>2038</v>
      </c>
      <c r="Q163" s="220">
        <f t="shared" si="96"/>
        <v>2039</v>
      </c>
      <c r="R163" s="220">
        <f t="shared" si="96"/>
        <v>2040</v>
      </c>
      <c r="S163" s="220">
        <f t="shared" si="96"/>
        <v>2041</v>
      </c>
      <c r="T163" s="220">
        <f t="shared" si="96"/>
        <v>2042</v>
      </c>
      <c r="U163" s="220">
        <f t="shared" si="96"/>
        <v>2043</v>
      </c>
    </row>
    <row r="164" spans="1:21" x14ac:dyDescent="0.35">
      <c r="A164" s="184" t="s">
        <v>131</v>
      </c>
      <c r="B164" s="13">
        <f>SUMIFS(B2:B161, $A$2:$A$161, $A$164)</f>
        <v>152270.70136704002</v>
      </c>
      <c r="C164" s="13">
        <f>SUMIFS(C2:C161, $A$2:$A$161, $A$164)</f>
        <v>297416.20793575683</v>
      </c>
      <c r="D164" s="13">
        <f>SUMIFS(D2:D161, $A$2:$A$161, $A$164)</f>
        <v>441835.98697163002</v>
      </c>
      <c r="E164" s="13">
        <f t="shared" ref="E164:U164" si="97">SUMIFS(E2:E161, $A$2:$A$161, $A$164)</f>
        <v>585533.66711232392</v>
      </c>
      <c r="F164" s="13">
        <f t="shared" si="97"/>
        <v>728512.8588523143</v>
      </c>
      <c r="G164" s="13">
        <f t="shared" si="97"/>
        <v>870777.15463360469</v>
      </c>
      <c r="H164" s="13">
        <f t="shared" si="97"/>
        <v>1012330.1289359888</v>
      </c>
      <c r="I164" s="13">
        <f t="shared" si="97"/>
        <v>1169387.2117085888</v>
      </c>
      <c r="J164" s="13">
        <f t="shared" si="97"/>
        <v>1325659.0090673259</v>
      </c>
      <c r="K164" s="13">
        <f t="shared" si="97"/>
        <v>1481149.4474392692</v>
      </c>
      <c r="L164" s="13">
        <f t="shared" si="97"/>
        <v>1554803.066910713</v>
      </c>
      <c r="M164" s="13">
        <f t="shared" si="97"/>
        <v>1628088.4182847997</v>
      </c>
      <c r="N164" s="13">
        <f t="shared" si="97"/>
        <v>1701007.3429020152</v>
      </c>
      <c r="O164" s="13">
        <f t="shared" si="97"/>
        <v>1773561.6728961451</v>
      </c>
      <c r="P164" s="13">
        <f t="shared" si="97"/>
        <v>1845753.2312403044</v>
      </c>
      <c r="Q164" s="13">
        <f t="shared" si="97"/>
        <v>1776342.2543444741</v>
      </c>
      <c r="R164" s="13">
        <f t="shared" si="97"/>
        <v>1713181.2340375918</v>
      </c>
      <c r="S164" s="13">
        <f t="shared" si="97"/>
        <v>1650336.018832244</v>
      </c>
      <c r="T164" s="13">
        <f t="shared" si="97"/>
        <v>1506745.662994283</v>
      </c>
      <c r="U164" s="13">
        <f t="shared" si="97"/>
        <v>1363873.2589355118</v>
      </c>
    </row>
    <row r="165" spans="1:21" x14ac:dyDescent="0.35">
      <c r="A165" s="184" t="s">
        <v>137</v>
      </c>
      <c r="B165" s="13">
        <f>SUMIFS(B2:B161, $A$2:$A$161, $A$165)</f>
        <v>210469.22732669531</v>
      </c>
      <c r="C165" s="13">
        <f t="shared" ref="C165:U165" si="98">SUMIFS(C2:C161, $A$2:$A$161, $A$165)</f>
        <v>364759.22092127509</v>
      </c>
      <c r="D165" s="13">
        <f t="shared" si="98"/>
        <v>518277.76454788202</v>
      </c>
      <c r="E165" s="13">
        <f t="shared" si="98"/>
        <v>671028.71545635583</v>
      </c>
      <c r="F165" s="13">
        <f t="shared" si="98"/>
        <v>823015.91161028738</v>
      </c>
      <c r="G165" s="13">
        <f t="shared" si="98"/>
        <v>974243.17178344924</v>
      </c>
      <c r="H165" s="13">
        <f t="shared" si="98"/>
        <v>1124714.2956557451</v>
      </c>
      <c r="I165" s="13">
        <f t="shared" si="98"/>
        <v>1291693.3238788147</v>
      </c>
      <c r="J165" s="13">
        <f t="shared" si="98"/>
        <v>1457837.4569607684</v>
      </c>
      <c r="K165" s="13">
        <f t="shared" si="98"/>
        <v>1623150.8693773127</v>
      </c>
      <c r="L165" s="13">
        <f t="shared" si="98"/>
        <v>1701336.4148811004</v>
      </c>
      <c r="M165" s="13">
        <f t="shared" si="98"/>
        <v>1779131.032657369</v>
      </c>
      <c r="N165" s="13">
        <f t="shared" si="98"/>
        <v>1856536.677344756</v>
      </c>
      <c r="O165" s="13">
        <f t="shared" si="98"/>
        <v>1933555.2938087066</v>
      </c>
      <c r="P165" s="13">
        <f t="shared" si="98"/>
        <v>2010188.8171903368</v>
      </c>
      <c r="Q165" s="13">
        <f t="shared" si="98"/>
        <v>1891214.4487956462</v>
      </c>
      <c r="R165" s="13">
        <f t="shared" si="98"/>
        <v>1823968.9425240343</v>
      </c>
      <c r="S165" s="13">
        <f t="shared" si="98"/>
        <v>1757059.6637837801</v>
      </c>
      <c r="T165" s="13">
        <f t="shared" si="98"/>
        <v>1604183.6315865531</v>
      </c>
      <c r="U165" s="13">
        <f t="shared" si="98"/>
        <v>1452071.9795503127</v>
      </c>
    </row>
    <row r="166" spans="1:21" x14ac:dyDescent="0.35">
      <c r="A166" s="184" t="s">
        <v>146</v>
      </c>
      <c r="B166" s="13">
        <f>SUMIFS(B2:B161, $A$2:$A$161, $A$166)</f>
        <v>0</v>
      </c>
      <c r="C166" s="13">
        <f t="shared" ref="C166:U166" si="99">SUMIFS(C2:C161, $A$2:$A$161, $A$166)</f>
        <v>163834.10498400001</v>
      </c>
      <c r="D166" s="13">
        <f t="shared" si="99"/>
        <v>429737.80524708005</v>
      </c>
      <c r="E166" s="13">
        <f t="shared" si="99"/>
        <v>694311.98700884462</v>
      </c>
      <c r="F166" s="13">
        <f t="shared" si="99"/>
        <v>957563.29786180053</v>
      </c>
      <c r="G166" s="13">
        <f t="shared" si="99"/>
        <v>1219498.3521604915</v>
      </c>
      <c r="H166" s="13">
        <f t="shared" si="99"/>
        <v>1480123.7311876889</v>
      </c>
      <c r="I166" s="13">
        <f t="shared" si="99"/>
        <v>1739445.9833197505</v>
      </c>
      <c r="J166" s="13">
        <f t="shared" si="99"/>
        <v>2027107.4987231516</v>
      </c>
      <c r="K166" s="13">
        <f t="shared" si="99"/>
        <v>2313330.706549536</v>
      </c>
      <c r="L166" s="13">
        <f t="shared" si="99"/>
        <v>2598122.7983367881</v>
      </c>
      <c r="M166" s="13">
        <f t="shared" si="99"/>
        <v>2733311.5570051046</v>
      </c>
      <c r="N166" s="13">
        <f t="shared" si="99"/>
        <v>2867824.3718800792</v>
      </c>
      <c r="O166" s="13">
        <f t="shared" si="99"/>
        <v>3001664.6226806785</v>
      </c>
      <c r="P166" s="13">
        <f t="shared" si="99"/>
        <v>3134835.6722272746</v>
      </c>
      <c r="Q166" s="13">
        <f t="shared" si="99"/>
        <v>3267340.8665261385</v>
      </c>
      <c r="R166" s="13">
        <f t="shared" si="99"/>
        <v>3399183.5348535078</v>
      </c>
      <c r="S166" s="13">
        <f t="shared" si="99"/>
        <v>3530366.98983924</v>
      </c>
      <c r="T166" s="13">
        <f t="shared" si="99"/>
        <v>3660894.5275500435</v>
      </c>
      <c r="U166" s="13">
        <f t="shared" si="99"/>
        <v>3642590.0549122938</v>
      </c>
    </row>
    <row r="167" spans="1:21" x14ac:dyDescent="0.35">
      <c r="A167" s="184" t="s">
        <v>151</v>
      </c>
      <c r="B167" s="13">
        <f>SUMIFS(B2:B161, $A$2:$A$161, $A$167)</f>
        <v>363986.64227199997</v>
      </c>
      <c r="C167" s="13">
        <f t="shared" ref="C167:U167" si="100">SUMIFS(C2:C161, $A$2:$A$161, $A$167)</f>
        <v>490588.83203263994</v>
      </c>
      <c r="D167" s="13">
        <f t="shared" si="100"/>
        <v>616558.01084447675</v>
      </c>
      <c r="E167" s="13">
        <f t="shared" si="100"/>
        <v>741897.34376225434</v>
      </c>
      <c r="F167" s="13">
        <f t="shared" si="100"/>
        <v>866609.98001544294</v>
      </c>
      <c r="G167" s="13">
        <f t="shared" si="100"/>
        <v>990699.05308736581</v>
      </c>
      <c r="H167" s="13">
        <f t="shared" si="100"/>
        <v>1114167.6807939289</v>
      </c>
      <c r="I167" s="13">
        <f t="shared" si="100"/>
        <v>1256776.2150499593</v>
      </c>
      <c r="J167" s="13">
        <f t="shared" si="100"/>
        <v>1398671.7066347096</v>
      </c>
      <c r="K167" s="13">
        <f t="shared" si="100"/>
        <v>1539857.7207615357</v>
      </c>
      <c r="L167" s="13">
        <f t="shared" si="100"/>
        <v>1606248.1184877283</v>
      </c>
      <c r="M167" s="13">
        <f t="shared" si="100"/>
        <v>1672306.5642252897</v>
      </c>
      <c r="N167" s="13">
        <f t="shared" si="100"/>
        <v>1738034.7177341632</v>
      </c>
      <c r="O167" s="13">
        <f t="shared" si="100"/>
        <v>1803434.2304754923</v>
      </c>
      <c r="P167" s="13">
        <f t="shared" si="100"/>
        <v>1868506.745653115</v>
      </c>
      <c r="Q167" s="13">
        <f t="shared" si="100"/>
        <v>1595631.1838189648</v>
      </c>
      <c r="R167" s="13">
        <f t="shared" si="100"/>
        <v>1661742.7142298697</v>
      </c>
      <c r="S167" s="13">
        <f t="shared" si="100"/>
        <v>1727523.6869887207</v>
      </c>
      <c r="T167" s="13">
        <f t="shared" si="100"/>
        <v>1718886.0685537769</v>
      </c>
      <c r="U167" s="13">
        <f t="shared" si="100"/>
        <v>1710291.6382110079</v>
      </c>
    </row>
    <row r="168" spans="1:21" x14ac:dyDescent="0.35">
      <c r="A168" s="184" t="s">
        <v>155</v>
      </c>
      <c r="B168" s="13">
        <f>SUMIFS(B2:B161, $A$2:$A$161, $A$168)</f>
        <v>0</v>
      </c>
      <c r="C168" s="13">
        <f t="shared" ref="C168:U168" si="101">SUMIFS(C2:C161, $A$2:$A$161, $A$168)</f>
        <v>28436.221439999998</v>
      </c>
      <c r="D168" s="13">
        <f t="shared" si="101"/>
        <v>67808.539708800003</v>
      </c>
      <c r="E168" s="13">
        <f t="shared" si="101"/>
        <v>106983.99638625598</v>
      </c>
      <c r="F168" s="13">
        <f t="shared" si="101"/>
        <v>145963.57578032473</v>
      </c>
      <c r="G168" s="13">
        <f t="shared" si="101"/>
        <v>184748.25727742308</v>
      </c>
      <c r="H168" s="13">
        <f t="shared" si="101"/>
        <v>223339.01536703599</v>
      </c>
      <c r="I168" s="13">
        <f t="shared" si="101"/>
        <v>261736.81966620081</v>
      </c>
      <c r="J168" s="13">
        <f t="shared" si="101"/>
        <v>309821.25978786981</v>
      </c>
      <c r="K168" s="13">
        <f t="shared" si="101"/>
        <v>357665.27770893049</v>
      </c>
      <c r="L168" s="13">
        <f t="shared" si="101"/>
        <v>405270.07554038585</v>
      </c>
      <c r="M168" s="13">
        <f t="shared" si="101"/>
        <v>427940.28727268393</v>
      </c>
      <c r="N168" s="13">
        <f t="shared" si="101"/>
        <v>450497.14794632047</v>
      </c>
      <c r="O168" s="13">
        <f t="shared" si="101"/>
        <v>472941.22431658878</v>
      </c>
      <c r="P168" s="13">
        <f t="shared" si="101"/>
        <v>495273.08030500589</v>
      </c>
      <c r="Q168" s="13">
        <f t="shared" si="101"/>
        <v>517493.2770134809</v>
      </c>
      <c r="R168" s="13">
        <f t="shared" si="101"/>
        <v>539602.37273841351</v>
      </c>
      <c r="S168" s="13">
        <f t="shared" si="101"/>
        <v>524948.49954515265</v>
      </c>
      <c r="T168" s="13">
        <f t="shared" si="101"/>
        <v>510367.8957178581</v>
      </c>
      <c r="U168" s="13">
        <f t="shared" si="101"/>
        <v>471163.63279970002</v>
      </c>
    </row>
    <row r="169" spans="1:21" x14ac:dyDescent="0.35">
      <c r="A169" s="12" t="s">
        <v>158</v>
      </c>
      <c r="B169" s="13">
        <f>SUMIFS(B2:B161, $A$2:$A$161, $A$169)</f>
        <v>162901.72193382742</v>
      </c>
      <c r="C169" s="13">
        <f t="shared" ref="C169:U169" si="102">SUMIFS(C2:C161, $A$2:$A$161, $A$169)</f>
        <v>334689.81302550633</v>
      </c>
      <c r="D169" s="13">
        <f t="shared" si="102"/>
        <v>505618.96366172691</v>
      </c>
      <c r="E169" s="13">
        <f t="shared" si="102"/>
        <v>675693.46854476642</v>
      </c>
      <c r="F169" s="13">
        <f t="shared" si="102"/>
        <v>844917.60090339056</v>
      </c>
      <c r="G169" s="13">
        <f t="shared" si="102"/>
        <v>1013295.6126002219</v>
      </c>
      <c r="H169" s="13">
        <f t="shared" si="102"/>
        <v>1180831.7342385687</v>
      </c>
      <c r="I169" s="13">
        <f t="shared" si="102"/>
        <v>1261228.87541805</v>
      </c>
      <c r="J169" s="13">
        <f t="shared" si="102"/>
        <v>1341224.0308916338</v>
      </c>
      <c r="K169" s="13">
        <f t="shared" si="102"/>
        <v>1420819.2105878496</v>
      </c>
      <c r="L169" s="13">
        <f t="shared" si="102"/>
        <v>1456865.7644602475</v>
      </c>
      <c r="M169" s="13">
        <f t="shared" si="102"/>
        <v>1492732.0855632829</v>
      </c>
      <c r="N169" s="13">
        <f t="shared" si="102"/>
        <v>1528419.0750608034</v>
      </c>
      <c r="O169" s="13">
        <f t="shared" si="102"/>
        <v>1563927.6296108365</v>
      </c>
      <c r="P169" s="13">
        <f t="shared" si="102"/>
        <v>1599258.6413881194</v>
      </c>
      <c r="Q169" s="13">
        <f t="shared" si="102"/>
        <v>1483310.4158736255</v>
      </c>
      <c r="R169" s="13">
        <f t="shared" si="102"/>
        <v>1358943.6982992524</v>
      </c>
      <c r="S169" s="13">
        <f t="shared" si="102"/>
        <v>1235198.8143127509</v>
      </c>
      <c r="T169" s="13">
        <f t="shared" si="102"/>
        <v>1068922.0048208453</v>
      </c>
      <c r="U169" s="13">
        <f t="shared" si="102"/>
        <v>903476.57937639905</v>
      </c>
    </row>
    <row r="170" spans="1:21" x14ac:dyDescent="0.35">
      <c r="A170" s="14" t="s">
        <v>90</v>
      </c>
      <c r="B170" s="13">
        <f>SUM(B164:B169)</f>
        <v>889628.29289956263</v>
      </c>
      <c r="C170" s="13">
        <f t="shared" ref="C170:U170" si="103">SUM(C164:C169)</f>
        <v>1679724.4003391783</v>
      </c>
      <c r="D170" s="13">
        <f>SUM(D164:D169)</f>
        <v>2579837.0709815957</v>
      </c>
      <c r="E170" s="13">
        <f t="shared" si="103"/>
        <v>3475449.178270801</v>
      </c>
      <c r="F170" s="13">
        <f t="shared" si="103"/>
        <v>4366583.2250235602</v>
      </c>
      <c r="G170" s="13">
        <f t="shared" si="103"/>
        <v>5253261.6015425567</v>
      </c>
      <c r="H170" s="13">
        <f t="shared" si="103"/>
        <v>6135506.5861789566</v>
      </c>
      <c r="I170" s="13">
        <f t="shared" si="103"/>
        <v>6980268.4290413652</v>
      </c>
      <c r="J170" s="13">
        <f t="shared" si="103"/>
        <v>7860320.9620654583</v>
      </c>
      <c r="K170" s="13">
        <f t="shared" si="103"/>
        <v>8735973.2324244343</v>
      </c>
      <c r="L170" s="13">
        <f t="shared" si="103"/>
        <v>9322646.2386169638</v>
      </c>
      <c r="M170" s="13">
        <f t="shared" si="103"/>
        <v>9733509.9450085312</v>
      </c>
      <c r="N170" s="13">
        <f t="shared" si="103"/>
        <v>10142319.332868138</v>
      </c>
      <c r="O170" s="13">
        <f t="shared" si="103"/>
        <v>10549084.673788449</v>
      </c>
      <c r="P170" s="13">
        <f t="shared" si="103"/>
        <v>10953816.188004157</v>
      </c>
      <c r="Q170" s="13">
        <f t="shared" si="103"/>
        <v>10531332.44637233</v>
      </c>
      <c r="R170" s="13">
        <f t="shared" si="103"/>
        <v>10496622.49668267</v>
      </c>
      <c r="S170" s="13">
        <f t="shared" si="103"/>
        <v>10425433.673301889</v>
      </c>
      <c r="T170" s="13">
        <f t="shared" si="103"/>
        <v>10069999.79122336</v>
      </c>
      <c r="U170" s="13">
        <f t="shared" si="103"/>
        <v>9543467.1437852252</v>
      </c>
    </row>
    <row r="173" spans="1:21" x14ac:dyDescent="0.35">
      <c r="A173" s="177"/>
      <c r="B173" s="177">
        <v>2024</v>
      </c>
      <c r="C173" s="177">
        <f>C163</f>
        <v>2025</v>
      </c>
      <c r="D173" s="177">
        <f t="shared" ref="D173:U173" si="104">D163</f>
        <v>2026</v>
      </c>
      <c r="E173" s="177">
        <f t="shared" si="104"/>
        <v>2027</v>
      </c>
      <c r="F173" s="177">
        <f t="shared" si="104"/>
        <v>2028</v>
      </c>
      <c r="G173" s="177">
        <f t="shared" si="104"/>
        <v>2029</v>
      </c>
      <c r="H173" s="177">
        <f t="shared" si="104"/>
        <v>2030</v>
      </c>
      <c r="I173" s="177">
        <f t="shared" si="104"/>
        <v>2031</v>
      </c>
      <c r="J173" s="177">
        <f t="shared" si="104"/>
        <v>2032</v>
      </c>
      <c r="K173" s="177">
        <f t="shared" si="104"/>
        <v>2033</v>
      </c>
      <c r="L173" s="177">
        <f t="shared" si="104"/>
        <v>2034</v>
      </c>
      <c r="M173" s="177">
        <f t="shared" si="104"/>
        <v>2035</v>
      </c>
      <c r="N173" s="177">
        <f t="shared" si="104"/>
        <v>2036</v>
      </c>
      <c r="O173" s="177">
        <f t="shared" si="104"/>
        <v>2037</v>
      </c>
      <c r="P173" s="177">
        <f t="shared" si="104"/>
        <v>2038</v>
      </c>
      <c r="Q173" s="177">
        <f t="shared" si="104"/>
        <v>2039</v>
      </c>
      <c r="R173" s="177">
        <f t="shared" si="104"/>
        <v>2040</v>
      </c>
      <c r="S173" s="177">
        <f t="shared" si="104"/>
        <v>2041</v>
      </c>
      <c r="T173" s="177">
        <f t="shared" si="104"/>
        <v>2042</v>
      </c>
      <c r="U173" s="177">
        <f t="shared" si="104"/>
        <v>2043</v>
      </c>
    </row>
    <row r="174" spans="1:21" x14ac:dyDescent="0.35">
      <c r="A174" s="177" t="s">
        <v>174</v>
      </c>
      <c r="B174" s="300">
        <f>B170</f>
        <v>889628.29289956263</v>
      </c>
      <c r="C174" s="300">
        <f>C$8</f>
        <v>889628.29289956263</v>
      </c>
      <c r="D174" s="300">
        <f t="shared" ref="D174:U174" si="105">D$8</f>
        <v>1077450.4778590649</v>
      </c>
      <c r="E174" s="300">
        <f t="shared" si="105"/>
        <v>1072063.2254697697</v>
      </c>
      <c r="F174" s="300">
        <f t="shared" si="105"/>
        <v>1066702.9093424208</v>
      </c>
      <c r="G174" s="300">
        <f t="shared" si="105"/>
        <v>1061369.3947957086</v>
      </c>
      <c r="H174" s="300">
        <f t="shared" si="105"/>
        <v>1056062.5478217299</v>
      </c>
      <c r="I174" s="300">
        <f t="shared" si="105"/>
        <v>1050782.2350826215</v>
      </c>
      <c r="J174" s="300">
        <f t="shared" si="105"/>
        <v>1045528.3239072082</v>
      </c>
      <c r="K174" s="300">
        <f t="shared" si="105"/>
        <v>1040300.6822876722</v>
      </c>
      <c r="L174" s="300">
        <f t="shared" si="105"/>
        <v>1035099.178876234</v>
      </c>
      <c r="M174" s="300">
        <f t="shared" si="105"/>
        <v>1029923.6829818528</v>
      </c>
      <c r="N174" s="300">
        <f t="shared" si="105"/>
        <v>1024774.0645669434</v>
      </c>
      <c r="O174" s="300">
        <f t="shared" si="105"/>
        <v>1019650.1942441086</v>
      </c>
      <c r="P174" s="300">
        <f t="shared" si="105"/>
        <v>1014551.9432728882</v>
      </c>
      <c r="Q174" s="300">
        <f t="shared" si="105"/>
        <v>1009479.1835565236</v>
      </c>
      <c r="R174" s="300">
        <f t="shared" si="105"/>
        <v>179240.18936228444</v>
      </c>
      <c r="S174" s="300">
        <f t="shared" si="105"/>
        <v>178343.988415473</v>
      </c>
      <c r="T174" s="300">
        <f t="shared" si="105"/>
        <v>177452.26847339561</v>
      </c>
      <c r="U174" s="300">
        <f t="shared" si="105"/>
        <v>176565.00713102863</v>
      </c>
    </row>
    <row r="175" spans="1:21" x14ac:dyDescent="0.35">
      <c r="A175" s="177" t="s">
        <v>94</v>
      </c>
      <c r="B175" s="300">
        <f>B17+B26</f>
        <v>0</v>
      </c>
      <c r="C175" s="300">
        <f>C17+C26</f>
        <v>602273.92248011334</v>
      </c>
      <c r="D175" s="300">
        <f>D17+D26</f>
        <v>1507773.8455118262</v>
      </c>
      <c r="E175" s="300">
        <f t="shared" ref="E175:U175" si="106">E17+E26</f>
        <v>1806472.3464482669</v>
      </c>
      <c r="F175" s="300">
        <f t="shared" si="106"/>
        <v>1797439.9847160256</v>
      </c>
      <c r="G175" s="300">
        <f t="shared" si="106"/>
        <v>1788452.7847924456</v>
      </c>
      <c r="H175" s="300">
        <f t="shared" si="106"/>
        <v>1779510.5208684835</v>
      </c>
      <c r="I175" s="300">
        <f t="shared" si="106"/>
        <v>1770612.9682641409</v>
      </c>
      <c r="J175" s="300">
        <f t="shared" si="106"/>
        <v>1761759.9034228201</v>
      </c>
      <c r="K175" s="300">
        <f t="shared" si="106"/>
        <v>1752951.1039057062</v>
      </c>
      <c r="L175" s="300">
        <f t="shared" si="106"/>
        <v>1744186.3483861773</v>
      </c>
      <c r="M175" s="300">
        <f t="shared" si="106"/>
        <v>1735465.4166442463</v>
      </c>
      <c r="N175" s="300">
        <f t="shared" si="106"/>
        <v>1726788.0895610251</v>
      </c>
      <c r="O175" s="300">
        <f t="shared" si="106"/>
        <v>1718154.1491132202</v>
      </c>
      <c r="P175" s="300">
        <f t="shared" si="106"/>
        <v>1709563.378367654</v>
      </c>
      <c r="Q175" s="300">
        <f t="shared" si="106"/>
        <v>1701015.5614758157</v>
      </c>
      <c r="R175" s="300">
        <f t="shared" si="106"/>
        <v>1252980.258625987</v>
      </c>
      <c r="S175" s="300">
        <f t="shared" si="106"/>
        <v>770532.70885083848</v>
      </c>
      <c r="T175" s="300">
        <f t="shared" si="106"/>
        <v>730027.62186701549</v>
      </c>
      <c r="U175" s="300">
        <f t="shared" si="106"/>
        <v>726377.48375768051</v>
      </c>
    </row>
    <row r="176" spans="1:21" x14ac:dyDescent="0.35">
      <c r="A176" s="177" t="s">
        <v>95</v>
      </c>
      <c r="B176" s="300">
        <f>B35+B44</f>
        <v>0</v>
      </c>
      <c r="C176" s="300">
        <f>C35+C44</f>
        <v>0</v>
      </c>
      <c r="D176" s="300">
        <f t="shared" ref="D176:U176" si="107">D35+D44</f>
        <v>0</v>
      </c>
      <c r="E176" s="300">
        <f t="shared" si="107"/>
        <v>602273.92248011334</v>
      </c>
      <c r="F176" s="300">
        <f t="shared" si="107"/>
        <v>1507773.8455118262</v>
      </c>
      <c r="G176" s="300">
        <f t="shared" si="107"/>
        <v>1806472.3464482669</v>
      </c>
      <c r="H176" s="300">
        <f t="shared" si="107"/>
        <v>1797439.9847160256</v>
      </c>
      <c r="I176" s="300">
        <f t="shared" si="107"/>
        <v>1788452.7847924456</v>
      </c>
      <c r="J176" s="300">
        <f t="shared" si="107"/>
        <v>1779510.5208684835</v>
      </c>
      <c r="K176" s="300">
        <f t="shared" si="107"/>
        <v>1770612.9682641409</v>
      </c>
      <c r="L176" s="300">
        <f t="shared" si="107"/>
        <v>1761759.9034228201</v>
      </c>
      <c r="M176" s="300">
        <f t="shared" si="107"/>
        <v>1752951.1039057062</v>
      </c>
      <c r="N176" s="300">
        <f t="shared" si="107"/>
        <v>1744186.3483861773</v>
      </c>
      <c r="O176" s="300">
        <f t="shared" si="107"/>
        <v>1735465.4166442463</v>
      </c>
      <c r="P176" s="300">
        <f t="shared" si="107"/>
        <v>1726788.0895610251</v>
      </c>
      <c r="Q176" s="300">
        <f t="shared" si="107"/>
        <v>1718154.1491132202</v>
      </c>
      <c r="R176" s="300">
        <f t="shared" si="107"/>
        <v>1709563.378367654</v>
      </c>
      <c r="S176" s="300">
        <f t="shared" si="107"/>
        <v>1701015.5614758157</v>
      </c>
      <c r="T176" s="300">
        <f t="shared" si="107"/>
        <v>1252980.258625987</v>
      </c>
      <c r="U176" s="300">
        <f t="shared" si="107"/>
        <v>770532.70885083848</v>
      </c>
    </row>
    <row r="177" spans="1:21" x14ac:dyDescent="0.35">
      <c r="A177" s="177" t="s">
        <v>96</v>
      </c>
      <c r="B177" s="300">
        <f>B53+B62</f>
        <v>0</v>
      </c>
      <c r="C177" s="300">
        <f>C53+C62</f>
        <v>0</v>
      </c>
      <c r="D177" s="300">
        <f t="shared" ref="D177:U177" si="108">D53+D62</f>
        <v>0</v>
      </c>
      <c r="E177" s="300">
        <f t="shared" si="108"/>
        <v>0</v>
      </c>
      <c r="F177" s="300">
        <f t="shared" si="108"/>
        <v>0</v>
      </c>
      <c r="G177" s="300">
        <f t="shared" si="108"/>
        <v>602273.92248011334</v>
      </c>
      <c r="H177" s="300">
        <f t="shared" si="108"/>
        <v>1507773.8455118262</v>
      </c>
      <c r="I177" s="300">
        <f t="shared" si="108"/>
        <v>1806472.3464482669</v>
      </c>
      <c r="J177" s="300">
        <f t="shared" si="108"/>
        <v>1797439.9847160256</v>
      </c>
      <c r="K177" s="300">
        <f t="shared" si="108"/>
        <v>1788452.7847924456</v>
      </c>
      <c r="L177" s="300">
        <f t="shared" si="108"/>
        <v>1779510.5208684835</v>
      </c>
      <c r="M177" s="300">
        <f t="shared" si="108"/>
        <v>1770612.9682641409</v>
      </c>
      <c r="N177" s="300">
        <f t="shared" si="108"/>
        <v>1761759.9034228201</v>
      </c>
      <c r="O177" s="300">
        <f t="shared" si="108"/>
        <v>1752951.1039057062</v>
      </c>
      <c r="P177" s="300">
        <f t="shared" si="108"/>
        <v>1744186.3483861773</v>
      </c>
      <c r="Q177" s="300">
        <f t="shared" si="108"/>
        <v>1735465.4166442463</v>
      </c>
      <c r="R177" s="300">
        <f t="shared" si="108"/>
        <v>1726788.0895610251</v>
      </c>
      <c r="S177" s="300">
        <f t="shared" si="108"/>
        <v>1718154.1491132202</v>
      </c>
      <c r="T177" s="300">
        <f t="shared" si="108"/>
        <v>1709563.378367654</v>
      </c>
      <c r="U177" s="300">
        <f t="shared" si="108"/>
        <v>1701015.5614758157</v>
      </c>
    </row>
    <row r="178" spans="1:21" x14ac:dyDescent="0.35">
      <c r="A178" s="177" t="s">
        <v>97</v>
      </c>
      <c r="B178" s="300">
        <f>B71+B80</f>
        <v>0</v>
      </c>
      <c r="C178" s="300">
        <f>C71+C80</f>
        <v>0</v>
      </c>
      <c r="D178" s="300">
        <f t="shared" ref="D178:U178" si="109">D71+D80</f>
        <v>0</v>
      </c>
      <c r="E178" s="300">
        <f t="shared" si="109"/>
        <v>0</v>
      </c>
      <c r="F178" s="300">
        <f t="shared" si="109"/>
        <v>0</v>
      </c>
      <c r="G178" s="300">
        <f t="shared" si="109"/>
        <v>0</v>
      </c>
      <c r="H178" s="300">
        <f t="shared" si="109"/>
        <v>0</v>
      </c>
      <c r="I178" s="300">
        <f t="shared" si="109"/>
        <v>569202.00562930212</v>
      </c>
      <c r="J178" s="300">
        <f t="shared" si="109"/>
        <v>1481309.8707704577</v>
      </c>
      <c r="K178" s="300">
        <f t="shared" si="109"/>
        <v>1819655.1909566054</v>
      </c>
      <c r="L178" s="300">
        <f t="shared" si="109"/>
        <v>1810556.9150018224</v>
      </c>
      <c r="M178" s="300">
        <f t="shared" si="109"/>
        <v>1801504.1304268134</v>
      </c>
      <c r="N178" s="300">
        <f t="shared" si="109"/>
        <v>1792496.6097746794</v>
      </c>
      <c r="O178" s="300">
        <f t="shared" si="109"/>
        <v>1783534.1267258059</v>
      </c>
      <c r="P178" s="300">
        <f t="shared" si="109"/>
        <v>1774616.456092177</v>
      </c>
      <c r="Q178" s="300">
        <f t="shared" si="109"/>
        <v>1765743.3738117157</v>
      </c>
      <c r="R178" s="300">
        <f t="shared" si="109"/>
        <v>1756914.6569426572</v>
      </c>
      <c r="S178" s="300">
        <f t="shared" si="109"/>
        <v>1748130.0836579439</v>
      </c>
      <c r="T178" s="300">
        <f t="shared" si="109"/>
        <v>1739389.4332396542</v>
      </c>
      <c r="U178" s="300">
        <f t="shared" si="109"/>
        <v>1730692.486073456</v>
      </c>
    </row>
    <row r="179" spans="1:21" x14ac:dyDescent="0.35">
      <c r="A179" s="177" t="s">
        <v>98</v>
      </c>
      <c r="B179" s="300">
        <f>B89+B98</f>
        <v>0</v>
      </c>
      <c r="C179" s="300">
        <f>C89+C98</f>
        <v>0</v>
      </c>
      <c r="D179" s="300">
        <f t="shared" ref="D179:U179" si="110">D89+D98</f>
        <v>0</v>
      </c>
      <c r="E179" s="300">
        <f t="shared" si="110"/>
        <v>0</v>
      </c>
      <c r="F179" s="300">
        <f t="shared" si="110"/>
        <v>0</v>
      </c>
      <c r="G179" s="300">
        <f t="shared" si="110"/>
        <v>0</v>
      </c>
      <c r="H179" s="300">
        <f t="shared" si="110"/>
        <v>0</v>
      </c>
      <c r="I179" s="300">
        <f t="shared" si="110"/>
        <v>0</v>
      </c>
      <c r="J179" s="300">
        <f t="shared" si="110"/>
        <v>0</v>
      </c>
      <c r="K179" s="300">
        <f t="shared" si="110"/>
        <v>569202.00562930212</v>
      </c>
      <c r="L179" s="300">
        <f t="shared" si="110"/>
        <v>1196708.8679558067</v>
      </c>
      <c r="M179" s="300">
        <f t="shared" si="110"/>
        <v>1363601.2583860275</v>
      </c>
      <c r="N179" s="300">
        <f t="shared" si="110"/>
        <v>1356783.2520940974</v>
      </c>
      <c r="O179" s="300">
        <f t="shared" si="110"/>
        <v>1349999.3358336273</v>
      </c>
      <c r="P179" s="300">
        <f t="shared" si="110"/>
        <v>1343249.3391544591</v>
      </c>
      <c r="Q179" s="300">
        <f t="shared" si="110"/>
        <v>1336533.0924586868</v>
      </c>
      <c r="R179" s="300">
        <f t="shared" si="110"/>
        <v>1329850.4269963931</v>
      </c>
      <c r="S179" s="300">
        <f t="shared" si="110"/>
        <v>1323201.1748614111</v>
      </c>
      <c r="T179" s="300">
        <f t="shared" si="110"/>
        <v>1316585.168987104</v>
      </c>
      <c r="U179" s="300">
        <f t="shared" si="110"/>
        <v>1310002.2431421685</v>
      </c>
    </row>
    <row r="180" spans="1:21" x14ac:dyDescent="0.35">
      <c r="A180" s="177" t="s">
        <v>99</v>
      </c>
      <c r="B180" s="300">
        <f>B107+B116</f>
        <v>0</v>
      </c>
      <c r="C180" s="300">
        <f>C107+C116</f>
        <v>0</v>
      </c>
      <c r="D180" s="300">
        <f t="shared" ref="D180:U180" si="111">D107+D116</f>
        <v>0</v>
      </c>
      <c r="E180" s="300">
        <f t="shared" si="111"/>
        <v>0</v>
      </c>
      <c r="F180" s="300">
        <f t="shared" si="111"/>
        <v>0</v>
      </c>
      <c r="G180" s="300">
        <f t="shared" si="111"/>
        <v>0</v>
      </c>
      <c r="H180" s="300">
        <f t="shared" si="111"/>
        <v>0</v>
      </c>
      <c r="I180" s="300">
        <f t="shared" si="111"/>
        <v>0</v>
      </c>
      <c r="J180" s="300">
        <f t="shared" si="111"/>
        <v>0</v>
      </c>
      <c r="K180" s="300">
        <f t="shared" si="111"/>
        <v>0</v>
      </c>
      <c r="L180" s="300">
        <f t="shared" si="111"/>
        <v>0</v>
      </c>
      <c r="M180" s="300">
        <f t="shared" si="111"/>
        <v>284601.00281465106</v>
      </c>
      <c r="N180" s="300">
        <f t="shared" si="111"/>
        <v>740654.93538522883</v>
      </c>
      <c r="O180" s="300">
        <f t="shared" si="111"/>
        <v>909827.59547830268</v>
      </c>
      <c r="P180" s="300">
        <f t="shared" si="111"/>
        <v>905278.4575009112</v>
      </c>
      <c r="Q180" s="300">
        <f t="shared" si="111"/>
        <v>900752.06521340669</v>
      </c>
      <c r="R180" s="300">
        <f t="shared" si="111"/>
        <v>896248.30488733971</v>
      </c>
      <c r="S180" s="300">
        <f t="shared" si="111"/>
        <v>891767.06336290296</v>
      </c>
      <c r="T180" s="300">
        <f t="shared" si="111"/>
        <v>887308.22804608848</v>
      </c>
      <c r="U180" s="300">
        <f t="shared" si="111"/>
        <v>882871.68690585787</v>
      </c>
    </row>
    <row r="181" spans="1:21" x14ac:dyDescent="0.35">
      <c r="A181" s="177" t="s">
        <v>100</v>
      </c>
      <c r="B181" s="300">
        <f t="shared" ref="B181:U181" si="112">B125+B134</f>
        <v>0</v>
      </c>
      <c r="C181" s="300">
        <f t="shared" si="112"/>
        <v>0</v>
      </c>
      <c r="D181" s="300">
        <f t="shared" si="112"/>
        <v>0</v>
      </c>
      <c r="E181" s="300">
        <f t="shared" si="112"/>
        <v>0</v>
      </c>
      <c r="F181" s="300">
        <f t="shared" si="112"/>
        <v>0</v>
      </c>
      <c r="G181" s="300">
        <f t="shared" si="112"/>
        <v>0</v>
      </c>
      <c r="H181" s="300">
        <f t="shared" si="112"/>
        <v>0</v>
      </c>
      <c r="I181" s="300">
        <f t="shared" si="112"/>
        <v>0</v>
      </c>
      <c r="J181" s="300">
        <f t="shared" si="112"/>
        <v>0</v>
      </c>
      <c r="K181" s="300">
        <f t="shared" si="112"/>
        <v>0</v>
      </c>
      <c r="L181" s="300">
        <f t="shared" si="112"/>
        <v>0</v>
      </c>
      <c r="M181" s="300">
        <f t="shared" si="112"/>
        <v>0</v>
      </c>
      <c r="N181" s="300">
        <f t="shared" si="112"/>
        <v>0</v>
      </c>
      <c r="O181" s="300">
        <f t="shared" si="112"/>
        <v>284601.00281465106</v>
      </c>
      <c r="P181" s="300">
        <f t="shared" si="112"/>
        <v>740654.93538522883</v>
      </c>
      <c r="Q181" s="300">
        <f t="shared" si="112"/>
        <v>909827.59547830268</v>
      </c>
      <c r="R181" s="300">
        <f t="shared" si="112"/>
        <v>905278.4575009112</v>
      </c>
      <c r="S181" s="300">
        <f t="shared" si="112"/>
        <v>900752.06521340669</v>
      </c>
      <c r="T181" s="300">
        <f t="shared" si="112"/>
        <v>896248.30488733971</v>
      </c>
      <c r="U181" s="300">
        <f t="shared" si="112"/>
        <v>891767.06336290296</v>
      </c>
    </row>
    <row r="182" spans="1:21" x14ac:dyDescent="0.35">
      <c r="A182" s="177" t="s">
        <v>101</v>
      </c>
      <c r="B182" s="300">
        <f>B143+B152</f>
        <v>0</v>
      </c>
      <c r="C182" s="300">
        <f>C143+C152</f>
        <v>0</v>
      </c>
      <c r="D182" s="300">
        <f t="shared" ref="D182:U182" si="113">D143+D152</f>
        <v>0</v>
      </c>
      <c r="E182" s="300">
        <f t="shared" si="113"/>
        <v>0</v>
      </c>
      <c r="F182" s="300">
        <f t="shared" si="113"/>
        <v>0</v>
      </c>
      <c r="G182" s="300">
        <f t="shared" si="113"/>
        <v>0</v>
      </c>
      <c r="H182" s="300">
        <f t="shared" si="113"/>
        <v>0</v>
      </c>
      <c r="I182" s="300">
        <f t="shared" si="113"/>
        <v>0</v>
      </c>
      <c r="J182" s="300">
        <f t="shared" si="113"/>
        <v>0</v>
      </c>
      <c r="K182" s="300">
        <f t="shared" si="113"/>
        <v>0</v>
      </c>
      <c r="L182" s="300">
        <f t="shared" si="113"/>
        <v>0</v>
      </c>
      <c r="M182" s="300">
        <f t="shared" si="113"/>
        <v>0</v>
      </c>
      <c r="N182" s="300">
        <f t="shared" si="113"/>
        <v>0</v>
      </c>
      <c r="O182" s="300">
        <f t="shared" si="113"/>
        <v>0</v>
      </c>
      <c r="P182" s="300">
        <f t="shared" si="113"/>
        <v>0</v>
      </c>
      <c r="Q182" s="300">
        <f t="shared" si="113"/>
        <v>284601.00281465106</v>
      </c>
      <c r="R182" s="300">
        <f t="shared" si="113"/>
        <v>740654.93538522883</v>
      </c>
      <c r="S182" s="300">
        <f t="shared" si="113"/>
        <v>909827.59547830268</v>
      </c>
      <c r="T182" s="300">
        <f t="shared" si="113"/>
        <v>905278.4575009112</v>
      </c>
      <c r="U182" s="300">
        <f t="shared" si="113"/>
        <v>900752.06521340669</v>
      </c>
    </row>
    <row r="183" spans="1:21" x14ac:dyDescent="0.35">
      <c r="A183" s="177" t="s">
        <v>102</v>
      </c>
      <c r="B183" s="300">
        <f>B161*2</f>
        <v>0</v>
      </c>
      <c r="C183" s="300">
        <f>C161*2</f>
        <v>0</v>
      </c>
      <c r="D183" s="300">
        <f t="shared" ref="D183:U183" si="114">D161*2</f>
        <v>0</v>
      </c>
      <c r="E183" s="300">
        <f t="shared" si="114"/>
        <v>0</v>
      </c>
      <c r="F183" s="300">
        <f t="shared" si="114"/>
        <v>0</v>
      </c>
      <c r="G183" s="300">
        <f t="shared" si="114"/>
        <v>0</v>
      </c>
      <c r="H183" s="300">
        <f t="shared" si="114"/>
        <v>0</v>
      </c>
      <c r="I183" s="300">
        <f t="shared" si="114"/>
        <v>0</v>
      </c>
      <c r="J183" s="300">
        <f t="shared" si="114"/>
        <v>0</v>
      </c>
      <c r="K183" s="300">
        <f t="shared" si="114"/>
        <v>0</v>
      </c>
      <c r="L183" s="300">
        <f t="shared" si="114"/>
        <v>0</v>
      </c>
      <c r="M183" s="300">
        <f t="shared" si="114"/>
        <v>0</v>
      </c>
      <c r="N183" s="300">
        <f t="shared" si="114"/>
        <v>0</v>
      </c>
      <c r="O183" s="300">
        <f t="shared" si="114"/>
        <v>0</v>
      </c>
      <c r="P183" s="300">
        <f t="shared" si="114"/>
        <v>0</v>
      </c>
      <c r="Q183" s="300">
        <f t="shared" si="114"/>
        <v>0</v>
      </c>
      <c r="R183" s="300">
        <f t="shared" si="114"/>
        <v>0</v>
      </c>
      <c r="S183" s="300">
        <f t="shared" si="114"/>
        <v>569202.00562930212</v>
      </c>
      <c r="T183" s="300">
        <f t="shared" si="114"/>
        <v>912107.86514115555</v>
      </c>
      <c r="U183" s="300">
        <f t="shared" si="114"/>
        <v>907547.32581544982</v>
      </c>
    </row>
  </sheetData>
  <printOptions horizontalCentered="1" verticalCentered="1"/>
  <pageMargins left="0.7" right="0.7" top="0.75" bottom="0.75" header="0.3" footer="0.3"/>
  <pageSetup scale="42" fitToHeight="3" orientation="landscape" r:id="rId1"/>
  <headerFooter>
    <oddHeader>&amp;A</oddHeader>
  </headerFooter>
  <rowBreaks count="1" manualBreakCount="1">
    <brk id="44" max="16383" man="1"/>
  </rowBreaks>
  <customProperties>
    <customPr name="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449d9eb7-b7cc-4e27-879b-01b4831586a2" xsi:nil="true"/>
    <lcf76f155ced4ddcb4097134ff3c332f xmlns="07eb0168-e38f-4593-8bb7-e13af032c594">
      <Terms xmlns="http://schemas.microsoft.com/office/infopath/2007/PartnerControls"/>
    </lcf76f155ced4ddcb4097134ff3c332f>
    <SharedWithUsers xmlns="449d9eb7-b7cc-4e27-879b-01b4831586a2">
      <UserInfo>
        <DisplayName>Amos, Marcus</DisplayName>
        <AccountId>129</AccountId>
        <AccountType/>
      </UserInfo>
    </SharedWithUsers>
    <Goaldatetocompletereview_x003a_ xmlns="07eb0168-e38f-4593-8bb7-e13af032c594" xsi:nil="true"/>
    <ManagerApproval xmlns="07eb0168-e38f-4593-8bb7-e13af032c594">
      <UserInfo>
        <DisplayName/>
        <AccountId xsi:nil="true"/>
        <AccountType/>
      </UserInfo>
    </ManagerApproval>
    <Notes_x0020_to_x0020_consider_x0020_before_x0020_reviewing_x003a_ xmlns="07eb0168-e38f-4593-8bb7-e13af032c594" xsi:nil="true"/>
    <_ip_UnifiedCompliancePolicyUIAction xmlns="http://schemas.microsoft.com/sharepoint/v3" xsi:nil="true"/>
    <Status xmlns="07eb0168-e38f-4593-8bb7-e13af032c594" xsi:nil="true"/>
    <TeamStatus xmlns="07eb0168-e38f-4593-8bb7-e13af032c594" xsi:nil="true"/>
    <_ip_UnifiedCompliancePolicyProperties xmlns="http://schemas.microsoft.com/sharepoint/v3" xsi:nil="true"/>
    <Notes xmlns="07eb0168-e38f-4593-8bb7-e13af032c594" xsi:nil="true"/>
    <Finished xmlns="07eb0168-e38f-4593-8bb7-e13af032c594">2022-08-30T00:00:00+00:00</Finished>
    <Completed xmlns="07eb0168-e38f-4593-8bb7-e13af032c594">true</Completed>
    <legal xmlns="07eb0168-e38f-4593-8bb7-e13af032c594">
      <UserInfo>
        <DisplayName/>
        <AccountId xsi:nil="true"/>
        <AccountType/>
      </UserInfo>
    </legal>
    <Roll_x002d_Call xmlns="07eb0168-e38f-4593-8bb7-e13af032c594">
      <UserInfo>
        <DisplayName/>
        <AccountId xsi:nil="true"/>
        <AccountType/>
      </UserInfo>
    </Roll_x002d_Cal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7D9C6DF2CFA2344B8438EA57D1C19B2" ma:contentTypeVersion="35" ma:contentTypeDescription="Create a new document." ma:contentTypeScope="" ma:versionID="d7b152dc7fdc417b379e357299eb7d62">
  <xsd:schema xmlns:xsd="http://www.w3.org/2001/XMLSchema" xmlns:xs="http://www.w3.org/2001/XMLSchema" xmlns:p="http://schemas.microsoft.com/office/2006/metadata/properties" xmlns:ns1="http://schemas.microsoft.com/sharepoint/v3" xmlns:ns2="07eb0168-e38f-4593-8bb7-e13af032c594" xmlns:ns3="449d9eb7-b7cc-4e27-879b-01b4831586a2" targetNamespace="http://schemas.microsoft.com/office/2006/metadata/properties" ma:root="true" ma:fieldsID="094eae54b361c2c8b03438757b71f23b" ns1:_="" ns2:_="" ns3:_="">
    <xsd:import namespace="http://schemas.microsoft.com/sharepoint/v3"/>
    <xsd:import namespace="07eb0168-e38f-4593-8bb7-e13af032c594"/>
    <xsd:import namespace="449d9eb7-b7cc-4e27-879b-01b4831586a2"/>
    <xsd:element name="properties">
      <xsd:complexType>
        <xsd:sequence>
          <xsd:element name="documentManagement">
            <xsd:complexType>
              <xsd:all>
                <xsd:element ref="ns2:Notes_x0020_to_x0020_consider_x0020_before_x0020_reviewing_x003a_" minOccurs="0"/>
                <xsd:element ref="ns2:MediaServiceMetadata" minOccurs="0"/>
                <xsd:element ref="ns2:MediaServiceFastMetadata" minOccurs="0"/>
                <xsd:element ref="ns2:legal" minOccurs="0"/>
                <xsd:element ref="ns3:SharedWithUsers" minOccurs="0"/>
                <xsd:element ref="ns3:SharedWithDetails" minOccurs="0"/>
                <xsd:element ref="ns2:Finished" minOccurs="0"/>
                <xsd:element ref="ns3:TaxCatchAll" minOccurs="0"/>
                <xsd:element ref="ns2:MediaServiceOCR" minOccurs="0"/>
                <xsd:element ref="ns2:MediaServiceGenerationTime" minOccurs="0"/>
                <xsd:element ref="ns2:MediaServiceEventHashCode" minOccurs="0"/>
                <xsd:element ref="ns2:lcf76f155ced4ddcb4097134ff3c332f" minOccurs="0"/>
                <xsd:element ref="ns2:MediaServiceDateTaken" minOccurs="0"/>
                <xsd:element ref="ns2:MediaLengthInSeconds" minOccurs="0"/>
                <xsd:element ref="ns2:TeamStatus" minOccurs="0"/>
                <xsd:element ref="ns2:Goaldatetocompletereview_x003a_" minOccurs="0"/>
                <xsd:element ref="ns1:_ip_UnifiedCompliancePolicyProperties" minOccurs="0"/>
                <xsd:element ref="ns1:_ip_UnifiedCompliancePolicyUIAction" minOccurs="0"/>
                <xsd:element ref="ns2:MediaServiceLocation" minOccurs="0"/>
                <xsd:element ref="ns2:Status" minOccurs="0"/>
                <xsd:element ref="ns2:Roll_x002d_Call" minOccurs="0"/>
                <xsd:element ref="ns2:Completed" minOccurs="0"/>
                <xsd:element ref="ns2:Notes" minOccurs="0"/>
                <xsd:element ref="ns2:ManagerApprova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ma:readOnly="false">
      <xsd:simpleType>
        <xsd:restriction base="dms:Note"/>
      </xsd:simpleType>
    </xsd:element>
    <xsd:element name="_ip_UnifiedCompliancePolicyUIAction" ma:index="26"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7eb0168-e38f-4593-8bb7-e13af032c594" elementFormDefault="qualified">
    <xsd:import namespace="http://schemas.microsoft.com/office/2006/documentManagement/types"/>
    <xsd:import namespace="http://schemas.microsoft.com/office/infopath/2007/PartnerControls"/>
    <xsd:element name="Notes_x0020_to_x0020_consider_x0020_before_x0020_reviewing_x003a_" ma:index="1" nillable="true" ma:displayName="Notes to consider before reviewing:" ma:internalName="Notes_x0020_to_x0020_consider_x0020_before_x0020_reviewing_x003a_" ma:readOnly="false">
      <xsd:simpleType>
        <xsd:restriction base="dms:Note">
          <xsd:maxLength value="255"/>
        </xsd:restrict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egal" ma:index="10" nillable="true" ma:displayName="legal" ma:format="Dropdown" ma:hidden="true" ma:list="UserInfo" ma:SharePointGroup="0" ma:internalName="legal"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Finished" ma:index="13" nillable="true" ma:displayName="Finished" ma:default="2022-08-30T00:00:00Z" ma:format="DateOnly" ma:hidden="true" ma:internalName="Finished" ma:readOnly="false">
      <xsd:simpleType>
        <xsd:restriction base="dms:DateTime"/>
      </xsd:simpleType>
    </xsd:element>
    <xsd:element name="MediaServiceOCR" ma:index="15" nillable="true" ma:displayName="Extracted Text" ma:hidden="true" ma:internalName="MediaServiceOCR"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34bd80cb-b55d-4a01-be99-577b45a2ddc1"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TeamStatus" ma:index="22" nillable="true" ma:displayName="Currently Assigned for review to:" ma:description="This column specifies who is currently assigned to review of the document. This is helpful for reviewers to know what documents they should look at." ma:format="Dropdown" ma:hidden="true" ma:internalName="TeamStatus" ma:readOnly="false">
      <xsd:simpleType>
        <xsd:union memberTypes="dms:Text">
          <xsd:simpleType>
            <xsd:restriction base="dms:Choice">
              <xsd:enumeration value="Sarah"/>
              <xsd:enumeration value="Rachael"/>
              <xsd:enumeration value="Rachel"/>
              <xsd:enumeration value="Zoe"/>
              <xsd:enumeration value="Sharon"/>
            </xsd:restriction>
          </xsd:simpleType>
        </xsd:union>
      </xsd:simpleType>
    </xsd:element>
    <xsd:element name="Goaldatetocompletereview_x003a_" ma:index="23" nillable="true" ma:displayName="Goal date to complete review:" ma:format="DateOnly" ma:hidden="true" ma:internalName="Goaldatetocompletereview_x003a_" ma:readOnly="false">
      <xsd:simpleType>
        <xsd:restriction base="dms:DateTime"/>
      </xsd:simpleType>
    </xsd:element>
    <xsd:element name="MediaServiceLocation" ma:index="27" nillable="true" ma:displayName="Location" ma:hidden="true" ma:indexed="true" ma:internalName="MediaServiceLocation" ma:readOnly="true">
      <xsd:simpleType>
        <xsd:restriction base="dms:Text"/>
      </xsd:simpleType>
    </xsd:element>
    <xsd:element name="Status" ma:index="28" nillable="true" ma:displayName="Status" ma:format="Dropdown" ma:internalName="Status">
      <xsd:simpleType>
        <xsd:restriction base="dms:Choice">
          <xsd:enumeration value="in-progress"/>
          <xsd:enumeration value="draft"/>
          <xsd:enumeration value="check for final"/>
          <xsd:enumeration value="complete"/>
          <xsd:enumeration value="Sent for Signatures"/>
          <xsd:enumeration value="Need Signature"/>
        </xsd:restriction>
      </xsd:simpleType>
    </xsd:element>
    <xsd:element name="Roll_x002d_Call" ma:index="29" nillable="true" ma:displayName="Roll-Call" ma:description="when done making edits put your name here" ma:format="Dropdown" ma:list="UserInfo" ma:SharePointGroup="0" ma:internalName="Roll_x002d_Call">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mpleted" ma:index="30" nillable="true" ma:displayName="Completed " ma:default="1" ma:format="Dropdown" ma:internalName="Completed">
      <xsd:simpleType>
        <xsd:restriction base="dms:Boolean"/>
      </xsd:simpleType>
    </xsd:element>
    <xsd:element name="Notes" ma:index="31" nillable="true" ma:displayName="Notes" ma:format="Dropdown" ma:internalName="Notes">
      <xsd:simpleType>
        <xsd:restriction base="dms:Note">
          <xsd:maxLength value="255"/>
        </xsd:restriction>
      </xsd:simpleType>
    </xsd:element>
    <xsd:element name="ManagerApproval" ma:index="32" nillable="true" ma:displayName="Manager Approval" ma:description="Please type name of manager who approved the final version of this document" ma:format="Dropdown" ma:list="UserInfo" ma:SharePointGroup="0" ma:internalName="ManagerApproval">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ObjectDetectorVersions" ma:index="3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9d9eb7-b7cc-4e27-879b-01b4831586a2" elementFormDefault="qualified">
    <xsd:import namespace="http://schemas.microsoft.com/office/2006/documentManagement/types"/>
    <xsd:import namespace="http://schemas.microsoft.com/office/infopath/2007/PartnerControls"/>
    <xsd:element name="SharedWithUsers" ma:index="11"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hidden="true" ma:internalName="SharedWithDetails" ma:readOnly="true">
      <xsd:simpleType>
        <xsd:restriction base="dms:Note"/>
      </xsd:simpleType>
    </xsd:element>
    <xsd:element name="TaxCatchAll" ma:index="14" nillable="true" ma:displayName="Taxonomy Catch All Column" ma:hidden="true" ma:list="{d32c7c3e-39b0-4ad2-86af-70b8daaeb2b9}" ma:internalName="TaxCatchAll" ma:readOnly="false" ma:showField="CatchAllData" ma:web="449d9eb7-b7cc-4e27-879b-01b4831586a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A32BBC2-DC34-4FCA-A846-3BCA7F31EBF3}">
  <ds:schemaRefs>
    <ds:schemaRef ds:uri="http://schemas.microsoft.com/sharepoint/v3/contenttype/forms"/>
  </ds:schemaRefs>
</ds:datastoreItem>
</file>

<file path=customXml/itemProps2.xml><?xml version="1.0" encoding="utf-8"?>
<ds:datastoreItem xmlns:ds="http://schemas.openxmlformats.org/officeDocument/2006/customXml" ds:itemID="{E209B3CD-2671-435C-AED0-E31C0C2591DC}">
  <ds:schemaRefs>
    <ds:schemaRef ds:uri="http://purl.org/dc/elements/1.1/"/>
    <ds:schemaRef ds:uri="http://schemas.openxmlformats.org/package/2006/metadata/core-properties"/>
    <ds:schemaRef ds:uri="449d9eb7-b7cc-4e27-879b-01b4831586a2"/>
    <ds:schemaRef ds:uri="http://schemas.microsoft.com/office/infopath/2007/PartnerControls"/>
    <ds:schemaRef ds:uri="http://purl.org/dc/terms/"/>
    <ds:schemaRef ds:uri="http://schemas.microsoft.com/office/2006/documentManagement/types"/>
    <ds:schemaRef ds:uri="07eb0168-e38f-4593-8bb7-e13af032c594"/>
    <ds:schemaRef ds:uri="http://schemas.microsoft.com/sharepoint/v3"/>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64AB0212-F02D-4DC9-ABF2-3B903A07A2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7eb0168-e38f-4593-8bb7-e13af032c594"/>
    <ds:schemaRef ds:uri="449d9eb7-b7cc-4e27-879b-01b4831586a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9</vt:i4>
      </vt:variant>
    </vt:vector>
  </HeadingPairs>
  <TitlesOfParts>
    <vt:vector size="24" baseType="lpstr">
      <vt:lpstr>Appendix B Annotations</vt:lpstr>
      <vt:lpstr>Collections and ACP</vt:lpstr>
      <vt:lpstr>Indexed REC Calculator</vt:lpstr>
      <vt:lpstr>Indexed REC Activities</vt:lpstr>
      <vt:lpstr>Indexed REC Spend</vt:lpstr>
      <vt:lpstr>ABP Future Assumptions</vt:lpstr>
      <vt:lpstr>24-25 ABP Activities</vt:lpstr>
      <vt:lpstr>24-25 ABP Summary</vt:lpstr>
      <vt:lpstr>Projected ABP RECs</vt:lpstr>
      <vt:lpstr>Projected ABP Spend</vt:lpstr>
      <vt:lpstr>ABP Under Contract</vt:lpstr>
      <vt:lpstr>Total REC Deliveries</vt:lpstr>
      <vt:lpstr>Ch. 3 Tables and Graphs</vt:lpstr>
      <vt:lpstr>REC Spend projected</vt:lpstr>
      <vt:lpstr>$ Tables and Graphs</vt:lpstr>
      <vt:lpstr>'Ch. 3 Tables and Graphs'!_ftnref1</vt:lpstr>
      <vt:lpstr>'Ch. 3 Tables and Graphs'!_ftnref2</vt:lpstr>
      <vt:lpstr>'Ch. 3 Tables and Graphs'!_ftnref3</vt:lpstr>
      <vt:lpstr>'Ch. 3 Tables and Graphs'!_ftnref4</vt:lpstr>
      <vt:lpstr>'$ Tables and Graphs'!Print_Area</vt:lpstr>
      <vt:lpstr>'24-25 ABP Activities'!Print_Area</vt:lpstr>
      <vt:lpstr>'ABP Future Assumptions'!Print_Area</vt:lpstr>
      <vt:lpstr>'Appendix B Annotations'!Print_Area</vt:lpstr>
      <vt:lpstr>'Projected ABP Spend'!Print_Area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Groner, Adam</dc:creator>
  <cp:keywords/>
  <dc:description/>
  <cp:lastModifiedBy>Groner, Adam</cp:lastModifiedBy>
  <cp:revision/>
  <cp:lastPrinted>2023-10-20T15:25:01Z</cp:lastPrinted>
  <dcterms:created xsi:type="dcterms:W3CDTF">2023-07-17T18:43:01Z</dcterms:created>
  <dcterms:modified xsi:type="dcterms:W3CDTF">2023-10-20T16:34:31Z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0x010100A7D9C6DF2CFA2344B8438EA57D1C19B2</vt:lpwstr>
  </property>
  <property fmtid="{D5CDD505-2E9C-101B-9397-08002B2CF9AE}" pid="3" name="MediaServiceImageTags">
    <vt:lpwstr/>
  </property>
</Properties>
</file>