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embeddings/oleObject3.bin" ContentType="application/vnd.openxmlformats-officedocument.oleObject"/>
  <Override PartName="/xl/embeddings/oleObject4.bin" ContentType="application/vnd.openxmlformats-officedocument.oleObject"/>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Illinois.gov\cms\cmschiusers1\Rand.Perry\Adjacent States\"/>
    </mc:Choice>
  </mc:AlternateContent>
  <xr:revisionPtr revIDLastSave="0" documentId="13_ncr:1_{07C24841-17FB-42D3-9053-8637BE86AF9E}" xr6:coauthVersionLast="47" xr6:coauthVersionMax="47" xr10:uidLastSave="{00000000-0000-0000-0000-000000000000}"/>
  <bookViews>
    <workbookView xWindow="-110" yWindow="-110" windowWidth="19420" windowHeight="10300" xr2:uid="{00000000-000D-0000-FFFF-FFFF00000000}"/>
  </bookViews>
  <sheets>
    <sheet name="Application" sheetId="2" r:id="rId1"/>
    <sheet name="Scoring Engine" sheetId="1" r:id="rId2"/>
  </sheets>
  <definedNames>
    <definedName name="_ftn1" localSheetId="1">'Scoring Engine'!#REF!</definedName>
    <definedName name="_ftnref1" localSheetId="1">'Scoring Engine'!$F$9</definedName>
    <definedName name="_Toc492805531" localSheetId="1">'Scoring Engine'!#REF!</definedName>
    <definedName name="_Toc492805533" localSheetId="1">'Scoring Engine'!#REF!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0" i="1" l="1"/>
  <c r="C11" i="1"/>
  <c r="C16" i="1" s="1"/>
  <c r="C17" i="1" s="1"/>
  <c r="C13" i="1" s="1"/>
  <c r="C15" i="1"/>
  <c r="C14" i="1"/>
  <c r="C33" i="2"/>
  <c r="B7" i="2"/>
  <c r="C46" i="2"/>
  <c r="C18" i="1"/>
  <c r="C19" i="1"/>
  <c r="C6" i="1"/>
  <c r="C45" i="1" s="1"/>
  <c r="C5" i="1"/>
  <c r="C4" i="1"/>
  <c r="C24" i="1" s="1"/>
  <c r="C8" i="1"/>
  <c r="C41" i="1" s="1"/>
  <c r="C60" i="1" s="1"/>
  <c r="C42" i="2" s="1"/>
  <c r="C7" i="1"/>
  <c r="C27" i="1" s="1"/>
  <c r="C46" i="1"/>
  <c r="C25" i="1"/>
  <c r="C47" i="1" l="1"/>
  <c r="C48" i="1" s="1"/>
  <c r="C50" i="1" s="1"/>
  <c r="C26" i="1"/>
  <c r="C29" i="1" s="1"/>
  <c r="C58" i="1" s="1"/>
  <c r="C40" i="2" s="1"/>
  <c r="C36" i="2"/>
  <c r="C33" i="1"/>
  <c r="C34" i="1" s="1"/>
  <c r="C35" i="1" s="1"/>
  <c r="C37" i="1" s="1"/>
  <c r="C59" i="1" s="1"/>
  <c r="C41" i="2" s="1"/>
  <c r="C61" i="1"/>
  <c r="C43" i="2" s="1"/>
  <c r="C53" i="1" l="1"/>
  <c r="C54" i="1" s="1"/>
  <c r="C62" i="1" s="1"/>
  <c r="C44" i="2" s="1"/>
  <c r="C63" i="1"/>
  <c r="C45" i="2" s="1"/>
</calcChain>
</file>

<file path=xl/sharedStrings.xml><?xml version="1.0" encoding="utf-8"?>
<sst xmlns="http://schemas.openxmlformats.org/spreadsheetml/2006/main" count="136" uniqueCount="102">
  <si>
    <t>Adjacent State</t>
  </si>
  <si>
    <t>Indiana</t>
  </si>
  <si>
    <t>Kentucky</t>
  </si>
  <si>
    <t>Missouri</t>
  </si>
  <si>
    <t>Iowa</t>
  </si>
  <si>
    <t>Wisconsin</t>
  </si>
  <si>
    <t>Michigan</t>
  </si>
  <si>
    <t>4. Meeting goals to limit carbon dioxide emissions under federal or State law</t>
  </si>
  <si>
    <t>State</t>
  </si>
  <si>
    <t>PJM</t>
  </si>
  <si>
    <t>MISO</t>
  </si>
  <si>
    <t>Tracking System</t>
  </si>
  <si>
    <t>M-RETS</t>
  </si>
  <si>
    <t>GATS</t>
  </si>
  <si>
    <t>Other</t>
  </si>
  <si>
    <t>Wind Direction and Duration Factor</t>
  </si>
  <si>
    <t>2. Increasing fuel and resource diversity in this State</t>
  </si>
  <si>
    <t>Score 1</t>
  </si>
  <si>
    <t>Multiplier</t>
  </si>
  <si>
    <t>Emissions Factor = ratio of renewable to gas emissions [1 max]</t>
  </si>
  <si>
    <t>Score 2</t>
  </si>
  <si>
    <t>Score 3</t>
  </si>
  <si>
    <t>Score 4</t>
  </si>
  <si>
    <t>Score 5</t>
  </si>
  <si>
    <t>Total Score</t>
  </si>
  <si>
    <t>RTO/ISO</t>
  </si>
  <si>
    <t>Renewable resource distance to Morris, Illinois</t>
  </si>
  <si>
    <t>5. Contributing to a cleaner and healthier environment for the citizens of this State</t>
  </si>
  <si>
    <t>3. Enhancing the reliability and resiliency of the electricity distribution system in this State</t>
  </si>
  <si>
    <t>1. Minimizing sulfur dioxide, nitrogen oxide, particulate matter and other pollution that adversely affects public health in this State</t>
  </si>
  <si>
    <t>Average of the points awarded under the first and fourth public interest criteria described above.</t>
  </si>
  <si>
    <t>Latitude</t>
  </si>
  <si>
    <t>Longitude</t>
  </si>
  <si>
    <t>Factor</t>
  </si>
  <si>
    <t>Distance Factor</t>
  </si>
  <si>
    <t>Distance Ratio [1 max]</t>
  </si>
  <si>
    <t>Reference Tables</t>
  </si>
  <si>
    <r>
      <t>SO</t>
    </r>
    <r>
      <rPr>
        <vertAlign val="subscript"/>
        <sz val="11"/>
        <color indexed="8"/>
        <rFont val="Calibri"/>
        <family val="2"/>
      </rPr>
      <t>2</t>
    </r>
  </si>
  <si>
    <r>
      <t>NO</t>
    </r>
    <r>
      <rPr>
        <vertAlign val="subscript"/>
        <sz val="11"/>
        <color indexed="8"/>
        <rFont val="Calibri"/>
        <family val="2"/>
      </rPr>
      <t>X</t>
    </r>
  </si>
  <si>
    <r>
      <t>CO</t>
    </r>
    <r>
      <rPr>
        <vertAlign val="subscript"/>
        <sz val="11"/>
        <color indexed="8"/>
        <rFont val="Calibri"/>
        <family val="2"/>
      </rPr>
      <t>2</t>
    </r>
  </si>
  <si>
    <t>Wind Direction &amp; Duration Factor</t>
  </si>
  <si>
    <t>Emissions Factor</t>
  </si>
  <si>
    <t>Emissions Ratio [1 max]</t>
  </si>
  <si>
    <t>Technology</t>
  </si>
  <si>
    <t>Solar PV</t>
  </si>
  <si>
    <t>Solar Other</t>
  </si>
  <si>
    <t>Wind</t>
  </si>
  <si>
    <t>Hydro</t>
  </si>
  <si>
    <t>Facility Status</t>
  </si>
  <si>
    <t>Planned</t>
  </si>
  <si>
    <t>Combustion</t>
  </si>
  <si>
    <t>Other?</t>
  </si>
  <si>
    <t>City</t>
  </si>
  <si>
    <t>County</t>
  </si>
  <si>
    <t>Registered</t>
  </si>
  <si>
    <t>Name of Applicant</t>
  </si>
  <si>
    <t>Phone</t>
  </si>
  <si>
    <t>email</t>
  </si>
  <si>
    <t>Facility Name</t>
  </si>
  <si>
    <t>Street Address</t>
  </si>
  <si>
    <t>Date</t>
  </si>
  <si>
    <t>Preliminary Scores</t>
  </si>
  <si>
    <t>Distance to Morris, Illinois [miles]</t>
  </si>
  <si>
    <t>Tracking System ID (if known)</t>
  </si>
  <si>
    <t>* https://gps-coordinates.org/coordinate-converter.php</t>
  </si>
  <si>
    <t>Facility Owner</t>
  </si>
  <si>
    <t>Scoring Engine</t>
  </si>
  <si>
    <t>Facility Lat</t>
  </si>
  <si>
    <t>Facility Long</t>
  </si>
  <si>
    <t>Morris Lat</t>
  </si>
  <si>
    <t>Morris Long</t>
  </si>
  <si>
    <t>* https://www.mrexcel.com/forum/excel-questions/202255-calculating-distance-between-two-latitude-longitude-points.html</t>
  </si>
  <si>
    <t xml:space="preserve">Illinois RPS - Adjacent-State Facility </t>
  </si>
  <si>
    <t>Not yet registered</t>
  </si>
  <si>
    <t>Preliminary scores to be verified and confirmed by the IPA</t>
  </si>
  <si>
    <t>Zip Code</t>
  </si>
  <si>
    <t>Facility SO2 Emissions [lbs./MWh]</t>
  </si>
  <si>
    <t>Facility NOx Emissions [lbs./MWh]</t>
  </si>
  <si>
    <t>Facility CO2 [lbs./MWh]</t>
  </si>
  <si>
    <t>Sum of renewable resource SO2 and NOx [lbs./MWh]</t>
  </si>
  <si>
    <t>Sum of new gas resource SO2 and NOx [lbs./MWh]</t>
  </si>
  <si>
    <t>Renewable resource CO2 emissions [lbs./MWh]</t>
  </si>
  <si>
    <t>Gas resource CO2 emissions [lbs./MWh]</t>
  </si>
  <si>
    <t>Lbs./MWh</t>
  </si>
  <si>
    <t>Conversion from kilometers to miles</t>
  </si>
  <si>
    <t>Minimum score needed to qualify</t>
  </si>
  <si>
    <t>YES</t>
  </si>
  <si>
    <t>NO</t>
  </si>
  <si>
    <t>Are the facility's costs recovered through rates regulated by any state or states on or after January 1, 2017?</t>
  </si>
  <si>
    <t>i.e., -91.387381</t>
  </si>
  <si>
    <t>i.e., 44.932426</t>
  </si>
  <si>
    <r>
      <t xml:space="preserve">Facility GPS Location*
Please submit to the IPA a site plan showing the facility's location and the approximate geographic center. The geographic center is the center of </t>
    </r>
    <r>
      <rPr>
        <u/>
        <sz val="11"/>
        <color indexed="8"/>
        <rFont val="Calibri"/>
        <family val="2"/>
      </rPr>
      <t>area</t>
    </r>
    <r>
      <rPr>
        <sz val="11"/>
        <color theme="1"/>
        <rFont val="Calibri"/>
        <family val="2"/>
        <scheme val="minor"/>
      </rPr>
      <t xml:space="preserve"> containing the facility’s wind turbines/solar arrays.</t>
    </r>
  </si>
  <si>
    <t>Adjacent State Table 4-2</t>
  </si>
  <si>
    <t>New Gas Resource Pollutants Table 4-1</t>
  </si>
  <si>
    <r>
      <rPr>
        <b/>
        <sz val="9"/>
        <color indexed="8"/>
        <rFont val="Calibri"/>
        <family val="2"/>
      </rPr>
      <t xml:space="preserve">187 </t>
    </r>
    <r>
      <rPr>
        <b/>
        <sz val="11"/>
        <color indexed="8"/>
        <rFont val="Calibri"/>
        <family val="2"/>
      </rPr>
      <t>Approximate Geographic Location of Illinois Population Center</t>
    </r>
  </si>
  <si>
    <t>Distance to Illinois Population Weighted Geographic Center Near Morris and Calculations [miles]*</t>
  </si>
  <si>
    <t>Updated Factors 18FEB2026</t>
  </si>
  <si>
    <t>In Accordance with 2026 LTRRPP</t>
  </si>
  <si>
    <t>Based on the 2020 Census. See: https://www2.census.gov/geo/docs/reference/cenpop2020/CenPop2020_Mean_ST.txt.</t>
  </si>
  <si>
    <t>Installed/Planned Capacity [MW-DC]</t>
  </si>
  <si>
    <t>Application for Determination of Eligibility*</t>
  </si>
  <si>
    <t>*For use for 2026 and 2027 eligibility determination requests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</si>
</sst>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_(* #,##0_);_(* \(#,##0\);_(* &quot;-&quot;??_);_(@_)"/>
    <numFmt numFmtId="165" formatCode="_(* #,##0.0000000_);_(* \(#,##0.0000000\);_(* &quot;-&quot;??_);_(@_)"/>
    <numFmt numFmtId="166" formatCode="0.000"/>
    <numFmt numFmtId="167" formatCode="#,##0.000000"/>
  </numFmts>
  <fonts count="14">
    <font>
      <sz val="11"/>
      <color theme="1"/>
      <name val="Calibri"/>
      <family val="2"/>
      <scheme val="minor"/>
    </font>
    <font>
      <vertAlign val="subscript"/>
      <sz val="11"/>
      <color indexed="8"/>
      <name val="Calibri"/>
      <family val="2"/>
    </font>
    <font>
      <u/>
      <sz val="11"/>
      <color indexed="8"/>
      <name val="Calibri"/>
      <family val="2"/>
    </font>
    <font>
      <b/>
      <sz val="11"/>
      <color indexed="8"/>
      <name val="Calibri"/>
      <family val="2"/>
    </font>
    <font>
      <b/>
      <sz val="9"/>
      <color indexed="8"/>
      <name val="Calibri"/>
      <family val="2"/>
    </font>
    <font>
      <sz val="11"/>
      <color theme="1"/>
      <name val="Calibri"/>
      <family val="2"/>
      <scheme val="minor"/>
    </font>
    <font>
      <u/>
      <sz val="11"/>
      <color theme="10"/>
      <name val="Calibri"/>
      <family val="2"/>
      <scheme val="minor"/>
    </font>
    <font>
      <b/>
      <sz val="11"/>
      <color theme="1"/>
      <name val="Calibri"/>
      <family val="2"/>
      <scheme val="minor"/>
    </font>
    <font>
      <sz val="11"/>
      <color rgb="FF333333"/>
      <name val="Calibri"/>
      <family val="2"/>
      <scheme val="minor"/>
    </font>
    <font>
      <sz val="10"/>
      <color theme="1"/>
      <name val="Calibri"/>
      <family val="2"/>
      <scheme val="minor"/>
    </font>
    <font>
      <b/>
      <sz val="10"/>
      <color theme="1"/>
      <name val="Calibri"/>
      <family val="2"/>
      <scheme val="minor"/>
    </font>
    <font>
      <sz val="11"/>
      <color theme="1"/>
      <name val="Cambria"/>
      <family val="1"/>
    </font>
    <font>
      <sz val="10"/>
      <color rgb="FF000000"/>
      <name val="Arial Unicode MS"/>
    </font>
    <font>
      <sz val="8"/>
      <color theme="1"/>
      <name val="Calibri"/>
      <family val="2"/>
      <scheme val="minor"/>
    </font>
  </fonts>
  <fills count="5">
    <fill>
      <patternFill patternType="none"/>
    </fill>
    <fill>
      <patternFill patternType="gray125"/>
    </fill>
    <fill>
      <patternFill patternType="solid">
        <fgColor rgb="FFD9D9D9"/>
        <bgColor indexed="64"/>
      </patternFill>
    </fill>
    <fill>
      <patternFill patternType="solid">
        <fgColor theme="7" tint="0.79998168889431442"/>
        <bgColor indexed="64"/>
      </patternFill>
    </fill>
    <fill>
      <patternFill patternType="solid">
        <fgColor theme="4" tint="0.79998168889431442"/>
        <bgColor indexed="64"/>
      </patternFill>
    </fill>
  </fills>
  <borders count="19">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style="medium">
        <color indexed="64"/>
      </left>
      <right/>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top/>
      <bottom style="medium">
        <color indexed="64"/>
      </bottom>
      <diagonal/>
    </border>
    <border>
      <left/>
      <right/>
      <top style="medium">
        <color indexed="64"/>
      </top>
      <bottom style="medium">
        <color indexed="64"/>
      </bottom>
      <diagonal/>
    </border>
  </borders>
  <cellStyleXfs count="3">
    <xf numFmtId="0" fontId="0" fillId="0" borderId="0"/>
    <xf numFmtId="43" fontId="5" fillId="0" borderId="0" applyFont="0" applyFill="0" applyBorder="0" applyAlignment="0" applyProtection="0"/>
    <xf numFmtId="0" fontId="6" fillId="0" borderId="0" applyNumberFormat="0" applyFill="0" applyBorder="0" applyAlignment="0" applyProtection="0"/>
  </cellStyleXfs>
  <cellXfs count="105">
    <xf numFmtId="0" fontId="0" fillId="0" borderId="0" xfId="0"/>
    <xf numFmtId="0" fontId="7" fillId="0" borderId="0" xfId="0" applyFont="1"/>
    <xf numFmtId="0" fontId="0" fillId="0" borderId="0" xfId="0" applyFont="1"/>
    <xf numFmtId="0" fontId="7" fillId="2" borderId="1"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0" fillId="0" borderId="0" xfId="0" applyFont="1" applyFill="1"/>
    <xf numFmtId="0" fontId="0" fillId="0" borderId="3" xfId="0" applyFont="1" applyBorder="1" applyAlignment="1">
      <alignment horizontal="justify" vertical="center" wrapText="1"/>
    </xf>
    <xf numFmtId="0" fontId="0" fillId="0" borderId="4" xfId="0" applyFont="1" applyBorder="1" applyAlignment="1">
      <alignment horizontal="justify" vertical="center" wrapText="1"/>
    </xf>
    <xf numFmtId="0" fontId="7" fillId="2" borderId="1" xfId="0" applyFont="1" applyFill="1" applyBorder="1" applyAlignment="1">
      <alignment horizontal="left" vertical="center" wrapText="1"/>
    </xf>
    <xf numFmtId="0" fontId="8" fillId="0" borderId="0" xfId="0" applyFont="1"/>
    <xf numFmtId="0" fontId="0" fillId="0" borderId="5" xfId="0" applyFont="1" applyBorder="1"/>
    <xf numFmtId="0" fontId="0" fillId="0" borderId="6" xfId="0" applyFont="1" applyBorder="1"/>
    <xf numFmtId="0" fontId="0" fillId="0" borderId="7" xfId="0" applyFont="1" applyBorder="1"/>
    <xf numFmtId="0" fontId="0" fillId="0" borderId="0" xfId="0" applyFont="1" applyBorder="1"/>
    <xf numFmtId="0" fontId="0" fillId="0" borderId="8" xfId="0" applyFont="1" applyBorder="1"/>
    <xf numFmtId="0" fontId="0" fillId="0" borderId="9" xfId="0" applyFont="1" applyBorder="1"/>
    <xf numFmtId="0" fontId="0" fillId="0" borderId="4" xfId="0" applyFont="1" applyBorder="1"/>
    <xf numFmtId="0" fontId="0" fillId="0" borderId="0" xfId="0" applyFont="1" applyFill="1" applyBorder="1"/>
    <xf numFmtId="0" fontId="0" fillId="0" borderId="7" xfId="0" applyFont="1" applyFill="1" applyBorder="1"/>
    <xf numFmtId="0" fontId="0" fillId="0" borderId="9" xfId="0" applyFont="1" applyFill="1" applyBorder="1"/>
    <xf numFmtId="0" fontId="0" fillId="0" borderId="0" xfId="0" applyFont="1" applyAlignment="1">
      <alignment horizontal="center"/>
    </xf>
    <xf numFmtId="0" fontId="0" fillId="0" borderId="0" xfId="0" applyFont="1" applyBorder="1" applyAlignment="1">
      <alignment horizontal="justify" vertical="center" wrapText="1"/>
    </xf>
    <xf numFmtId="0" fontId="0" fillId="0" borderId="3" xfId="0" applyFont="1" applyBorder="1" applyAlignment="1">
      <alignment horizontal="center" vertical="center" wrapText="1"/>
    </xf>
    <xf numFmtId="0" fontId="0" fillId="0" borderId="8" xfId="0" applyFont="1" applyBorder="1" applyAlignment="1">
      <alignment horizontal="center"/>
    </xf>
    <xf numFmtId="0" fontId="0" fillId="0" borderId="6" xfId="0" applyFont="1" applyBorder="1" applyAlignment="1">
      <alignment horizontal="center"/>
    </xf>
    <xf numFmtId="0" fontId="0" fillId="0" borderId="0" xfId="0" applyFont="1" applyFill="1" applyBorder="1" applyAlignment="1">
      <alignment horizontal="center"/>
    </xf>
    <xf numFmtId="0" fontId="7" fillId="0" borderId="0" xfId="0" applyFont="1" applyFill="1" applyBorder="1" applyAlignment="1">
      <alignment horizontal="center" vertical="center" wrapText="1"/>
    </xf>
    <xf numFmtId="0" fontId="7" fillId="0" borderId="0" xfId="0" applyFont="1" applyFill="1" applyBorder="1" applyAlignment="1">
      <alignment horizontal="justify" vertical="center" wrapText="1"/>
    </xf>
    <xf numFmtId="0" fontId="0" fillId="0" borderId="1" xfId="0" applyFont="1" applyBorder="1" applyAlignment="1">
      <alignment horizontal="justify" vertical="center" wrapText="1"/>
    </xf>
    <xf numFmtId="0" fontId="0" fillId="0" borderId="10" xfId="0" applyFont="1" applyBorder="1" applyAlignment="1">
      <alignment horizontal="justify" vertical="center" wrapText="1"/>
    </xf>
    <xf numFmtId="43" fontId="7" fillId="0" borderId="0" xfId="1" applyFont="1"/>
    <xf numFmtId="2" fontId="7" fillId="0" borderId="0" xfId="1" applyNumberFormat="1" applyFont="1"/>
    <xf numFmtId="0" fontId="7" fillId="0" borderId="5" xfId="0" applyFont="1" applyBorder="1"/>
    <xf numFmtId="0" fontId="7" fillId="0" borderId="7" xfId="0" applyFont="1" applyBorder="1"/>
    <xf numFmtId="2" fontId="7" fillId="0" borderId="0" xfId="1" applyNumberFormat="1" applyFont="1" applyFill="1" applyBorder="1"/>
    <xf numFmtId="0" fontId="7" fillId="0" borderId="9" xfId="0" applyFont="1" applyBorder="1"/>
    <xf numFmtId="0" fontId="0" fillId="0" borderId="1" xfId="0" applyFont="1" applyBorder="1"/>
    <xf numFmtId="0" fontId="0" fillId="0" borderId="4" xfId="0" applyFont="1" applyBorder="1" applyAlignment="1">
      <alignment horizontal="center"/>
    </xf>
    <xf numFmtId="14" fontId="0" fillId="0" borderId="0" xfId="0" applyNumberFormat="1" applyFont="1" applyFill="1" applyBorder="1" applyAlignment="1">
      <alignment horizontal="center"/>
    </xf>
    <xf numFmtId="0" fontId="0" fillId="0" borderId="0" xfId="0" applyFill="1" applyBorder="1" applyAlignment="1">
      <alignment horizontal="center"/>
    </xf>
    <xf numFmtId="0" fontId="0" fillId="0" borderId="8" xfId="0" applyFont="1" applyFill="1" applyBorder="1"/>
    <xf numFmtId="0" fontId="8" fillId="0" borderId="8" xfId="0" applyFont="1" applyBorder="1"/>
    <xf numFmtId="0" fontId="7" fillId="0" borderId="5" xfId="0" applyFont="1" applyBorder="1" applyAlignment="1">
      <alignment horizontal="justify" vertical="center"/>
    </xf>
    <xf numFmtId="0" fontId="7" fillId="0" borderId="5" xfId="0" applyFont="1" applyBorder="1" applyAlignment="1">
      <alignment horizontal="left" vertical="center"/>
    </xf>
    <xf numFmtId="1" fontId="7" fillId="0" borderId="4" xfId="1" applyNumberFormat="1" applyFont="1" applyBorder="1" applyAlignment="1">
      <alignment horizontal="center"/>
    </xf>
    <xf numFmtId="0" fontId="9" fillId="0" borderId="0" xfId="0" applyFont="1"/>
    <xf numFmtId="0" fontId="0" fillId="0" borderId="11" xfId="0" applyFont="1" applyFill="1" applyBorder="1"/>
    <xf numFmtId="0" fontId="0" fillId="0" borderId="12" xfId="0" applyFont="1" applyFill="1" applyBorder="1"/>
    <xf numFmtId="0" fontId="0" fillId="0" borderId="12" xfId="0" applyFont="1" applyBorder="1"/>
    <xf numFmtId="0" fontId="0" fillId="0" borderId="13" xfId="0" applyFont="1" applyBorder="1"/>
    <xf numFmtId="0" fontId="0" fillId="0" borderId="13" xfId="0" applyFont="1" applyFill="1" applyBorder="1" applyAlignment="1">
      <alignment horizontal="left"/>
    </xf>
    <xf numFmtId="0" fontId="0" fillId="0" borderId="11" xfId="0" applyFont="1" applyBorder="1"/>
    <xf numFmtId="0" fontId="0" fillId="0" borderId="2" xfId="0" applyFont="1" applyBorder="1" applyAlignment="1">
      <alignment wrapText="1"/>
    </xf>
    <xf numFmtId="0" fontId="0" fillId="0" borderId="0" xfId="0" applyFont="1" applyProtection="1">
      <protection locked="0"/>
    </xf>
    <xf numFmtId="14" fontId="0" fillId="3" borderId="14" xfId="0" applyNumberFormat="1" applyFont="1" applyFill="1" applyBorder="1" applyAlignment="1" applyProtection="1">
      <alignment horizontal="center"/>
      <protection locked="0"/>
    </xf>
    <xf numFmtId="0" fontId="0" fillId="3" borderId="15" xfId="0" applyFont="1" applyFill="1" applyBorder="1" applyAlignment="1" applyProtection="1">
      <alignment horizontal="center"/>
      <protection locked="0"/>
    </xf>
    <xf numFmtId="0" fontId="0" fillId="3" borderId="4" xfId="0" applyFill="1" applyBorder="1" applyAlignment="1" applyProtection="1">
      <alignment horizontal="center"/>
      <protection locked="0"/>
    </xf>
    <xf numFmtId="0" fontId="0" fillId="3" borderId="14" xfId="0" applyFont="1" applyFill="1" applyBorder="1" applyAlignment="1" applyProtection="1">
      <alignment horizontal="center"/>
      <protection locked="0"/>
    </xf>
    <xf numFmtId="0" fontId="0" fillId="3" borderId="16" xfId="0" applyFont="1" applyFill="1" applyBorder="1" applyAlignment="1" applyProtection="1">
      <alignment horizontal="center"/>
      <protection locked="0"/>
    </xf>
    <xf numFmtId="0" fontId="0" fillId="3" borderId="4" xfId="0" applyFont="1" applyFill="1" applyBorder="1" applyAlignment="1" applyProtection="1">
      <alignment horizontal="center"/>
      <protection locked="0"/>
    </xf>
    <xf numFmtId="3" fontId="5" fillId="3" borderId="4" xfId="1" applyNumberFormat="1" applyFont="1" applyFill="1" applyBorder="1" applyAlignment="1" applyProtection="1">
      <alignment horizontal="center"/>
      <protection locked="0"/>
    </xf>
    <xf numFmtId="0" fontId="0" fillId="3" borderId="4" xfId="0" applyFont="1" applyFill="1" applyBorder="1" applyProtection="1">
      <protection locked="0"/>
    </xf>
    <xf numFmtId="0" fontId="7" fillId="0" borderId="10" xfId="0" applyFont="1" applyBorder="1"/>
    <xf numFmtId="0" fontId="0" fillId="0" borderId="0" xfId="0" applyProtection="1">
      <protection locked="0"/>
    </xf>
    <xf numFmtId="165" fontId="7" fillId="0" borderId="6" xfId="0" applyNumberFormat="1" applyFont="1" applyBorder="1" applyAlignment="1">
      <alignment horizontal="center"/>
    </xf>
    <xf numFmtId="0" fontId="10" fillId="0" borderId="0" xfId="0" applyFont="1" applyAlignment="1">
      <alignment horizontal="center" wrapText="1"/>
    </xf>
    <xf numFmtId="0" fontId="11" fillId="0" borderId="10" xfId="0" applyFont="1" applyBorder="1" applyAlignment="1">
      <alignment vertical="center" wrapText="1"/>
    </xf>
    <xf numFmtId="0" fontId="0" fillId="3" borderId="2" xfId="0" applyFont="1" applyFill="1" applyBorder="1" applyAlignment="1" applyProtection="1">
      <alignment horizontal="center" vertical="center"/>
      <protection locked="0"/>
    </xf>
    <xf numFmtId="43" fontId="5" fillId="0" borderId="0" xfId="1" applyFont="1"/>
    <xf numFmtId="2" fontId="7" fillId="0" borderId="6" xfId="1" applyNumberFormat="1" applyFont="1" applyBorder="1" applyAlignment="1">
      <alignment horizontal="center"/>
    </xf>
    <xf numFmtId="2" fontId="7" fillId="0" borderId="8" xfId="1" applyNumberFormat="1" applyFont="1" applyFill="1" applyBorder="1" applyAlignment="1">
      <alignment horizontal="center"/>
    </xf>
    <xf numFmtId="2" fontId="7" fillId="0" borderId="8" xfId="1" applyNumberFormat="1" applyFont="1" applyBorder="1" applyAlignment="1">
      <alignment horizontal="center"/>
    </xf>
    <xf numFmtId="2" fontId="7" fillId="0" borderId="4" xfId="1" applyNumberFormat="1" applyFont="1" applyBorder="1" applyAlignment="1">
      <alignment horizontal="center"/>
    </xf>
    <xf numFmtId="0" fontId="0" fillId="0" borderId="0" xfId="0" applyFont="1" applyBorder="1" applyAlignment="1">
      <alignment horizontal="center"/>
    </xf>
    <xf numFmtId="0" fontId="0" fillId="0" borderId="17" xfId="0" applyFont="1" applyBorder="1"/>
    <xf numFmtId="0" fontId="0" fillId="0" borderId="7" xfId="0" applyFont="1" applyBorder="1" applyAlignment="1">
      <alignment horizontal="center"/>
    </xf>
    <xf numFmtId="0" fontId="0" fillId="0" borderId="9" xfId="0" applyFont="1" applyBorder="1" applyAlignment="1">
      <alignment horizontal="center"/>
    </xf>
    <xf numFmtId="0" fontId="0" fillId="0" borderId="17" xfId="0" applyFont="1" applyBorder="1" applyAlignment="1">
      <alignment horizontal="center"/>
    </xf>
    <xf numFmtId="0" fontId="0" fillId="0" borderId="0" xfId="0" applyFont="1" applyFill="1" applyBorder="1" applyAlignment="1">
      <alignment horizontal="center" vertical="center" wrapText="1"/>
    </xf>
    <xf numFmtId="0" fontId="7" fillId="0" borderId="8" xfId="0" applyFont="1" applyBorder="1"/>
    <xf numFmtId="1" fontId="7" fillId="0" borderId="2" xfId="1" applyNumberFormat="1" applyFont="1" applyFill="1" applyBorder="1" applyAlignment="1">
      <alignment horizontal="center"/>
    </xf>
    <xf numFmtId="0" fontId="0" fillId="0" borderId="0" xfId="0" applyAlignment="1">
      <alignment wrapText="1"/>
    </xf>
    <xf numFmtId="0" fontId="0" fillId="0" borderId="10" xfId="0" applyFont="1" applyBorder="1" applyAlignment="1">
      <alignment wrapText="1"/>
    </xf>
    <xf numFmtId="0" fontId="0" fillId="4" borderId="4" xfId="0" applyFont="1" applyFill="1" applyBorder="1" applyAlignment="1">
      <alignment horizontal="center" vertical="center" wrapText="1"/>
    </xf>
    <xf numFmtId="0" fontId="0" fillId="4" borderId="0" xfId="0" applyFont="1" applyFill="1"/>
    <xf numFmtId="166" fontId="0" fillId="4" borderId="4" xfId="0" applyNumberFormat="1" applyFont="1" applyFill="1" applyBorder="1" applyAlignment="1">
      <alignment horizontal="center" vertical="center" wrapText="1"/>
    </xf>
    <xf numFmtId="0" fontId="7" fillId="0" borderId="0" xfId="0" applyFont="1" applyFill="1"/>
    <xf numFmtId="0" fontId="7" fillId="4" borderId="5" xfId="0" applyFont="1" applyFill="1" applyBorder="1"/>
    <xf numFmtId="0" fontId="12" fillId="0" borderId="0" xfId="0" applyFont="1" applyAlignment="1">
      <alignment vertical="center"/>
    </xf>
    <xf numFmtId="0" fontId="6" fillId="0" borderId="7" xfId="2" applyBorder="1"/>
    <xf numFmtId="0" fontId="12" fillId="0" borderId="0" xfId="0" applyFont="1" applyFill="1" applyAlignment="1">
      <alignment vertical="center"/>
    </xf>
    <xf numFmtId="167" fontId="7" fillId="4" borderId="0" xfId="0" applyNumberFormat="1" applyFont="1" applyFill="1" applyBorder="1"/>
    <xf numFmtId="167" fontId="7" fillId="4" borderId="0" xfId="0" applyNumberFormat="1" applyFont="1" applyFill="1" applyBorder="1" applyAlignment="1">
      <alignment horizontal="center"/>
    </xf>
    <xf numFmtId="0" fontId="13" fillId="0" borderId="0" xfId="0" applyFont="1" applyFill="1" applyAlignment="1">
      <alignment wrapText="1"/>
    </xf>
    <xf numFmtId="167" fontId="0" fillId="0" borderId="8" xfId="0" applyNumberFormat="1" applyFont="1" applyFill="1" applyBorder="1"/>
    <xf numFmtId="164" fontId="5" fillId="0" borderId="8" xfId="1" applyNumberFormat="1" applyFont="1" applyFill="1" applyBorder="1"/>
    <xf numFmtId="0" fontId="7" fillId="0" borderId="0" xfId="0" applyFont="1" applyAlignment="1">
      <alignment horizontal="center" wrapText="1"/>
    </xf>
    <xf numFmtId="0" fontId="7" fillId="0" borderId="0" xfId="0" applyFont="1" applyAlignment="1">
      <alignment horizontal="center"/>
    </xf>
    <xf numFmtId="0" fontId="7" fillId="0" borderId="0" xfId="0" applyFont="1" applyAlignment="1">
      <alignment horizontal="center" wrapText="1"/>
    </xf>
    <xf numFmtId="0" fontId="10" fillId="0" borderId="0" xfId="0" applyFont="1" applyAlignment="1">
      <alignment horizontal="center" vertical="center" wrapText="1"/>
    </xf>
    <xf numFmtId="0" fontId="7" fillId="0" borderId="5" xfId="0" applyFont="1" applyBorder="1" applyAlignment="1">
      <alignment horizontal="left" wrapText="1"/>
    </xf>
    <xf numFmtId="0" fontId="7" fillId="0" borderId="6" xfId="0" applyFont="1" applyBorder="1" applyAlignment="1">
      <alignment horizontal="left" wrapText="1"/>
    </xf>
    <xf numFmtId="0" fontId="7" fillId="4" borderId="10" xfId="0" applyFont="1" applyFill="1" applyBorder="1" applyAlignment="1">
      <alignment horizontal="center"/>
    </xf>
    <xf numFmtId="0" fontId="7" fillId="4" borderId="18" xfId="0" applyFont="1" applyFill="1" applyBorder="1" applyAlignment="1">
      <alignment horizontal="center"/>
    </xf>
    <xf numFmtId="0" fontId="7" fillId="4" borderId="2" xfId="0" applyFont="1" applyFill="1" applyBorder="1" applyAlignment="1">
      <alignment horizontal="center"/>
    </xf>
  </cellXfs>
  <cellStyles count="3">
    <cellStyle name="Comma" xfId="1" builtinId="3"/>
    <cellStyle name="Hyperlink" xfId="2" builtinId="8"/>
    <cellStyle name="Normal" xfId="0" builtinId="0"/>
  </cellStyles>
  <dxfs count="2">
    <dxf>
      <fill>
        <patternFill>
          <bgColor rgb="FF92D050"/>
        </patternFill>
      </fill>
    </dxf>
    <dxf>
      <fill>
        <patternFill>
          <bgColor rgb="FFFFC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vmlDrawing1.vml.rels><?xml version="1.0" encoding="UTF-8" standalone="yes"?>
<Relationships xmlns="http://schemas.openxmlformats.org/package/2006/relationships"><Relationship Id="rId3" Type="http://schemas.openxmlformats.org/officeDocument/2006/relationships/image" Target="../media/image3.wmf"/><Relationship Id="rId2" Type="http://schemas.openxmlformats.org/officeDocument/2006/relationships/image" Target="../media/image2.wmf"/><Relationship Id="rId1" Type="http://schemas.openxmlformats.org/officeDocument/2006/relationships/image" Target="../media/image1.wmf"/><Relationship Id="rId4" Type="http://schemas.openxmlformats.org/officeDocument/2006/relationships/image" Target="../media/image4.w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50800</xdr:colOff>
          <xdr:row>22</xdr:row>
          <xdr:rowOff>0</xdr:rowOff>
        </xdr:from>
        <xdr:to>
          <xdr:col>1</xdr:col>
          <xdr:colOff>3644900</xdr:colOff>
          <xdr:row>22</xdr:row>
          <xdr:rowOff>603250</xdr:rowOff>
        </xdr:to>
        <xdr:sp macro="" textlink="">
          <xdr:nvSpPr>
            <xdr:cNvPr id="1025" name="Object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31750</xdr:colOff>
          <xdr:row>31</xdr:row>
          <xdr:rowOff>152400</xdr:rowOff>
        </xdr:from>
        <xdr:to>
          <xdr:col>1</xdr:col>
          <xdr:colOff>3867150</xdr:colOff>
          <xdr:row>31</xdr:row>
          <xdr:rowOff>546100</xdr:rowOff>
        </xdr:to>
        <xdr:sp macro="" textlink="">
          <xdr:nvSpPr>
            <xdr:cNvPr id="1027" name="Object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69850</xdr:colOff>
          <xdr:row>39</xdr:row>
          <xdr:rowOff>165100</xdr:rowOff>
        </xdr:from>
        <xdr:to>
          <xdr:col>1</xdr:col>
          <xdr:colOff>5829300</xdr:colOff>
          <xdr:row>39</xdr:row>
          <xdr:rowOff>552450</xdr:rowOff>
        </xdr:to>
        <xdr:sp macro="" textlink="">
          <xdr:nvSpPr>
            <xdr:cNvPr id="1028" name="Object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330200</xdr:colOff>
          <xdr:row>43</xdr:row>
          <xdr:rowOff>222250</xdr:rowOff>
        </xdr:from>
        <xdr:to>
          <xdr:col>1</xdr:col>
          <xdr:colOff>2724150</xdr:colOff>
          <xdr:row>43</xdr:row>
          <xdr:rowOff>1250950</xdr:rowOff>
        </xdr:to>
        <xdr:sp macro="" textlink="">
          <xdr:nvSpPr>
            <xdr:cNvPr id="1029" name="Object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oleObject" Target="../embeddings/oleObject3.bin"/><Relationship Id="rId3" Type="http://schemas.openxmlformats.org/officeDocument/2006/relationships/vmlDrawing" Target="../drawings/vmlDrawing1.vml"/><Relationship Id="rId7" Type="http://schemas.openxmlformats.org/officeDocument/2006/relationships/image" Target="../media/image2.wmf"/><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oleObject" Target="../embeddings/oleObject2.bin"/><Relationship Id="rId11" Type="http://schemas.openxmlformats.org/officeDocument/2006/relationships/image" Target="../media/image4.wmf"/><Relationship Id="rId5" Type="http://schemas.openxmlformats.org/officeDocument/2006/relationships/image" Target="../media/image1.wmf"/><Relationship Id="rId10" Type="http://schemas.openxmlformats.org/officeDocument/2006/relationships/oleObject" Target="../embeddings/oleObject4.bin"/><Relationship Id="rId4" Type="http://schemas.openxmlformats.org/officeDocument/2006/relationships/oleObject" Target="../embeddings/oleObject1.bin"/><Relationship Id="rId9" Type="http://schemas.openxmlformats.org/officeDocument/2006/relationships/image" Target="../media/image3.wmf"/></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M60"/>
  <sheetViews>
    <sheetView tabSelected="1" workbookViewId="0">
      <selection activeCell="C9" sqref="C9"/>
    </sheetView>
  </sheetViews>
  <sheetFormatPr defaultColWidth="9.08984375" defaultRowHeight="14.5"/>
  <cols>
    <col min="1" max="1" width="9.08984375" style="2"/>
    <col min="2" max="2" width="37.54296875" style="2" customWidth="1"/>
    <col min="3" max="3" width="40" style="2" customWidth="1"/>
    <col min="4" max="4" width="13.453125" style="2" customWidth="1"/>
    <col min="5" max="5" width="32.6328125" style="2" customWidth="1"/>
    <col min="6" max="6" width="13.36328125" style="2" bestFit="1" customWidth="1"/>
    <col min="7" max="7" width="8.453125" style="2" bestFit="1" customWidth="1"/>
    <col min="8" max="8" width="14" style="2" bestFit="1" customWidth="1"/>
    <col min="9" max="9" width="11.6328125" style="2" bestFit="1" customWidth="1"/>
    <col min="10" max="10" width="30.36328125" style="2" bestFit="1" customWidth="1"/>
    <col min="11" max="12" width="9.08984375" style="2"/>
    <col min="13" max="13" width="17.36328125" style="2" customWidth="1"/>
    <col min="14" max="16384" width="9.08984375" style="2"/>
  </cols>
  <sheetData>
    <row r="2" spans="2:5">
      <c r="B2" s="97" t="s">
        <v>72</v>
      </c>
      <c r="C2" s="97"/>
    </row>
    <row r="3" spans="2:5" ht="29">
      <c r="B3" s="98" t="s">
        <v>100</v>
      </c>
      <c r="C3" s="98"/>
      <c r="E3" s="96" t="s">
        <v>101</v>
      </c>
    </row>
    <row r="4" spans="2:5" ht="15" thickBot="1">
      <c r="B4" s="45"/>
    </row>
    <row r="5" spans="2:5" ht="42.5" thickBot="1">
      <c r="B5" s="66" t="s">
        <v>88</v>
      </c>
      <c r="C5" s="67" t="s">
        <v>87</v>
      </c>
    </row>
    <row r="6" spans="2:5" ht="7.5" customHeight="1">
      <c r="B6" s="45"/>
    </row>
    <row r="7" spans="2:5" ht="39.75" customHeight="1">
      <c r="B7" s="99" t="str">
        <f>IF(C5="YES","Stop, no need to go any further, the facility is not eligible because its costs are being recovered through regulated rates.", "Please complete the fields in yellow below and email this form to IPA.ContactUs@Illinois.gov.")</f>
        <v>Please complete the fields in yellow below and email this form to IPA.ContactUs@Illinois.gov.</v>
      </c>
      <c r="C7" s="99"/>
    </row>
    <row r="8" spans="2:5" ht="3" customHeight="1" thickBot="1">
      <c r="B8" s="65"/>
      <c r="C8" s="65"/>
    </row>
    <row r="9" spans="2:5">
      <c r="B9" s="47" t="s">
        <v>60</v>
      </c>
      <c r="C9" s="54"/>
      <c r="D9" s="38"/>
    </row>
    <row r="10" spans="2:5">
      <c r="B10" s="46" t="s">
        <v>65</v>
      </c>
      <c r="C10" s="55"/>
      <c r="D10" s="25"/>
    </row>
    <row r="11" spans="2:5">
      <c r="B11" s="46" t="s">
        <v>55</v>
      </c>
      <c r="C11" s="55"/>
      <c r="D11" s="25"/>
    </row>
    <row r="12" spans="2:5">
      <c r="B12" s="46" t="s">
        <v>56</v>
      </c>
      <c r="C12" s="55"/>
      <c r="D12" s="25"/>
    </row>
    <row r="13" spans="2:5" ht="15" thickBot="1">
      <c r="B13" s="19" t="s">
        <v>57</v>
      </c>
      <c r="C13" s="56"/>
      <c r="D13" s="39"/>
    </row>
    <row r="14" spans="2:5" ht="15" thickBot="1"/>
    <row r="15" spans="2:5">
      <c r="B15" s="48" t="s">
        <v>58</v>
      </c>
      <c r="C15" s="57"/>
      <c r="D15" s="25"/>
    </row>
    <row r="16" spans="2:5">
      <c r="B16" s="49" t="s">
        <v>59</v>
      </c>
      <c r="C16" s="58"/>
      <c r="D16" s="25"/>
    </row>
    <row r="17" spans="2:9">
      <c r="B17" s="50" t="s">
        <v>52</v>
      </c>
      <c r="C17" s="58"/>
      <c r="D17" s="25"/>
    </row>
    <row r="18" spans="2:9">
      <c r="B18" s="49" t="s">
        <v>8</v>
      </c>
      <c r="C18" s="58"/>
      <c r="D18" s="25"/>
    </row>
    <row r="19" spans="2:9">
      <c r="B19" s="49" t="s">
        <v>53</v>
      </c>
      <c r="C19" s="58"/>
      <c r="D19" s="25"/>
    </row>
    <row r="20" spans="2:9" ht="15" thickBot="1">
      <c r="B20" s="15" t="s">
        <v>75</v>
      </c>
      <c r="C20" s="59"/>
      <c r="D20" s="25"/>
    </row>
    <row r="21" spans="2:9" s="17" customFormat="1" ht="15" thickBot="1">
      <c r="C21" s="25"/>
      <c r="D21" s="25"/>
    </row>
    <row r="22" spans="2:9">
      <c r="B22" s="48" t="s">
        <v>43</v>
      </c>
      <c r="C22" s="57"/>
      <c r="D22" s="25"/>
    </row>
    <row r="23" spans="2:9">
      <c r="B23" s="51" t="s">
        <v>76</v>
      </c>
      <c r="C23" s="55"/>
      <c r="D23" s="17"/>
    </row>
    <row r="24" spans="2:9">
      <c r="B24" s="49" t="s">
        <v>77</v>
      </c>
      <c r="C24" s="58"/>
      <c r="D24" s="17"/>
    </row>
    <row r="25" spans="2:9">
      <c r="B25" s="49" t="s">
        <v>78</v>
      </c>
      <c r="C25" s="58"/>
      <c r="D25" s="17"/>
    </row>
    <row r="26" spans="2:9" ht="15" thickBot="1">
      <c r="B26" s="15" t="s">
        <v>99</v>
      </c>
      <c r="C26" s="60"/>
      <c r="D26" s="17"/>
    </row>
    <row r="27" spans="2:9" ht="15" thickBot="1">
      <c r="I27" s="53"/>
    </row>
    <row r="28" spans="2:9">
      <c r="B28" s="48" t="s">
        <v>25</v>
      </c>
      <c r="C28" s="57"/>
    </row>
    <row r="29" spans="2:9">
      <c r="B29" s="49" t="s">
        <v>48</v>
      </c>
      <c r="C29" s="58"/>
    </row>
    <row r="30" spans="2:9">
      <c r="B30" s="49" t="s">
        <v>11</v>
      </c>
      <c r="C30" s="58"/>
      <c r="F30" s="13"/>
    </row>
    <row r="31" spans="2:9" ht="15" thickBot="1">
      <c r="B31" s="15" t="s">
        <v>63</v>
      </c>
      <c r="C31" s="61"/>
    </row>
    <row r="32" spans="2:9" ht="15" thickBot="1"/>
    <row r="33" spans="2:13" ht="111" customHeight="1" thickBot="1">
      <c r="B33" s="82" t="s">
        <v>91</v>
      </c>
      <c r="C33" s="52" t="str">
        <f>IF(C22="wind", "Enter below the GPS coordinates of the approximate geographic center of the area containg the facility’s wind turbines.","Enter below the GPS coordinates of the facility's approximate geographic center of area containing the facility’s solar arrays or generating unit(s).")</f>
        <v>Enter below the GPS coordinates of the facility's approximate geographic center of area containing the facility’s solar arrays or generating unit(s).</v>
      </c>
      <c r="J33" s="81"/>
    </row>
    <row r="34" spans="2:13">
      <c r="B34" s="48" t="s">
        <v>31</v>
      </c>
      <c r="C34" s="57"/>
      <c r="D34" s="2" t="s">
        <v>90</v>
      </c>
    </row>
    <row r="35" spans="2:13">
      <c r="B35" s="49" t="s">
        <v>32</v>
      </c>
      <c r="C35" s="58"/>
      <c r="D35" s="2" t="s">
        <v>89</v>
      </c>
    </row>
    <row r="36" spans="2:13" ht="15" thickBot="1">
      <c r="B36" s="15" t="s">
        <v>62</v>
      </c>
      <c r="C36" s="37">
        <f>'Scoring Engine'!C13</f>
        <v>6133.9632767181492</v>
      </c>
    </row>
    <row r="37" spans="2:13">
      <c r="B37" s="63" t="s">
        <v>64</v>
      </c>
      <c r="C37" s="53"/>
    </row>
    <row r="39" spans="2:13" ht="15" thickBot="1">
      <c r="B39" s="1" t="s">
        <v>74</v>
      </c>
      <c r="L39" s="27"/>
      <c r="M39" s="26"/>
    </row>
    <row r="40" spans="2:13">
      <c r="B40" s="32" t="s">
        <v>17</v>
      </c>
      <c r="C40" s="69" t="e">
        <f>'Scoring Engine'!C58</f>
        <v>#N/A</v>
      </c>
      <c r="L40" s="17"/>
      <c r="M40" s="17"/>
    </row>
    <row r="41" spans="2:13">
      <c r="B41" s="33" t="s">
        <v>20</v>
      </c>
      <c r="C41" s="70">
        <f>'Scoring Engine'!C59</f>
        <v>0</v>
      </c>
    </row>
    <row r="42" spans="2:13">
      <c r="B42" s="33" t="s">
        <v>21</v>
      </c>
      <c r="C42" s="71">
        <f>'Scoring Engine'!C60</f>
        <v>0</v>
      </c>
    </row>
    <row r="43" spans="2:13">
      <c r="B43" s="33" t="s">
        <v>22</v>
      </c>
      <c r="C43" s="71">
        <f>'Scoring Engine'!C61</f>
        <v>20</v>
      </c>
    </row>
    <row r="44" spans="2:13">
      <c r="B44" s="33" t="s">
        <v>23</v>
      </c>
      <c r="C44" s="71" t="e">
        <f>'Scoring Engine'!C62</f>
        <v>#N/A</v>
      </c>
    </row>
    <row r="45" spans="2:13" ht="15" thickBot="1">
      <c r="B45" s="35" t="s">
        <v>24</v>
      </c>
      <c r="C45" s="72" t="e">
        <f>'Scoring Engine'!C63*IF(C5="YES",0,1)</f>
        <v>#N/A</v>
      </c>
    </row>
    <row r="46" spans="2:13" ht="15" thickBot="1">
      <c r="B46" s="35" t="s">
        <v>85</v>
      </c>
      <c r="C46" s="44">
        <f>'Scoring Engine'!C64</f>
        <v>60</v>
      </c>
    </row>
    <row r="48" spans="2:13" ht="15" thickBot="1">
      <c r="B48" s="1" t="s">
        <v>36</v>
      </c>
    </row>
    <row r="49" spans="2:11" ht="15" thickBot="1">
      <c r="B49" s="3" t="s">
        <v>11</v>
      </c>
      <c r="C49" s="4" t="s">
        <v>48</v>
      </c>
      <c r="D49" s="3" t="s">
        <v>25</v>
      </c>
    </row>
    <row r="50" spans="2:11" ht="15" thickBot="1">
      <c r="B50" s="6" t="s">
        <v>13</v>
      </c>
      <c r="C50" s="7" t="s">
        <v>49</v>
      </c>
      <c r="D50" s="6" t="s">
        <v>9</v>
      </c>
    </row>
    <row r="51" spans="2:11" ht="15" thickBot="1">
      <c r="B51" s="6" t="s">
        <v>12</v>
      </c>
      <c r="C51" s="29" t="s">
        <v>54</v>
      </c>
      <c r="D51" s="28" t="s">
        <v>10</v>
      </c>
    </row>
    <row r="52" spans="2:11" ht="15" thickBot="1">
      <c r="B52" s="36" t="s">
        <v>73</v>
      </c>
      <c r="C52" s="21"/>
      <c r="D52" s="6" t="s">
        <v>14</v>
      </c>
    </row>
    <row r="53" spans="2:11" ht="15" thickBot="1">
      <c r="C53" s="21"/>
    </row>
    <row r="54" spans="2:11" ht="15" thickBot="1">
      <c r="B54" s="3" t="s">
        <v>0</v>
      </c>
      <c r="C54" s="4" t="s">
        <v>43</v>
      </c>
      <c r="D54" s="4" t="s">
        <v>43</v>
      </c>
    </row>
    <row r="55" spans="2:11" ht="15" thickBot="1">
      <c r="B55" s="6" t="s">
        <v>1</v>
      </c>
      <c r="C55" s="7" t="s">
        <v>44</v>
      </c>
      <c r="D55" s="7" t="s">
        <v>86</v>
      </c>
    </row>
    <row r="56" spans="2:11" ht="15" thickBot="1">
      <c r="B56" s="6" t="s">
        <v>2</v>
      </c>
      <c r="C56" s="7" t="s">
        <v>45</v>
      </c>
      <c r="D56" s="7" t="s">
        <v>87</v>
      </c>
      <c r="H56" s="20"/>
      <c r="I56" s="20"/>
    </row>
    <row r="57" spans="2:11" ht="15" thickBot="1">
      <c r="B57" s="6" t="s">
        <v>3</v>
      </c>
      <c r="C57" s="7" t="s">
        <v>46</v>
      </c>
      <c r="J57" s="9"/>
      <c r="K57" s="5"/>
    </row>
    <row r="58" spans="2:11" ht="15" thickBot="1">
      <c r="B58" s="6" t="s">
        <v>4</v>
      </c>
      <c r="C58" s="7" t="s">
        <v>47</v>
      </c>
    </row>
    <row r="59" spans="2:11" ht="15" thickBot="1">
      <c r="B59" s="6" t="s">
        <v>5</v>
      </c>
      <c r="C59" s="7" t="s">
        <v>50</v>
      </c>
    </row>
    <row r="60" spans="2:11" ht="15" thickBot="1">
      <c r="B60" s="6" t="s">
        <v>6</v>
      </c>
      <c r="C60" s="7" t="s">
        <v>51</v>
      </c>
    </row>
  </sheetData>
  <sheetProtection sheet="1" selectLockedCells="1"/>
  <mergeCells count="3">
    <mergeCell ref="B2:C2"/>
    <mergeCell ref="B3:C3"/>
    <mergeCell ref="B7:C7"/>
  </mergeCells>
  <conditionalFormatting sqref="C45">
    <cfRule type="cellIs" dxfId="1" priority="3" stopIfTrue="1" operator="lessThan">
      <formula>$C$46</formula>
    </cfRule>
    <cfRule type="cellIs" dxfId="0" priority="4" stopIfTrue="1" operator="greaterThanOrEqual">
      <formula>$C$46</formula>
    </cfRule>
  </conditionalFormatting>
  <dataValidations count="6">
    <dataValidation type="list" allowBlank="1" showInputMessage="1" showErrorMessage="1" sqref="C30" xr:uid="{00000000-0002-0000-0000-000000000000}">
      <formula1>$B$50:$B$52</formula1>
    </dataValidation>
    <dataValidation type="list" allowBlank="1" showInputMessage="1" showErrorMessage="1" sqref="C28" xr:uid="{00000000-0002-0000-0000-000001000000}">
      <formula1>$D$50:$D$52</formula1>
    </dataValidation>
    <dataValidation type="list" allowBlank="1" showInputMessage="1" showErrorMessage="1" sqref="C29 C21" xr:uid="{00000000-0002-0000-0000-000002000000}">
      <formula1>$C$50:$C$51</formula1>
    </dataValidation>
    <dataValidation type="list" allowBlank="1" showInputMessage="1" showErrorMessage="1" sqref="C18" xr:uid="{00000000-0002-0000-0000-000003000000}">
      <formula1>$B$55:$B$60</formula1>
    </dataValidation>
    <dataValidation type="list" allowBlank="1" showInputMessage="1" showErrorMessage="1" sqref="C22" xr:uid="{00000000-0002-0000-0000-000004000000}">
      <formula1>$C$55:$C$60</formula1>
    </dataValidation>
    <dataValidation type="list" allowBlank="1" showInputMessage="1" showErrorMessage="1" sqref="C5" xr:uid="{00000000-0002-0000-0000-000005000000}">
      <formula1>$D$55:$D$56</formula1>
    </dataValidation>
  </dataValidation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U64"/>
  <sheetViews>
    <sheetView topLeftCell="E11" zoomScale="140" zoomScaleNormal="80" workbookViewId="0">
      <selection activeCell="C54" sqref="C54"/>
    </sheetView>
  </sheetViews>
  <sheetFormatPr defaultColWidth="9.08984375" defaultRowHeight="14.5"/>
  <cols>
    <col min="1" max="1" width="9.08984375" style="2"/>
    <col min="2" max="2" width="85.90625" style="2" bestFit="1" customWidth="1"/>
    <col min="3" max="3" width="18" style="2" customWidth="1"/>
    <col min="4" max="4" width="2.90625" style="2" customWidth="1"/>
    <col min="5" max="5" width="34.90625" style="2" customWidth="1"/>
    <col min="6" max="6" width="31.08984375" style="2" bestFit="1" customWidth="1"/>
    <col min="7" max="7" width="3.08984375" style="5" customWidth="1"/>
    <col min="8" max="8" width="5.6328125" style="2" customWidth="1"/>
    <col min="9" max="9" width="18.08984375" style="2" customWidth="1"/>
    <col min="10" max="10" width="10.90625" style="2" customWidth="1"/>
    <col min="11" max="11" width="14.90625" style="2" customWidth="1"/>
    <col min="12" max="12" width="12.453125" style="2" customWidth="1"/>
    <col min="13" max="13" width="12.6328125" style="2" customWidth="1"/>
    <col min="14" max="14" width="9.08984375" style="2"/>
    <col min="15" max="15" width="13.1796875" style="2" customWidth="1"/>
    <col min="16" max="16" width="23.90625" style="2" customWidth="1"/>
    <col min="17" max="16384" width="9.08984375" style="2"/>
  </cols>
  <sheetData>
    <row r="2" spans="2:21">
      <c r="B2" s="1" t="s">
        <v>66</v>
      </c>
      <c r="E2" s="1" t="s">
        <v>36</v>
      </c>
    </row>
    <row r="3" spans="2:21" ht="7.5" customHeight="1" thickBot="1"/>
    <row r="4" spans="2:21" ht="15" thickBot="1">
      <c r="B4" s="10" t="s">
        <v>76</v>
      </c>
      <c r="C4" s="24">
        <f>Application!C23</f>
        <v>0</v>
      </c>
      <c r="E4" s="8" t="s">
        <v>93</v>
      </c>
      <c r="F4" s="4" t="s">
        <v>83</v>
      </c>
      <c r="G4" s="26"/>
      <c r="I4" s="13"/>
      <c r="J4" s="13"/>
      <c r="K4" s="13"/>
      <c r="L4" s="13"/>
      <c r="M4" s="13"/>
      <c r="N4" s="13"/>
      <c r="O4" s="13"/>
      <c r="P4" s="13"/>
      <c r="Q4" s="13"/>
      <c r="R4" s="13"/>
      <c r="S4" s="13"/>
      <c r="T4" s="13"/>
      <c r="U4" s="13"/>
    </row>
    <row r="5" spans="2:21" ht="17" thickBot="1">
      <c r="B5" s="12" t="s">
        <v>77</v>
      </c>
      <c r="C5" s="23">
        <f>Application!C24</f>
        <v>0</v>
      </c>
      <c r="E5" s="22" t="s">
        <v>37</v>
      </c>
      <c r="F5" s="83">
        <v>0</v>
      </c>
      <c r="G5" s="78"/>
      <c r="I5" s="13"/>
      <c r="J5" s="13"/>
      <c r="K5" s="13"/>
      <c r="L5" s="13"/>
      <c r="M5" s="13"/>
      <c r="N5" s="13"/>
      <c r="O5" s="13"/>
      <c r="P5" s="13"/>
      <c r="Q5" s="13"/>
      <c r="R5" s="13"/>
      <c r="S5" s="13"/>
      <c r="T5" s="13"/>
      <c r="U5" s="13"/>
    </row>
    <row r="6" spans="2:21" ht="17" thickBot="1">
      <c r="B6" s="12" t="s">
        <v>78</v>
      </c>
      <c r="C6" s="23">
        <f>Application!C25</f>
        <v>0</v>
      </c>
      <c r="E6" s="22" t="s">
        <v>38</v>
      </c>
      <c r="F6" s="83">
        <v>4.7E-2</v>
      </c>
      <c r="G6" s="78"/>
      <c r="I6" s="13"/>
      <c r="J6" s="13"/>
      <c r="K6" s="13"/>
      <c r="L6" s="13"/>
      <c r="M6" s="13"/>
      <c r="N6" s="13"/>
      <c r="O6" s="13"/>
      <c r="P6" s="13"/>
      <c r="Q6" s="13"/>
      <c r="R6" s="13"/>
      <c r="S6" s="13"/>
      <c r="T6" s="13"/>
      <c r="U6" s="13"/>
    </row>
    <row r="7" spans="2:21" ht="17" thickBot="1">
      <c r="B7" s="12" t="s">
        <v>8</v>
      </c>
      <c r="C7" s="23">
        <f>Application!C18</f>
        <v>0</v>
      </c>
      <c r="E7" s="22" t="s">
        <v>39</v>
      </c>
      <c r="F7" s="83">
        <v>728</v>
      </c>
      <c r="G7" s="78"/>
      <c r="I7" s="13"/>
      <c r="J7" s="13"/>
      <c r="K7" s="13"/>
      <c r="L7" s="13"/>
      <c r="M7" s="13"/>
      <c r="N7" s="13"/>
      <c r="O7" s="13"/>
      <c r="P7" s="13"/>
      <c r="Q7" s="13"/>
      <c r="R7" s="13"/>
      <c r="S7" s="13"/>
      <c r="T7" s="13"/>
      <c r="U7" s="13"/>
    </row>
    <row r="8" spans="2:21" ht="15" thickBot="1">
      <c r="B8" s="15" t="s">
        <v>25</v>
      </c>
      <c r="C8" s="37">
        <f>Application!C28</f>
        <v>0</v>
      </c>
      <c r="I8" s="13"/>
      <c r="J8" s="13"/>
      <c r="K8" s="13"/>
      <c r="L8" s="13"/>
      <c r="M8" s="13"/>
      <c r="N8" s="13"/>
      <c r="O8" s="13"/>
      <c r="P8" s="13"/>
      <c r="Q8" s="13"/>
      <c r="R8" s="13"/>
      <c r="S8" s="13"/>
      <c r="T8" s="13"/>
      <c r="U8" s="13"/>
    </row>
    <row r="9" spans="2:21" ht="15" thickBot="1">
      <c r="E9" s="3" t="s">
        <v>92</v>
      </c>
      <c r="F9" s="4" t="s">
        <v>40</v>
      </c>
      <c r="G9" s="26"/>
      <c r="I9" s="13"/>
      <c r="J9" s="13"/>
      <c r="K9" s="13"/>
      <c r="L9" s="13"/>
      <c r="M9" s="13"/>
      <c r="N9" s="13"/>
      <c r="O9" s="13"/>
      <c r="P9" s="13"/>
      <c r="Q9" s="13"/>
      <c r="R9" s="13"/>
      <c r="S9" s="13"/>
      <c r="T9" s="13"/>
      <c r="U9" s="13"/>
    </row>
    <row r="10" spans="2:21" ht="15" thickBot="1">
      <c r="B10" s="10" t="s">
        <v>67</v>
      </c>
      <c r="C10" s="11">
        <f>Application!C34</f>
        <v>0</v>
      </c>
      <c r="E10" s="6" t="s">
        <v>1</v>
      </c>
      <c r="F10" s="85">
        <v>0.316</v>
      </c>
      <c r="G10" s="78"/>
      <c r="I10" s="13"/>
      <c r="J10" s="13"/>
      <c r="K10" s="13"/>
      <c r="L10" s="13"/>
      <c r="M10" s="13"/>
      <c r="N10" s="13"/>
      <c r="O10" s="13"/>
      <c r="P10" s="13"/>
      <c r="Q10" s="13"/>
      <c r="R10" s="13"/>
      <c r="S10" s="13"/>
      <c r="T10" s="13"/>
      <c r="U10" s="13"/>
    </row>
    <row r="11" spans="2:21" ht="15" thickBot="1">
      <c r="B11" s="15" t="s">
        <v>68</v>
      </c>
      <c r="C11" s="16">
        <f>Application!C35</f>
        <v>0</v>
      </c>
      <c r="E11" s="6" t="s">
        <v>4</v>
      </c>
      <c r="F11" s="85">
        <v>0.25</v>
      </c>
      <c r="G11" s="78"/>
      <c r="I11" s="13"/>
      <c r="J11" s="13"/>
      <c r="K11" s="13"/>
      <c r="L11" s="13"/>
      <c r="M11" s="13"/>
      <c r="N11" s="13"/>
      <c r="O11" s="13"/>
      <c r="P11" s="13"/>
      <c r="Q11" s="13"/>
      <c r="R11" s="13"/>
      <c r="S11" s="13"/>
      <c r="T11" s="13"/>
      <c r="U11" s="13"/>
    </row>
    <row r="12" spans="2:21" ht="15" thickBot="1">
      <c r="E12" s="6" t="s">
        <v>2</v>
      </c>
      <c r="F12" s="85">
        <v>0.23100000000000001</v>
      </c>
      <c r="G12" s="78"/>
    </row>
    <row r="13" spans="2:21" ht="15" thickBot="1">
      <c r="B13" s="87" t="s">
        <v>95</v>
      </c>
      <c r="C13" s="64">
        <f>C18*C17*C19</f>
        <v>6133.9632767181492</v>
      </c>
      <c r="E13" s="6" t="s">
        <v>6</v>
      </c>
      <c r="F13" s="85">
        <v>6.3E-2</v>
      </c>
      <c r="G13" s="78"/>
      <c r="H13" s="102" t="s">
        <v>94</v>
      </c>
      <c r="I13" s="103"/>
      <c r="J13" s="103"/>
      <c r="K13" s="103"/>
      <c r="L13" s="104"/>
    </row>
    <row r="14" spans="2:21" ht="15" thickBot="1">
      <c r="B14" s="12" t="s">
        <v>69</v>
      </c>
      <c r="C14" s="94">
        <f>I15</f>
        <v>41.312077000000002</v>
      </c>
      <c r="E14" s="6" t="s">
        <v>3</v>
      </c>
      <c r="F14" s="85">
        <v>0.48</v>
      </c>
      <c r="G14" s="78"/>
      <c r="H14" s="89"/>
      <c r="I14" s="13"/>
      <c r="J14" s="13"/>
      <c r="K14" s="13"/>
      <c r="L14" s="14"/>
    </row>
    <row r="15" spans="2:21" ht="15" thickBot="1">
      <c r="B15" s="12" t="s">
        <v>70</v>
      </c>
      <c r="C15" s="94">
        <f>K15</f>
        <v>-88.372973999999999</v>
      </c>
      <c r="E15" s="6" t="s">
        <v>5</v>
      </c>
      <c r="F15" s="85">
        <v>9.7000000000000003E-2</v>
      </c>
      <c r="G15" s="78"/>
      <c r="H15" s="75"/>
      <c r="I15" s="91">
        <v>41.312077000000002</v>
      </c>
      <c r="J15" s="13"/>
      <c r="K15" s="92">
        <v>-88.372973999999999</v>
      </c>
      <c r="L15" s="79"/>
    </row>
    <row r="16" spans="2:21">
      <c r="B16" s="18" t="s">
        <v>33</v>
      </c>
      <c r="C16" s="40">
        <f>SIN(ABS(C14-C10)*PI()/180/2)^2+COS(C10*PI()/180)*COS(C14*PI()/180)*SIN(ABS(C15-C11)*PI()/180/2)^2</f>
        <v>0.48933659972303623</v>
      </c>
      <c r="F16" s="84" t="s">
        <v>96</v>
      </c>
      <c r="H16" s="75"/>
      <c r="I16" s="13"/>
      <c r="J16" s="13"/>
      <c r="K16" s="73"/>
      <c r="L16" s="14"/>
    </row>
    <row r="17" spans="2:16" ht="15" thickBot="1">
      <c r="B17" s="18" t="s">
        <v>33</v>
      </c>
      <c r="C17" s="41">
        <f>2*ATAN2(SQRT(1-C16),SQRT(C16))</f>
        <v>1.5494679092232604</v>
      </c>
      <c r="F17" s="84" t="s">
        <v>97</v>
      </c>
      <c r="H17" s="76"/>
      <c r="I17" s="74"/>
      <c r="J17" s="74"/>
      <c r="K17" s="77"/>
      <c r="L17" s="16"/>
    </row>
    <row r="18" spans="2:16">
      <c r="B18" s="18" t="s">
        <v>33</v>
      </c>
      <c r="C18" s="95">
        <f>6371</f>
        <v>6371</v>
      </c>
      <c r="H18" s="84" t="s">
        <v>98</v>
      </c>
      <c r="I18" s="84"/>
      <c r="J18" s="84"/>
      <c r="K18" s="84"/>
      <c r="L18" s="84"/>
      <c r="M18" s="84"/>
      <c r="N18" s="84"/>
      <c r="O18" s="84"/>
      <c r="P18" s="84"/>
    </row>
    <row r="19" spans="2:16" ht="15" thickBot="1">
      <c r="B19" s="19" t="s">
        <v>84</v>
      </c>
      <c r="C19" s="16">
        <f>0.621371</f>
        <v>0.62137100000000001</v>
      </c>
      <c r="M19" s="5"/>
      <c r="N19" s="5"/>
      <c r="O19" s="5"/>
      <c r="P19" s="5"/>
    </row>
    <row r="20" spans="2:16">
      <c r="B20" s="45" t="s">
        <v>71</v>
      </c>
      <c r="E20" s="5"/>
      <c r="F20" s="5"/>
    </row>
    <row r="21" spans="2:16" ht="15" thickBot="1">
      <c r="B21"/>
      <c r="E21" s="90"/>
      <c r="F21" s="5"/>
      <c r="H21" s="93"/>
      <c r="I21" s="93"/>
      <c r="J21" s="93"/>
      <c r="K21" s="93"/>
      <c r="L21" s="93"/>
    </row>
    <row r="22" spans="2:16" ht="30" customHeight="1">
      <c r="B22" s="100" t="s">
        <v>29</v>
      </c>
      <c r="C22" s="101"/>
      <c r="E22" s="88"/>
      <c r="H22" s="93"/>
      <c r="I22" s="93"/>
      <c r="J22" s="93"/>
      <c r="K22" s="93"/>
      <c r="L22" s="93"/>
    </row>
    <row r="23" spans="2:16" ht="51" customHeight="1">
      <c r="B23" s="12"/>
      <c r="C23" s="14"/>
      <c r="H23" s="93"/>
      <c r="I23" s="93"/>
      <c r="J23" s="93"/>
      <c r="K23" s="93"/>
      <c r="L23" s="93"/>
    </row>
    <row r="24" spans="2:16">
      <c r="B24" s="12" t="s">
        <v>79</v>
      </c>
      <c r="C24" s="14">
        <f>C4+C5</f>
        <v>0</v>
      </c>
    </row>
    <row r="25" spans="2:16">
      <c r="B25" s="12" t="s">
        <v>80</v>
      </c>
      <c r="C25" s="14">
        <f>F5+F6</f>
        <v>4.7E-2</v>
      </c>
    </row>
    <row r="26" spans="2:16">
      <c r="B26" s="12" t="s">
        <v>19</v>
      </c>
      <c r="C26" s="14">
        <f>IF(C24/C25&gt;1,1,C24/C25)</f>
        <v>0</v>
      </c>
    </row>
    <row r="27" spans="2:16">
      <c r="B27" s="12" t="s">
        <v>15</v>
      </c>
      <c r="C27" s="14" t="e">
        <f>VLOOKUP(C7,E10:F15,2)</f>
        <v>#N/A</v>
      </c>
    </row>
    <row r="28" spans="2:16" ht="15" thickBot="1">
      <c r="B28" s="15" t="s">
        <v>18</v>
      </c>
      <c r="C28" s="16">
        <v>20</v>
      </c>
    </row>
    <row r="29" spans="2:16">
      <c r="B29" s="1" t="s">
        <v>17</v>
      </c>
      <c r="C29" s="86" t="e">
        <f>(1-C26)*C28*C27</f>
        <v>#N/A</v>
      </c>
      <c r="D29" s="5"/>
      <c r="E29" s="5"/>
    </row>
    <row r="30" spans="2:16" ht="15" thickBot="1"/>
    <row r="31" spans="2:16">
      <c r="B31" s="42" t="s">
        <v>16</v>
      </c>
      <c r="C31" s="11"/>
    </row>
    <row r="32" spans="2:16" ht="54" customHeight="1">
      <c r="B32" s="12"/>
      <c r="C32" s="14"/>
    </row>
    <row r="33" spans="2:3">
      <c r="B33" s="12" t="s">
        <v>26</v>
      </c>
      <c r="C33" s="14">
        <f>C13</f>
        <v>6133.9632767181492</v>
      </c>
    </row>
    <row r="34" spans="2:3">
      <c r="B34" s="12" t="s">
        <v>35</v>
      </c>
      <c r="C34" s="14">
        <f>IF(C33/470&lt;1,(C33/470),1)</f>
        <v>1</v>
      </c>
    </row>
    <row r="35" spans="2:3">
      <c r="B35" s="12" t="s">
        <v>34</v>
      </c>
      <c r="C35" s="14">
        <f>1-C34</f>
        <v>0</v>
      </c>
    </row>
    <row r="36" spans="2:3" ht="15" thickBot="1">
      <c r="B36" s="15" t="s">
        <v>18</v>
      </c>
      <c r="C36" s="16">
        <v>20</v>
      </c>
    </row>
    <row r="37" spans="2:3">
      <c r="B37" s="1" t="s">
        <v>20</v>
      </c>
      <c r="C37" s="34">
        <f>C36*C35</f>
        <v>0</v>
      </c>
    </row>
    <row r="38" spans="2:3" ht="15" thickBot="1"/>
    <row r="39" spans="2:3">
      <c r="B39" s="43" t="s">
        <v>28</v>
      </c>
      <c r="C39" s="11"/>
    </row>
    <row r="40" spans="2:3" ht="55.5" customHeight="1" thickBot="1">
      <c r="B40" s="15"/>
      <c r="C40" s="16"/>
    </row>
    <row r="41" spans="2:3">
      <c r="B41" s="1" t="s">
        <v>21</v>
      </c>
      <c r="C41" s="31">
        <f>IF(OR(C8="MISO",C8="PJM"),C37,0)</f>
        <v>0</v>
      </c>
    </row>
    <row r="42" spans="2:3" ht="15" thickBot="1"/>
    <row r="43" spans="2:3">
      <c r="B43" s="32" t="s">
        <v>7</v>
      </c>
      <c r="C43" s="11"/>
    </row>
    <row r="44" spans="2:3" ht="115.5" customHeight="1">
      <c r="B44" s="12"/>
      <c r="C44" s="14"/>
    </row>
    <row r="45" spans="2:3">
      <c r="B45" s="12" t="s">
        <v>81</v>
      </c>
      <c r="C45" s="14">
        <f>C6</f>
        <v>0</v>
      </c>
    </row>
    <row r="46" spans="2:3">
      <c r="B46" s="12" t="s">
        <v>82</v>
      </c>
      <c r="C46" s="14">
        <f>F7</f>
        <v>728</v>
      </c>
    </row>
    <row r="47" spans="2:3">
      <c r="B47" s="12" t="s">
        <v>42</v>
      </c>
      <c r="C47" s="14">
        <f>IF(C45/C46&gt;1,1,C45/C46)</f>
        <v>0</v>
      </c>
    </row>
    <row r="48" spans="2:3">
      <c r="B48" s="12" t="s">
        <v>41</v>
      </c>
      <c r="C48" s="14">
        <f>1-C47</f>
        <v>1</v>
      </c>
    </row>
    <row r="49" spans="2:5" ht="15" thickBot="1">
      <c r="B49" s="15" t="s">
        <v>18</v>
      </c>
      <c r="C49" s="16">
        <v>20</v>
      </c>
    </row>
    <row r="50" spans="2:5">
      <c r="B50" s="1" t="s">
        <v>22</v>
      </c>
      <c r="C50" s="30">
        <f>C49*C48</f>
        <v>20</v>
      </c>
    </row>
    <row r="51" spans="2:5" ht="15" thickBot="1"/>
    <row r="52" spans="2:5">
      <c r="B52" s="42" t="s">
        <v>27</v>
      </c>
      <c r="C52" s="11"/>
    </row>
    <row r="53" spans="2:5" ht="15" thickBot="1">
      <c r="B53" s="15" t="s">
        <v>30</v>
      </c>
      <c r="C53" s="16" t="e">
        <f>AVERAGE(C50,C29)</f>
        <v>#N/A</v>
      </c>
    </row>
    <row r="54" spans="2:5">
      <c r="B54" s="1" t="s">
        <v>23</v>
      </c>
      <c r="C54" s="1" t="e">
        <f>C53</f>
        <v>#N/A</v>
      </c>
    </row>
    <row r="57" spans="2:5" ht="15" thickBot="1">
      <c r="B57" s="1" t="s">
        <v>61</v>
      </c>
    </row>
    <row r="58" spans="2:5">
      <c r="B58" s="32" t="s">
        <v>17</v>
      </c>
      <c r="C58" s="69" t="e">
        <f>ROUND(C29,2)</f>
        <v>#N/A</v>
      </c>
      <c r="E58" s="68"/>
    </row>
    <row r="59" spans="2:5">
      <c r="B59" s="33" t="s">
        <v>20</v>
      </c>
      <c r="C59" s="70">
        <f>ROUND(C37,2)</f>
        <v>0</v>
      </c>
      <c r="E59" s="68"/>
    </row>
    <row r="60" spans="2:5">
      <c r="B60" s="33" t="s">
        <v>21</v>
      </c>
      <c r="C60" s="71">
        <f>ROUND(C41,2)</f>
        <v>0</v>
      </c>
      <c r="E60" s="68"/>
    </row>
    <row r="61" spans="2:5">
      <c r="B61" s="33" t="s">
        <v>22</v>
      </c>
      <c r="C61" s="71">
        <f>ROUND(C50,2)</f>
        <v>20</v>
      </c>
      <c r="E61" s="68"/>
    </row>
    <row r="62" spans="2:5">
      <c r="B62" s="33" t="s">
        <v>23</v>
      </c>
      <c r="C62" s="71" t="e">
        <f>ROUND(C54,2)</f>
        <v>#N/A</v>
      </c>
      <c r="E62" s="68"/>
    </row>
    <row r="63" spans="2:5" ht="15" thickBot="1">
      <c r="B63" s="35" t="s">
        <v>24</v>
      </c>
      <c r="C63" s="72" t="e">
        <f>SUM(C58:C62)</f>
        <v>#N/A</v>
      </c>
      <c r="E63" s="68"/>
    </row>
    <row r="64" spans="2:5" ht="15" thickBot="1">
      <c r="B64" s="62" t="s">
        <v>85</v>
      </c>
      <c r="C64" s="80">
        <v>60</v>
      </c>
    </row>
  </sheetData>
  <sheetProtection selectLockedCells="1" selectUnlockedCells="1"/>
  <mergeCells count="2">
    <mergeCell ref="B22:C22"/>
    <mergeCell ref="H13:L13"/>
  </mergeCells>
  <pageMargins left="0.7" right="0.7" top="0.75" bottom="0.75" header="0.3" footer="0.3"/>
  <pageSetup orientation="portrait" r:id="rId1"/>
  <drawing r:id="rId2"/>
  <legacyDrawing r:id="rId3"/>
  <oleObjects>
    <mc:AlternateContent xmlns:mc="http://schemas.openxmlformats.org/markup-compatibility/2006">
      <mc:Choice Requires="x14">
        <oleObject progId="Equation.3" shapeId="1025" r:id="rId4">
          <objectPr defaultSize="0" autoPict="0" r:id="rId5">
            <anchor moveWithCells="1" sizeWithCells="1">
              <from>
                <xdr:col>1</xdr:col>
                <xdr:colOff>50800</xdr:colOff>
                <xdr:row>22</xdr:row>
                <xdr:rowOff>0</xdr:rowOff>
              </from>
              <to>
                <xdr:col>1</xdr:col>
                <xdr:colOff>3644900</xdr:colOff>
                <xdr:row>22</xdr:row>
                <xdr:rowOff>603250</xdr:rowOff>
              </to>
            </anchor>
          </objectPr>
        </oleObject>
      </mc:Choice>
      <mc:Fallback>
        <oleObject progId="Equation.3" shapeId="1025" r:id="rId4"/>
      </mc:Fallback>
    </mc:AlternateContent>
    <mc:AlternateContent xmlns:mc="http://schemas.openxmlformats.org/markup-compatibility/2006">
      <mc:Choice Requires="x14">
        <oleObject progId="Equation.3" shapeId="1027" r:id="rId6">
          <objectPr defaultSize="0" autoPict="0" r:id="rId7">
            <anchor moveWithCells="1" sizeWithCells="1">
              <from>
                <xdr:col>1</xdr:col>
                <xdr:colOff>31750</xdr:colOff>
                <xdr:row>31</xdr:row>
                <xdr:rowOff>152400</xdr:rowOff>
              </from>
              <to>
                <xdr:col>1</xdr:col>
                <xdr:colOff>3867150</xdr:colOff>
                <xdr:row>31</xdr:row>
                <xdr:rowOff>546100</xdr:rowOff>
              </to>
            </anchor>
          </objectPr>
        </oleObject>
      </mc:Choice>
      <mc:Fallback>
        <oleObject progId="Equation.3" shapeId="1027" r:id="rId6"/>
      </mc:Fallback>
    </mc:AlternateContent>
    <mc:AlternateContent xmlns:mc="http://schemas.openxmlformats.org/markup-compatibility/2006">
      <mc:Choice Requires="x14">
        <oleObject progId="Equation.3" shapeId="1028" r:id="rId8">
          <objectPr defaultSize="0" autoPict="0" r:id="rId9">
            <anchor moveWithCells="1" sizeWithCells="1">
              <from>
                <xdr:col>1</xdr:col>
                <xdr:colOff>69850</xdr:colOff>
                <xdr:row>39</xdr:row>
                <xdr:rowOff>165100</xdr:rowOff>
              </from>
              <to>
                <xdr:col>1</xdr:col>
                <xdr:colOff>5829300</xdr:colOff>
                <xdr:row>39</xdr:row>
                <xdr:rowOff>552450</xdr:rowOff>
              </to>
            </anchor>
          </objectPr>
        </oleObject>
      </mc:Choice>
      <mc:Fallback>
        <oleObject progId="Equation.3" shapeId="1028" r:id="rId8"/>
      </mc:Fallback>
    </mc:AlternateContent>
    <mc:AlternateContent xmlns:mc="http://schemas.openxmlformats.org/markup-compatibility/2006">
      <mc:Choice Requires="x14">
        <oleObject progId="Equation.3" shapeId="1029" r:id="rId10">
          <objectPr defaultSize="0" autoPict="0" r:id="rId11">
            <anchor moveWithCells="1" sizeWithCells="1">
              <from>
                <xdr:col>1</xdr:col>
                <xdr:colOff>330200</xdr:colOff>
                <xdr:row>43</xdr:row>
                <xdr:rowOff>222250</xdr:rowOff>
              </from>
              <to>
                <xdr:col>1</xdr:col>
                <xdr:colOff>2724150</xdr:colOff>
                <xdr:row>43</xdr:row>
                <xdr:rowOff>1250950</xdr:rowOff>
              </to>
            </anchor>
          </objectPr>
        </oleObject>
      </mc:Choice>
      <mc:Fallback>
        <oleObject progId="Equation.3" shapeId="1029" r:id="rId10"/>
      </mc:Fallback>
    </mc:AlternateContent>
  </oleObjec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1E8A36B40D41546AD2726F4F05CAB4F" ma:contentTypeVersion="2" ma:contentTypeDescription="Create a new document." ma:contentTypeScope="" ma:versionID="eb7b8654f6dbb8141706ae71dc009efe">
  <xsd:schema xmlns:xsd="http://www.w3.org/2001/XMLSchema" xmlns:xs="http://www.w3.org/2001/XMLSchema" xmlns:p="http://schemas.microsoft.com/office/2006/metadata/properties" xmlns:ns1="http://schemas.microsoft.com/sharepoint/v3" targetNamespace="http://schemas.microsoft.com/office/2006/metadata/properties" ma:root="true" ma:fieldsID="93a96152a011cc27c8c9db0088433db8"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hidden="true" ma:internalName="PublishingStartDate" ma:readOnly="false">
      <xsd:simpleType>
        <xsd:restriction base="dms:Unknown"/>
      </xsd:simpleType>
    </xsd:element>
    <xsd:element name="PublishingExpirationDate" ma:index="9" nillable="true" ma:displayName="Scheduling End Date" ma:hidden="true" ma:internalName="PublishingExpirationDate" ma:readOnly="fals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396F3C46-CEA2-4EAB-A4E8-319B18520085}">
  <ds:schemaRefs>
    <ds:schemaRef ds:uri="http://schemas.microsoft.com/sharepoint/v3/contenttype/forms"/>
  </ds:schemaRefs>
</ds:datastoreItem>
</file>

<file path=customXml/itemProps2.xml><?xml version="1.0" encoding="utf-8"?>
<ds:datastoreItem xmlns:ds="http://schemas.openxmlformats.org/officeDocument/2006/customXml" ds:itemID="{31BE240A-FD5E-4E4F-A2AE-ADC3FBF3B9F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B2C02C9-E005-4FD2-91BF-0C35D6298B36}">
  <ds:schemaRefs>
    <ds:schemaRef ds:uri="http://schemas.microsoft.com/office/2006/metadata/properties"/>
    <ds:schemaRef ds:uri="http://schemas.microsoft.com/office/infopath/2007/PartnerControls"/>
    <ds:schemaRef ds:uri="http://schemas.microsoft.com/sharepoint/v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Application</vt:lpstr>
      <vt:lpstr>Scoring Engine</vt:lpstr>
      <vt:lpstr>'Scoring Engine'!_ftnref1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Mario Bohorquez</dc:creator>
  <cp:lastModifiedBy>Perry, Rand</cp:lastModifiedBy>
  <dcterms:created xsi:type="dcterms:W3CDTF">2018-02-21T15:48:17Z</dcterms:created>
  <dcterms:modified xsi:type="dcterms:W3CDTF">2026-02-27T17:29:23Z</dcterms:modified>
</cp:coreProperties>
</file>