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eloncorp-my.sharepoint.com/personal/earlmj_exelonds_com/Documents/Documents/Regulatory Affairs/ICC_IPA RA Study 2025/RA Stakeholder Ques Attachments/"/>
    </mc:Choice>
  </mc:AlternateContent>
  <xr:revisionPtr revIDLastSave="1" documentId="8_{9027F40F-41F7-4A0F-A95A-680040820C7C}" xr6:coauthVersionLast="47" xr6:coauthVersionMax="47" xr10:uidLastSave="{DDF3DE5C-1BBA-4D8B-8418-1EBFE9FA49A7}"/>
  <bookViews>
    <workbookView xWindow="-108" yWindow="-108" windowWidth="23256" windowHeight="13896" tabRatio="872" xr2:uid="{00000000-000D-0000-FFFF-FFFF00000000}"/>
  </bookViews>
  <sheets>
    <sheet name="Response #1" sheetId="1" r:id="rId1"/>
    <sheet name="Response #2" sheetId="9" r:id="rId2"/>
    <sheet name="Response #3a" sheetId="2" r:id="rId3"/>
    <sheet name="Response #3b" sheetId="16" r:id="rId4"/>
    <sheet name="Response #3c" sheetId="4" r:id="rId5"/>
    <sheet name="Response #3d i and ii" sheetId="18" r:id="rId6"/>
    <sheet name="Response #4" sheetId="14" r:id="rId7"/>
    <sheet name="Response #6-Base" sheetId="15" r:id="rId8"/>
    <sheet name="Response #6-No ITC" sheetId="19" r:id="rId9"/>
  </sheets>
  <externalReferences>
    <externalReference r:id="rId10"/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4" l="1"/>
  <c r="M5" i="4"/>
  <c r="L5" i="4"/>
  <c r="J7" i="4"/>
  <c r="J8" i="4"/>
  <c r="J9" i="4"/>
  <c r="J10" i="4"/>
  <c r="J11" i="4"/>
  <c r="J12" i="4"/>
  <c r="J13" i="4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6" i="4"/>
  <c r="D25" i="4"/>
  <c r="D24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7" i="2"/>
  <c r="D6" i="2"/>
  <c r="F19" i="9" l="1"/>
  <c r="E19" i="9"/>
  <c r="D19" i="9"/>
  <c r="C19" i="9"/>
  <c r="B19" i="9"/>
  <c r="F10" i="9"/>
  <c r="E10" i="9"/>
  <c r="D10" i="9"/>
  <c r="C10" i="9"/>
  <c r="B10" i="9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J20" i="14"/>
  <c r="J9" i="14"/>
  <c r="J19" i="14"/>
  <c r="J18" i="14"/>
  <c r="J17" i="14"/>
  <c r="J16" i="14"/>
  <c r="J15" i="14"/>
  <c r="J14" i="14"/>
  <c r="J13" i="14"/>
  <c r="J12" i="14"/>
  <c r="J11" i="14"/>
  <c r="J10" i="14"/>
  <c r="I20" i="14"/>
  <c r="H20" i="14"/>
  <c r="E20" i="14"/>
  <c r="D20" i="14"/>
  <c r="C20" i="14"/>
  <c r="B20" i="14"/>
  <c r="G19" i="14"/>
  <c r="F19" i="14"/>
  <c r="G16" i="14"/>
  <c r="G20" i="14" s="1"/>
  <c r="F16" i="14"/>
  <c r="F20" i="14" s="1"/>
  <c r="AH7" i="4" l="1"/>
  <c r="AI7" i="4"/>
  <c r="AJ7" i="4"/>
  <c r="AH8" i="4"/>
  <c r="AI8" i="4"/>
  <c r="AJ8" i="4"/>
  <c r="AH9" i="4"/>
  <c r="AI9" i="4"/>
  <c r="AJ9" i="4"/>
  <c r="AH10" i="4"/>
  <c r="AI10" i="4"/>
  <c r="AJ10" i="4"/>
  <c r="AH11" i="4"/>
  <c r="AI11" i="4"/>
  <c r="AJ11" i="4"/>
  <c r="AH12" i="4"/>
  <c r="AI12" i="4"/>
  <c r="AJ12" i="4"/>
  <c r="AH13" i="4"/>
  <c r="AI13" i="4"/>
  <c r="AJ13" i="4"/>
  <c r="AH14" i="4"/>
  <c r="AI14" i="4"/>
  <c r="AJ14" i="4"/>
  <c r="AH15" i="4"/>
  <c r="AI15" i="4"/>
  <c r="AJ15" i="4"/>
  <c r="AH16" i="4"/>
  <c r="AI16" i="4"/>
  <c r="AJ16" i="4"/>
  <c r="AH17" i="4"/>
  <c r="AI17" i="4"/>
  <c r="AJ17" i="4"/>
  <c r="AH18" i="4"/>
  <c r="AI18" i="4"/>
  <c r="AJ18" i="4"/>
  <c r="AH19" i="4"/>
  <c r="AI19" i="4"/>
  <c r="AJ19" i="4"/>
  <c r="AH20" i="4"/>
  <c r="AI20" i="4"/>
  <c r="AJ20" i="4"/>
  <c r="AH21" i="4"/>
  <c r="AI21" i="4"/>
  <c r="AJ21" i="4"/>
  <c r="AH22" i="4"/>
  <c r="AI22" i="4"/>
  <c r="AJ22" i="4"/>
  <c r="AH23" i="4"/>
  <c r="AI23" i="4"/>
  <c r="AJ23" i="4"/>
  <c r="AH24" i="4"/>
  <c r="AI24" i="4"/>
  <c r="AJ24" i="4"/>
  <c r="AH25" i="4"/>
  <c r="AI25" i="4"/>
  <c r="AJ25" i="4"/>
  <c r="AI6" i="4"/>
  <c r="AJ6" i="4"/>
  <c r="AH6" i="4"/>
  <c r="AF7" i="16" l="1"/>
  <c r="E7" i="16" s="1"/>
  <c r="AF19" i="16"/>
  <c r="E19" i="16" s="1"/>
  <c r="O10" i="16"/>
  <c r="D10" i="16" s="1"/>
  <c r="O21" i="16"/>
  <c r="D21" i="16" s="1"/>
  <c r="O22" i="16"/>
  <c r="D22" i="16" s="1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10" i="16"/>
  <c r="AB11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10" i="16"/>
  <c r="M11" i="16"/>
  <c r="M12" i="16"/>
  <c r="M13" i="16"/>
  <c r="M14" i="16"/>
  <c r="M15" i="16"/>
  <c r="M16" i="16"/>
  <c r="M17" i="16"/>
  <c r="O17" i="16" s="1"/>
  <c r="D17" i="16" s="1"/>
  <c r="M18" i="16"/>
  <c r="M19" i="16"/>
  <c r="M20" i="16"/>
  <c r="M21" i="16"/>
  <c r="M22" i="16"/>
  <c r="M23" i="16"/>
  <c r="M24" i="16"/>
  <c r="M25" i="16"/>
  <c r="M10" i="16"/>
  <c r="AA11" i="16"/>
  <c r="AA12" i="16"/>
  <c r="AA13" i="16"/>
  <c r="AA14" i="16"/>
  <c r="AA15" i="16"/>
  <c r="AA16" i="16"/>
  <c r="AA17" i="16"/>
  <c r="AA18" i="16"/>
  <c r="AF18" i="16" s="1"/>
  <c r="E18" i="16" s="1"/>
  <c r="AA19" i="16"/>
  <c r="AA20" i="16"/>
  <c r="AA21" i="16"/>
  <c r="AA22" i="16"/>
  <c r="AA23" i="16"/>
  <c r="AA24" i="16"/>
  <c r="AA25" i="16"/>
  <c r="AA10" i="16"/>
  <c r="L10" i="16"/>
  <c r="L11" i="16"/>
  <c r="L12" i="16"/>
  <c r="L13" i="16"/>
  <c r="L14" i="16"/>
  <c r="L15" i="16"/>
  <c r="L16" i="16"/>
  <c r="L17" i="16"/>
  <c r="L18" i="16"/>
  <c r="O18" i="16" s="1"/>
  <c r="D18" i="16" s="1"/>
  <c r="L19" i="16"/>
  <c r="O19" i="16" s="1"/>
  <c r="D19" i="16" s="1"/>
  <c r="L20" i="16"/>
  <c r="O20" i="16" s="1"/>
  <c r="D20" i="16" s="1"/>
  <c r="L21" i="16"/>
  <c r="L22" i="16"/>
  <c r="L23" i="16"/>
  <c r="O23" i="16" s="1"/>
  <c r="D23" i="16" s="1"/>
  <c r="L24" i="16"/>
  <c r="O24" i="16" s="1"/>
  <c r="D24" i="16" s="1"/>
  <c r="L25" i="16"/>
  <c r="O25" i="16" s="1"/>
  <c r="D25" i="16" s="1"/>
  <c r="L9" i="16"/>
  <c r="O9" i="16" s="1"/>
  <c r="D9" i="16" s="1"/>
  <c r="Z10" i="16"/>
  <c r="Z11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9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AF20" i="16" s="1"/>
  <c r="E20" i="16" s="1"/>
  <c r="X21" i="16"/>
  <c r="X22" i="16"/>
  <c r="X23" i="16"/>
  <c r="X24" i="16"/>
  <c r="X25" i="16"/>
  <c r="X8" i="16"/>
  <c r="W7" i="16"/>
  <c r="W8" i="16"/>
  <c r="W9" i="16"/>
  <c r="W10" i="16"/>
  <c r="W11" i="16"/>
  <c r="W12" i="16"/>
  <c r="AF12" i="16" s="1"/>
  <c r="E12" i="16" s="1"/>
  <c r="W13" i="16"/>
  <c r="AF13" i="16" s="1"/>
  <c r="E13" i="16" s="1"/>
  <c r="W14" i="16"/>
  <c r="W15" i="16"/>
  <c r="W16" i="16"/>
  <c r="W17" i="16"/>
  <c r="W18" i="16"/>
  <c r="W19" i="16"/>
  <c r="W20" i="16"/>
  <c r="W21" i="16"/>
  <c r="AF21" i="16" s="1"/>
  <c r="E21" i="16" s="1"/>
  <c r="G21" i="16" s="1"/>
  <c r="W22" i="16"/>
  <c r="AF22" i="16" s="1"/>
  <c r="E22" i="16" s="1"/>
  <c r="G22" i="16" s="1"/>
  <c r="W23" i="16"/>
  <c r="AF23" i="16" s="1"/>
  <c r="E23" i="16" s="1"/>
  <c r="G23" i="16" s="1"/>
  <c r="W24" i="16"/>
  <c r="AF24" i="16" s="1"/>
  <c r="E24" i="16" s="1"/>
  <c r="W25" i="16"/>
  <c r="AF25" i="16" s="1"/>
  <c r="E25" i="16" s="1"/>
  <c r="G25" i="16" s="1"/>
  <c r="W6" i="16"/>
  <c r="V7" i="16"/>
  <c r="V8" i="16"/>
  <c r="V9" i="16"/>
  <c r="V10" i="16"/>
  <c r="V11" i="16"/>
  <c r="AF11" i="16" s="1"/>
  <c r="E11" i="16" s="1"/>
  <c r="V12" i="16"/>
  <c r="V13" i="16"/>
  <c r="V14" i="16"/>
  <c r="V15" i="16"/>
  <c r="V16" i="16"/>
  <c r="V17" i="16"/>
  <c r="AF17" i="16" s="1"/>
  <c r="E17" i="16" s="1"/>
  <c r="V18" i="16"/>
  <c r="V6" i="16"/>
  <c r="U7" i="16"/>
  <c r="U8" i="16"/>
  <c r="U9" i="16"/>
  <c r="U10" i="16"/>
  <c r="U11" i="16"/>
  <c r="U12" i="16"/>
  <c r="U13" i="16"/>
  <c r="U14" i="16"/>
  <c r="U15" i="16"/>
  <c r="U16" i="16"/>
  <c r="AF16" i="16" s="1"/>
  <c r="E16" i="16" s="1"/>
  <c r="U17" i="16"/>
  <c r="U18" i="16"/>
  <c r="U19" i="16"/>
  <c r="U6" i="16"/>
  <c r="K7" i="16"/>
  <c r="O7" i="16" s="1"/>
  <c r="D7" i="16" s="1"/>
  <c r="K8" i="16"/>
  <c r="O8" i="16" s="1"/>
  <c r="D8" i="16" s="1"/>
  <c r="K9" i="16"/>
  <c r="K10" i="16"/>
  <c r="K11" i="16"/>
  <c r="O11" i="16" s="1"/>
  <c r="D11" i="16" s="1"/>
  <c r="K12" i="16"/>
  <c r="K13" i="16"/>
  <c r="K14" i="16"/>
  <c r="K15" i="16"/>
  <c r="K16" i="16"/>
  <c r="K6" i="16"/>
  <c r="T7" i="16"/>
  <c r="T8" i="16"/>
  <c r="T9" i="16"/>
  <c r="T10" i="16"/>
  <c r="T11" i="16"/>
  <c r="T12" i="16"/>
  <c r="T13" i="16"/>
  <c r="T14" i="16"/>
  <c r="T15" i="16"/>
  <c r="T16" i="16"/>
  <c r="T17" i="16"/>
  <c r="T6" i="16"/>
  <c r="S7" i="16"/>
  <c r="S8" i="16"/>
  <c r="S9" i="16"/>
  <c r="S10" i="16"/>
  <c r="S11" i="16"/>
  <c r="S12" i="16"/>
  <c r="S13" i="16"/>
  <c r="S14" i="16"/>
  <c r="S15" i="16"/>
  <c r="S16" i="16"/>
  <c r="S17" i="16"/>
  <c r="S6" i="16"/>
  <c r="R7" i="16"/>
  <c r="R8" i="16"/>
  <c r="AF8" i="16" s="1"/>
  <c r="E8" i="16" s="1"/>
  <c r="R9" i="16"/>
  <c r="AF9" i="16" s="1"/>
  <c r="E9" i="16" s="1"/>
  <c r="G9" i="16" s="1"/>
  <c r="R10" i="16"/>
  <c r="AF10" i="16" s="1"/>
  <c r="E10" i="16" s="1"/>
  <c r="G10" i="16" s="1"/>
  <c r="R11" i="16"/>
  <c r="R12" i="16"/>
  <c r="R13" i="16"/>
  <c r="R14" i="16"/>
  <c r="AF14" i="16" s="1"/>
  <c r="E14" i="16" s="1"/>
  <c r="R15" i="16"/>
  <c r="AF15" i="16" s="1"/>
  <c r="E15" i="16" s="1"/>
  <c r="G15" i="16" s="1"/>
  <c r="R16" i="16"/>
  <c r="R6" i="16"/>
  <c r="J7" i="16"/>
  <c r="J8" i="16"/>
  <c r="J9" i="16"/>
  <c r="J10" i="16"/>
  <c r="J11" i="16"/>
  <c r="J12" i="16"/>
  <c r="O12" i="16" s="1"/>
  <c r="D12" i="16" s="1"/>
  <c r="J13" i="16"/>
  <c r="O13" i="16" s="1"/>
  <c r="D13" i="16" s="1"/>
  <c r="J14" i="16"/>
  <c r="O14" i="16" s="1"/>
  <c r="D14" i="16" s="1"/>
  <c r="J15" i="16"/>
  <c r="O15" i="16" s="1"/>
  <c r="D15" i="16" s="1"/>
  <c r="J16" i="16"/>
  <c r="O16" i="16" s="1"/>
  <c r="D16" i="16" s="1"/>
  <c r="J6" i="16"/>
  <c r="O6" i="16" s="1"/>
  <c r="D6" i="16" s="1"/>
  <c r="D8" i="4"/>
  <c r="D7" i="4"/>
  <c r="E7" i="4" s="1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10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9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8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6" i="4"/>
  <c r="R7" i="4"/>
  <c r="R8" i="4"/>
  <c r="R9" i="4"/>
  <c r="R10" i="4"/>
  <c r="R11" i="4"/>
  <c r="R12" i="4"/>
  <c r="R13" i="4"/>
  <c r="R14" i="4"/>
  <c r="R15" i="4"/>
  <c r="R16" i="4"/>
  <c r="R6" i="4"/>
  <c r="Y7" i="4"/>
  <c r="Y8" i="4"/>
  <c r="Y9" i="4"/>
  <c r="Y10" i="4"/>
  <c r="Y11" i="4"/>
  <c r="Y12" i="4"/>
  <c r="Y13" i="4"/>
  <c r="Y14" i="4"/>
  <c r="Y15" i="4"/>
  <c r="Y16" i="4"/>
  <c r="Y17" i="4"/>
  <c r="Y6" i="4"/>
  <c r="X7" i="4"/>
  <c r="X8" i="4"/>
  <c r="X9" i="4"/>
  <c r="X10" i="4"/>
  <c r="X11" i="4"/>
  <c r="X12" i="4"/>
  <c r="X13" i="4"/>
  <c r="X14" i="4"/>
  <c r="X15" i="4"/>
  <c r="X16" i="4"/>
  <c r="X17" i="4"/>
  <c r="X6" i="4"/>
  <c r="W7" i="4"/>
  <c r="W8" i="4"/>
  <c r="W9" i="4"/>
  <c r="W10" i="4"/>
  <c r="W11" i="4"/>
  <c r="W12" i="4"/>
  <c r="W13" i="4"/>
  <c r="W14" i="4"/>
  <c r="W15" i="4"/>
  <c r="W16" i="4"/>
  <c r="W6" i="4"/>
  <c r="Q7" i="4"/>
  <c r="Q8" i="4"/>
  <c r="Q9" i="4"/>
  <c r="Q10" i="4"/>
  <c r="Q11" i="4"/>
  <c r="Q12" i="4"/>
  <c r="Q13" i="4"/>
  <c r="Q14" i="4"/>
  <c r="Q15" i="4"/>
  <c r="Q16" i="4"/>
  <c r="Q6" i="4"/>
  <c r="G11" i="16" l="1"/>
  <c r="G8" i="16"/>
  <c r="G13" i="16"/>
  <c r="G16" i="16"/>
  <c r="G17" i="16"/>
  <c r="G14" i="16"/>
  <c r="G24" i="16"/>
  <c r="G12" i="16"/>
  <c r="G20" i="16"/>
  <c r="G18" i="16"/>
  <c r="G7" i="16"/>
  <c r="G19" i="16"/>
  <c r="AF6" i="16"/>
  <c r="E6" i="16" s="1"/>
  <c r="G6" i="16" s="1"/>
  <c r="AK6" i="4"/>
  <c r="F6" i="4" s="1"/>
  <c r="AK16" i="4"/>
  <c r="F16" i="4" s="1"/>
  <c r="AK22" i="4"/>
  <c r="F22" i="4" s="1"/>
  <c r="AK20" i="4"/>
  <c r="F20" i="4" s="1"/>
  <c r="AK9" i="4"/>
  <c r="F9" i="4" s="1"/>
  <c r="AK21" i="4"/>
  <c r="F21" i="4" s="1"/>
  <c r="AK25" i="4"/>
  <c r="F25" i="4" s="1"/>
  <c r="AK23" i="4"/>
  <c r="F23" i="4" s="1"/>
  <c r="AK19" i="4"/>
  <c r="F19" i="4" s="1"/>
  <c r="AK24" i="4"/>
  <c r="F24" i="4" s="1"/>
  <c r="AK17" i="4"/>
  <c r="F17" i="4" s="1"/>
  <c r="AK15" i="4"/>
  <c r="F15" i="4" s="1"/>
  <c r="AK18" i="4"/>
  <c r="F18" i="4" s="1"/>
  <c r="AK11" i="4"/>
  <c r="F11" i="4" s="1"/>
  <c r="AK10" i="4"/>
  <c r="F10" i="4" s="1"/>
  <c r="AK14" i="4"/>
  <c r="F14" i="4" s="1"/>
  <c r="AK12" i="4"/>
  <c r="F12" i="4" s="1"/>
  <c r="AK7" i="4"/>
  <c r="AK8" i="4"/>
  <c r="F8" i="4" s="1"/>
  <c r="AK13" i="4"/>
  <c r="F13" i="4" s="1"/>
  <c r="F7" i="4" l="1"/>
  <c r="H7" i="4" s="1"/>
  <c r="F5" i="2"/>
  <c r="E50" i="19"/>
  <c r="D50" i="19"/>
  <c r="C50" i="19"/>
  <c r="B50" i="19"/>
  <c r="K5" i="4" l="1"/>
  <c r="J5" i="4"/>
  <c r="D6" i="4" l="1"/>
  <c r="E6" i="4" s="1"/>
  <c r="H6" i="4" s="1"/>
  <c r="G5" i="2" l="1"/>
  <c r="F6" i="2" l="1"/>
  <c r="J5" i="2" l="1"/>
  <c r="I5" i="2"/>
  <c r="H5" i="2"/>
  <c r="K5" i="2" l="1"/>
  <c r="E8" i="4" l="1"/>
  <c r="H8" i="4" s="1"/>
  <c r="D9" i="4"/>
  <c r="E9" i="4" s="1"/>
  <c r="H9" i="4" s="1"/>
  <c r="D10" i="4"/>
  <c r="E10" i="4" s="1"/>
  <c r="H10" i="4" s="1"/>
  <c r="D11" i="4"/>
  <c r="E11" i="4" s="1"/>
  <c r="H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E25" i="4"/>
  <c r="H25" i="4" s="1"/>
  <c r="F7" i="2" l="1"/>
  <c r="F23" i="2"/>
  <c r="F24" i="2"/>
  <c r="F22" i="2" l="1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G9" i="2" s="1"/>
  <c r="F8" i="2"/>
  <c r="G8" i="2" s="1"/>
  <c r="G7" i="2"/>
  <c r="G6" i="2"/>
  <c r="H6" i="2" l="1"/>
  <c r="I6" i="2"/>
  <c r="J6" i="2"/>
  <c r="H7" i="2"/>
  <c r="I7" i="2"/>
  <c r="J7" i="2"/>
  <c r="H8" i="2"/>
  <c r="I8" i="2"/>
  <c r="J8" i="2"/>
  <c r="H9" i="2"/>
  <c r="J9" i="2"/>
  <c r="I9" i="2"/>
  <c r="G18" i="2"/>
  <c r="H18" i="2" s="1"/>
  <c r="G19" i="2"/>
  <c r="H19" i="2" s="1"/>
  <c r="G20" i="2"/>
  <c r="G21" i="2"/>
  <c r="G22" i="2"/>
  <c r="H22" i="2" s="1"/>
  <c r="G15" i="2"/>
  <c r="H15" i="2" s="1"/>
  <c r="G16" i="2"/>
  <c r="H16" i="2" s="1"/>
  <c r="G17" i="2"/>
  <c r="G14" i="2"/>
  <c r="G13" i="2"/>
  <c r="H13" i="2" s="1"/>
  <c r="G12" i="2"/>
  <c r="H12" i="2" s="1"/>
  <c r="G11" i="2"/>
  <c r="H11" i="2" s="1"/>
  <c r="G10" i="2"/>
  <c r="H24" i="4"/>
  <c r="K9" i="2" l="1"/>
  <c r="K7" i="2"/>
  <c r="K8" i="2"/>
  <c r="K6" i="2"/>
  <c r="J19" i="2"/>
  <c r="I19" i="2"/>
  <c r="I17" i="2"/>
  <c r="J17" i="2"/>
  <c r="J22" i="2"/>
  <c r="I22" i="2"/>
  <c r="I21" i="2"/>
  <c r="J21" i="2"/>
  <c r="J20" i="2"/>
  <c r="I20" i="2"/>
  <c r="J16" i="2"/>
  <c r="I16" i="2"/>
  <c r="H21" i="2"/>
  <c r="H17" i="2"/>
  <c r="I18" i="2"/>
  <c r="J18" i="2"/>
  <c r="I15" i="2"/>
  <c r="J15" i="2"/>
  <c r="K15" i="2" s="1"/>
  <c r="H20" i="2"/>
  <c r="I14" i="2"/>
  <c r="J14" i="2"/>
  <c r="H14" i="2"/>
  <c r="I13" i="2"/>
  <c r="J13" i="2"/>
  <c r="I12" i="2"/>
  <c r="J12" i="2"/>
  <c r="I11" i="2"/>
  <c r="J11" i="2"/>
  <c r="I10" i="2"/>
  <c r="J10" i="2"/>
  <c r="H10" i="2"/>
  <c r="K20" i="2" l="1"/>
  <c r="K12" i="2"/>
  <c r="K19" i="2"/>
  <c r="K22" i="2"/>
  <c r="K16" i="2"/>
  <c r="K21" i="2"/>
  <c r="K10" i="2"/>
  <c r="K14" i="2"/>
  <c r="K11" i="2"/>
  <c r="K13" i="2"/>
  <c r="K17" i="2"/>
  <c r="K18" i="2"/>
  <c r="G23" i="2" l="1"/>
  <c r="H23" i="2" s="1"/>
  <c r="G24" i="2"/>
  <c r="H24" i="2" s="1"/>
  <c r="H23" i="4"/>
  <c r="H22" i="4"/>
  <c r="H21" i="4"/>
  <c r="H20" i="4"/>
  <c r="H19" i="4"/>
  <c r="H18" i="4"/>
  <c r="H17" i="4"/>
  <c r="H16" i="4"/>
  <c r="H15" i="4"/>
  <c r="H14" i="4"/>
  <c r="H13" i="4"/>
  <c r="H12" i="4"/>
  <c r="J23" i="2" l="1"/>
  <c r="I23" i="2"/>
  <c r="I24" i="2"/>
  <c r="J24" i="2"/>
  <c r="K24" i="2" l="1"/>
  <c r="K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Kelter, Dennis F:(ComEd)</author>
  </authors>
  <commentList>
    <comment ref="A3" authorId="0" shapeId="0" xr:uid="{140AF7A9-8ABD-4039-A43F-75E09A9F49AD}">
      <text>
        <r>
          <rPr>
            <sz val="9"/>
            <color indexed="81"/>
            <rFont val="Tahoma"/>
            <family val="2"/>
          </rPr>
          <t>High Case has a 1.5 percentage point adder to Base Case growth rates in each future year</t>
        </r>
      </text>
    </comment>
    <comment ref="A12" authorId="0" shapeId="0" xr:uid="{D19B378A-A9D3-4749-BF1E-35C2A4959FDE}">
      <text>
        <r>
          <rPr>
            <sz val="9"/>
            <color indexed="81"/>
            <rFont val="Tahoma"/>
            <family val="2"/>
          </rPr>
          <t>Low Case has a 1.5 percentage point reduction to Base Case growth rates in each future year</t>
        </r>
      </text>
    </comment>
  </commentList>
</comments>
</file>

<file path=xl/sharedStrings.xml><?xml version="1.0" encoding="utf-8"?>
<sst xmlns="http://schemas.openxmlformats.org/spreadsheetml/2006/main" count="534" uniqueCount="175">
  <si>
    <t>Year</t>
  </si>
  <si>
    <t xml:space="preserve">Delivery </t>
  </si>
  <si>
    <t>Total</t>
  </si>
  <si>
    <t>2025-2026</t>
  </si>
  <si>
    <t>2026-2027</t>
  </si>
  <si>
    <t>2027-2028</t>
  </si>
  <si>
    <t>2028-2029</t>
  </si>
  <si>
    <t>2029-2030</t>
  </si>
  <si>
    <t>2030-2031</t>
  </si>
  <si>
    <t>2031-2032</t>
  </si>
  <si>
    <t>2032-2033</t>
  </si>
  <si>
    <t>2033-2034</t>
  </si>
  <si>
    <t>2034-2035</t>
  </si>
  <si>
    <t>2035-2036</t>
  </si>
  <si>
    <t>2036-2037</t>
  </si>
  <si>
    <t>RPS</t>
  </si>
  <si>
    <t>Total RPS Target</t>
  </si>
  <si>
    <t>(RECs)</t>
  </si>
  <si>
    <t>Applicable Retail Load</t>
  </si>
  <si>
    <t>TABLE FOR RESPONSE TO DATA REQUIREMENTS #1</t>
  </si>
  <si>
    <r>
      <t>Target (%)</t>
    </r>
    <r>
      <rPr>
        <vertAlign val="superscript"/>
        <sz val="11"/>
        <color theme="1"/>
        <rFont val="Calibri"/>
        <family val="2"/>
        <scheme val="minor"/>
      </rPr>
      <t>2</t>
    </r>
  </si>
  <si>
    <t>Remaining</t>
  </si>
  <si>
    <t>Budget ($M)</t>
  </si>
  <si>
    <t>Total Applicable</t>
  </si>
  <si>
    <r>
      <t xml:space="preserve">Load </t>
    </r>
    <r>
      <rPr>
        <vertAlign val="superscript"/>
        <sz val="11"/>
        <color theme="1"/>
        <rFont val="Calibri"/>
        <family val="2"/>
      </rPr>
      <t>(1)</t>
    </r>
    <r>
      <rPr>
        <sz val="11"/>
        <color theme="1"/>
        <rFont val="Calibri"/>
        <family val="2"/>
        <scheme val="minor"/>
      </rPr>
      <t xml:space="preserve"> (GWH)</t>
    </r>
  </si>
  <si>
    <t>Existing Contract</t>
  </si>
  <si>
    <t>For Budget (GWH)</t>
  </si>
  <si>
    <t>Hourly ACP</t>
  </si>
  <si>
    <t>Small C&amp;I</t>
  </si>
  <si>
    <t>Large C&amp;I</t>
  </si>
  <si>
    <t>Railroad</t>
  </si>
  <si>
    <t>Residential</t>
  </si>
  <si>
    <t>Total Retail</t>
  </si>
  <si>
    <t>2037-2038</t>
  </si>
  <si>
    <t>2038-2039</t>
  </si>
  <si>
    <t>TABLE FOR RESPONSE TO DATA REQUIREMENTS #3(a)</t>
  </si>
  <si>
    <t>RES ACP</t>
  </si>
  <si>
    <t>Large</t>
  </si>
  <si>
    <t>Small</t>
  </si>
  <si>
    <t>Rider REA Over Recovery</t>
  </si>
  <si>
    <t>Usage (GWh)</t>
  </si>
  <si>
    <t>Streetlighting</t>
  </si>
  <si>
    <t>High Case</t>
  </si>
  <si>
    <t>Low Case</t>
  </si>
  <si>
    <t>Note; Small C&amp;I do not exceed 1,000 kW.</t>
  </si>
  <si>
    <t xml:space="preserve">1) 20 ILCS 3855/1-75(c)(1)(E).  </t>
  </si>
  <si>
    <r>
      <t>Budget ($M)</t>
    </r>
    <r>
      <rPr>
        <vertAlign val="superscript"/>
        <sz val="11"/>
        <color theme="1"/>
        <rFont val="Calibri"/>
        <family val="2"/>
        <scheme val="minor"/>
      </rPr>
      <t>2</t>
    </r>
  </si>
  <si>
    <t>2039-2040</t>
  </si>
  <si>
    <t>2040-2041</t>
  </si>
  <si>
    <t>PY 2025</t>
  </si>
  <si>
    <t>ABP</t>
  </si>
  <si>
    <t>Utility-Scale</t>
  </si>
  <si>
    <t>Brownfield</t>
  </si>
  <si>
    <t>Solar (RECs)</t>
  </si>
  <si>
    <t>Wind (RECs)</t>
  </si>
  <si>
    <r>
      <t>Total RPS Target</t>
    </r>
    <r>
      <rPr>
        <vertAlign val="superscript"/>
        <sz val="11"/>
        <color theme="1"/>
        <rFont val="Calibri"/>
        <family val="2"/>
        <scheme val="minor"/>
      </rPr>
      <t>3</t>
    </r>
  </si>
  <si>
    <r>
      <t>Solar Target (RECs)</t>
    </r>
    <r>
      <rPr>
        <vertAlign val="superscript"/>
        <sz val="11"/>
        <color theme="1"/>
        <rFont val="Calibri"/>
        <family val="2"/>
        <scheme val="minor"/>
      </rPr>
      <t>3</t>
    </r>
  </si>
  <si>
    <t>Assumptions based on elements of the most recent legislative draft reflecting proposed changes to the Renewable Portfolio Standard.</t>
  </si>
  <si>
    <t>Small C&amp;I do not exceed 1,000 kW.</t>
  </si>
  <si>
    <t>Notes:</t>
  </si>
  <si>
    <t xml:space="preserve">3) 20 ILCS 3855/1-75(c)(1)(C)(i) </t>
  </si>
  <si>
    <t>1) 20 ILCS 3855/1-75(c)(1)(E)</t>
  </si>
  <si>
    <r>
      <t>2) 20 ILCS 3855/1-75(c)(1)(F). Maximum alternative compliance payment (ACP) rate for ComEd estimated at $</t>
    </r>
    <r>
      <rPr>
        <sz val="11"/>
        <rFont val="Calibri"/>
        <family val="2"/>
        <scheme val="minor"/>
      </rPr>
      <t>5.02</t>
    </r>
    <r>
      <rPr>
        <sz val="11"/>
        <color theme="1"/>
        <rFont val="Calibri"/>
        <family val="2"/>
        <scheme val="minor"/>
      </rPr>
      <t>/MWH (4.25% * 11.823 cents/kWH).</t>
    </r>
  </si>
  <si>
    <t>Quarter</t>
  </si>
  <si>
    <t>No. of Systems Energized</t>
  </si>
  <si>
    <t>Purchased Renewable Energy Credits</t>
  </si>
  <si>
    <t>Expenditure Summary</t>
  </si>
  <si>
    <t>Cumulative Total</t>
  </si>
  <si>
    <t>LT Renewable RECS</t>
  </si>
  <si>
    <t>Rate Stability RECS</t>
  </si>
  <si>
    <t>Self Supplier RECS</t>
  </si>
  <si>
    <t>Utility Scale RECS</t>
  </si>
  <si>
    <t xml:space="preserve">         Total</t>
  </si>
  <si>
    <t>Delivery Year</t>
  </si>
  <si>
    <t>TABLE FOR RESPONSE TO DATA REQUIREMENTS #4</t>
  </si>
  <si>
    <t>TABLES FOR RESPONSE TO DATA REQUIREMENTS #2</t>
  </si>
  <si>
    <t>TABLES FOR RESPONSE TO DATA REQUIREMENTS #3(c)</t>
  </si>
  <si>
    <t>2041-2042</t>
  </si>
  <si>
    <t>2042-2043</t>
  </si>
  <si>
    <t>PY 2026</t>
  </si>
  <si>
    <t>PY 2027</t>
  </si>
  <si>
    <t>Jun17-May18</t>
  </si>
  <si>
    <t>Jun18-May19</t>
  </si>
  <si>
    <t>Jun19-May20</t>
  </si>
  <si>
    <t>Jun20-May21</t>
  </si>
  <si>
    <t>Jun21-May22</t>
  </si>
  <si>
    <t>Jun22-May23</t>
  </si>
  <si>
    <t>June 2017 - May 2023</t>
  </si>
  <si>
    <t>TABLES FOR RESPONSE TO DATA REQUIREMENTS #3(b)</t>
  </si>
  <si>
    <t>Contains Confidential Supplier Information</t>
  </si>
  <si>
    <t>Existing Contracted RECs</t>
  </si>
  <si>
    <t>Wind</t>
  </si>
  <si>
    <t>Solar</t>
  </si>
  <si>
    <t>Other</t>
  </si>
  <si>
    <t>LT</t>
  </si>
  <si>
    <t>2017 Utility</t>
  </si>
  <si>
    <t>2018 Utility</t>
  </si>
  <si>
    <t>2019 Brownfield Utility</t>
  </si>
  <si>
    <t>Community</t>
  </si>
  <si>
    <t>REC Quantities (RECs)</t>
  </si>
  <si>
    <t>REC Expenditures ($)</t>
  </si>
  <si>
    <t>Contract</t>
  </si>
  <si>
    <t>Plan</t>
  </si>
  <si>
    <t>TABLES FOR RESPONSE TO DATA REQUIREMENTS #3d(i) and 3d(ii)</t>
  </si>
  <si>
    <t>2017 New Utility-Scale Wind Procurement (15-Year Contracts, Aug. 31 Bid Date)</t>
  </si>
  <si>
    <t>2017 New Utility-Scale &amp; Brownfield Solar Procurement (15-Year Contracts, Aug. 31 Bid Date)</t>
  </si>
  <si>
    <t>Utility Scale</t>
  </si>
  <si>
    <t>RECs</t>
  </si>
  <si>
    <t>Dollars</t>
  </si>
  <si>
    <t>REC Prices ($/REC)</t>
  </si>
  <si>
    <t>2018 New Utility-Scale &amp; Brownfield Solar Procurement (15-Year Contracts, Mar. 15 Bid Date)</t>
  </si>
  <si>
    <t>2018 New Utility-Scale &amp; Brownfield Solar Procurement (15-Year Contracts, Apr. 26 Bid Date)</t>
  </si>
  <si>
    <t>2018 New Utility-Scale Wind Procurement (15-Year Contracts, Oct. 3 Bid Date)</t>
  </si>
  <si>
    <t>2018 New Utility-Scale Solar Procurement (15-Year Contracts, Nov. 28 Bid Date)</t>
  </si>
  <si>
    <t>2019 New Brownfield Site Solar Procurement (15-Year Contracts, July 26 Bid Date)</t>
  </si>
  <si>
    <t>2043-2044</t>
  </si>
  <si>
    <t>2044-2045</t>
  </si>
  <si>
    <t>PY 2028</t>
  </si>
  <si>
    <t>PY 2029</t>
  </si>
  <si>
    <t>Jun23-May24</t>
  </si>
  <si>
    <t>Jun24-May25</t>
  </si>
  <si>
    <t>Energized Capacity (kW)</t>
  </si>
  <si>
    <t>CS</t>
  </si>
  <si>
    <t>Q1 2025-2026</t>
  </si>
  <si>
    <t>Q2 2025-2026</t>
  </si>
  <si>
    <t>Q3 2025-2026</t>
  </si>
  <si>
    <t>Q4 2025-2026</t>
  </si>
  <si>
    <t>Q1 2026-2027</t>
  </si>
  <si>
    <t>Q2 2026-2027</t>
  </si>
  <si>
    <t>Q3 2026-2027</t>
  </si>
  <si>
    <t>Q4 2026-2027</t>
  </si>
  <si>
    <t>Q1 2027-2028</t>
  </si>
  <si>
    <t>Q2 2027-2028</t>
  </si>
  <si>
    <t>Q3 2027-2028</t>
  </si>
  <si>
    <t>Q4 2027-2028</t>
  </si>
  <si>
    <t>Avg kW per System</t>
  </si>
  <si>
    <t>TABLES FOR RESPONSE TO DATA REQUIREMENTS #6 No ITC scenario</t>
  </si>
  <si>
    <t>TABLES FOR RESPONSE TO DATA REQUIREMENTS #6 - Base</t>
  </si>
  <si>
    <t>Note: Wind and Solar totals</t>
  </si>
  <si>
    <t xml:space="preserve">2023 Indexed Fall REC </t>
  </si>
  <si>
    <t xml:space="preserve">2024 Indexed Summer REC </t>
  </si>
  <si>
    <t xml:space="preserve">2024 Indexed Fall REC </t>
  </si>
  <si>
    <t xml:space="preserve">2022 Indexed REC Spring </t>
  </si>
  <si>
    <t xml:space="preserve">2022 Indexed REC Fall </t>
  </si>
  <si>
    <t xml:space="preserve">2023 Indexed REC Summer </t>
  </si>
  <si>
    <t xml:space="preserve">2024 Indexed REC Summer </t>
  </si>
  <si>
    <t xml:space="preserve">Note: ABP RECs (Small, Large and Community Solar) are based on systems approved by the ICC as of May 31, 2025. </t>
  </si>
  <si>
    <t>2) 20 ILCS 3855/1-75(c)(1)(B). Percentages taken from IPA RPS budget model</t>
  </si>
  <si>
    <t>Pay as You Go Adj Block RECS</t>
  </si>
  <si>
    <t>Prepayment written off to Purchase Power Exp.</t>
  </si>
  <si>
    <t>Pay as you Go Adj Block Prepayments</t>
  </si>
  <si>
    <t>Adjustable Block RECS Prepayments</t>
  </si>
  <si>
    <t>Adjustable Block Repayments</t>
  </si>
  <si>
    <t>Adjustable Block Drawdowns</t>
  </si>
  <si>
    <t>Solar for All RECS Prepayments</t>
  </si>
  <si>
    <t xml:space="preserve">3) As of May 31, 2025, total funds available is approximately 330.3M (Hourly ACP Funds: $25,374,656, RES ACP Funds: $48,671,185 and Rider REA Over Recovery: $256,241,066).  </t>
  </si>
  <si>
    <t xml:space="preserve">4) ABP Contract Value estimates (Small, Large and Community Solar) are based on systems approved by the ICC as of May 31, 2025. </t>
  </si>
  <si>
    <t>5) Indexed REC pricing uses 3/30/25 forwards provided by the IPA</t>
  </si>
  <si>
    <t>6) As of May 31, 2025, Collateral posted for active REC projects was $278,182,613</t>
  </si>
  <si>
    <t xml:space="preserve">7) As of May 31, 2025, Forfeited collateral was $18,668,286 (Wind $3,797,232 and Solar $14,871,054). </t>
  </si>
  <si>
    <r>
      <t>Funds Available ($M)</t>
    </r>
    <r>
      <rPr>
        <vertAlign val="superscript"/>
        <sz val="11"/>
        <color theme="1"/>
        <rFont val="Calibri"/>
        <family val="2"/>
        <scheme val="minor"/>
      </rPr>
      <t>3</t>
    </r>
  </si>
  <si>
    <t>REC Spend ($M)</t>
  </si>
  <si>
    <r>
      <t>Small</t>
    </r>
    <r>
      <rPr>
        <vertAlign val="superscript"/>
        <sz val="11"/>
        <color theme="1"/>
        <rFont val="Calibri"/>
        <family val="2"/>
        <scheme val="minor"/>
      </rPr>
      <t>4</t>
    </r>
  </si>
  <si>
    <r>
      <t>Large</t>
    </r>
    <r>
      <rPr>
        <vertAlign val="superscript"/>
        <sz val="11"/>
        <color theme="1"/>
        <rFont val="Calibri"/>
        <family val="2"/>
        <scheme val="minor"/>
      </rPr>
      <t>4</t>
    </r>
  </si>
  <si>
    <r>
      <t>Community</t>
    </r>
    <r>
      <rPr>
        <vertAlign val="superscript"/>
        <sz val="11"/>
        <color theme="1"/>
        <rFont val="Calibri"/>
        <family val="2"/>
        <scheme val="minor"/>
      </rPr>
      <t>4</t>
    </r>
  </si>
  <si>
    <r>
      <t xml:space="preserve">2023 Indexed Fall REC </t>
    </r>
    <r>
      <rPr>
        <vertAlign val="superscript"/>
        <sz val="11"/>
        <color theme="1"/>
        <rFont val="Calibri"/>
        <family val="2"/>
        <scheme val="minor"/>
      </rPr>
      <t>5</t>
    </r>
  </si>
  <si>
    <r>
      <t xml:space="preserve">2024 Indexed Summer REC </t>
    </r>
    <r>
      <rPr>
        <vertAlign val="superscript"/>
        <sz val="11"/>
        <color theme="1"/>
        <rFont val="Calibri"/>
        <family val="2"/>
        <scheme val="minor"/>
      </rPr>
      <t>5</t>
    </r>
  </si>
  <si>
    <r>
      <t xml:space="preserve">2024 Indexed Fall REC </t>
    </r>
    <r>
      <rPr>
        <vertAlign val="superscript"/>
        <sz val="11"/>
        <color theme="1"/>
        <rFont val="Calibri"/>
        <family val="2"/>
        <scheme val="minor"/>
      </rPr>
      <t>5</t>
    </r>
  </si>
  <si>
    <r>
      <t xml:space="preserve">2022 Indexed REC Spring </t>
    </r>
    <r>
      <rPr>
        <vertAlign val="superscript"/>
        <sz val="11"/>
        <color theme="1"/>
        <rFont val="Calibri"/>
        <family val="2"/>
        <scheme val="minor"/>
      </rPr>
      <t>5</t>
    </r>
  </si>
  <si>
    <r>
      <t xml:space="preserve">2022 Indexed REC Fall </t>
    </r>
    <r>
      <rPr>
        <vertAlign val="superscript"/>
        <sz val="11"/>
        <color theme="1"/>
        <rFont val="Calibri"/>
        <family val="2"/>
        <scheme val="minor"/>
      </rPr>
      <t>5</t>
    </r>
  </si>
  <si>
    <r>
      <t xml:space="preserve">2023 Indexed REC Summer </t>
    </r>
    <r>
      <rPr>
        <vertAlign val="superscript"/>
        <sz val="11"/>
        <color theme="1"/>
        <rFont val="Calibri"/>
        <family val="2"/>
        <scheme val="minor"/>
      </rPr>
      <t>5</t>
    </r>
  </si>
  <si>
    <r>
      <t xml:space="preserve">2024 Indexed REC Summer </t>
    </r>
    <r>
      <rPr>
        <vertAlign val="superscript"/>
        <sz val="11"/>
        <color theme="1"/>
        <rFont val="Calibri"/>
        <family val="2"/>
        <scheme val="minor"/>
      </rPr>
      <t>5</t>
    </r>
  </si>
  <si>
    <t>Collateral posted</t>
  </si>
  <si>
    <r>
      <t>active REC projects ($M)</t>
    </r>
    <r>
      <rPr>
        <vertAlign val="superscript"/>
        <sz val="11"/>
        <color theme="1"/>
        <rFont val="Calibri"/>
        <family val="2"/>
        <scheme val="minor"/>
      </rPr>
      <t>6</t>
    </r>
  </si>
  <si>
    <r>
      <t>Forfeited collateral ($M)</t>
    </r>
    <r>
      <rPr>
        <vertAlign val="superscript"/>
        <sz val="11"/>
        <color theme="1"/>
        <rFont val="Calibri"/>
        <family val="2"/>
        <scheme val="minor"/>
      </rPr>
      <t>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</si>
</sst>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_);\(&quot;$&quot;#,##0.0\)"/>
    <numFmt numFmtId="166" formatCode="&quot;$&quot;#,##0.0"/>
    <numFmt numFmtId="167" formatCode="_(* #,##0_);_(* \(#,##0\);_(* &quot;-&quot;??_);_(@_)"/>
    <numFmt numFmtId="168" formatCode="#,##0.000_);\(#,##0.000\)"/>
    <numFmt numFmtId="169" formatCode="#,##0.0"/>
    <numFmt numFmtId="170" formatCode="&quot;$&quot;#,##0.0000_);\(&quot;$&quot;#,##0.0000\)"/>
    <numFmt numFmtId="171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perscript"/>
      <sz val="11"/>
      <color theme="1"/>
      <name val="Calibri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37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/>
    <xf numFmtId="3" fontId="0" fillId="0" borderId="0" xfId="0" applyNumberForma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167" fontId="0" fillId="0" borderId="0" xfId="1" applyNumberFormat="1" applyFont="1"/>
    <xf numFmtId="167" fontId="0" fillId="0" borderId="1" xfId="1" applyNumberFormat="1" applyFont="1" applyBorder="1"/>
    <xf numFmtId="0" fontId="5" fillId="0" borderId="0" xfId="0" applyFont="1"/>
    <xf numFmtId="37" fontId="0" fillId="0" borderId="0" xfId="0" applyNumberFormat="1"/>
    <xf numFmtId="168" fontId="0" fillId="0" borderId="0" xfId="0" applyNumberFormat="1"/>
    <xf numFmtId="2" fontId="0" fillId="0" borderId="0" xfId="0" applyNumberFormat="1"/>
    <xf numFmtId="164" fontId="0" fillId="0" borderId="0" xfId="0" applyNumberFormat="1" applyFill="1" applyAlignment="1">
      <alignment horizontal="center"/>
    </xf>
    <xf numFmtId="165" fontId="0" fillId="0" borderId="0" xfId="2" applyNumberFormat="1" applyFont="1" applyFill="1" applyAlignment="1">
      <alignment horizontal="center"/>
    </xf>
    <xf numFmtId="167" fontId="0" fillId="0" borderId="0" xfId="1" applyNumberFormat="1" applyFont="1" applyFill="1"/>
    <xf numFmtId="0" fontId="0" fillId="0" borderId="0" xfId="0" applyAlignment="1">
      <alignment horizontal="left"/>
    </xf>
    <xf numFmtId="167" fontId="0" fillId="0" borderId="2" xfId="0" applyNumberFormat="1" applyBorder="1"/>
    <xf numFmtId="0" fontId="0" fillId="0" borderId="0" xfId="0" applyAlignment="1">
      <alignment horizontal="center"/>
    </xf>
    <xf numFmtId="164" fontId="0" fillId="0" borderId="0" xfId="4" applyNumberFormat="1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10" fillId="0" borderId="0" xfId="0" applyFont="1" applyFill="1"/>
    <xf numFmtId="0" fontId="0" fillId="0" borderId="0" xfId="0" applyFill="1" applyAlignment="1">
      <alignment horizontal="center"/>
    </xf>
    <xf numFmtId="0" fontId="0" fillId="0" borderId="3" xfId="0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5" xfId="0" applyFill="1" applyBorder="1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0" borderId="0" xfId="0" applyNumberFormat="1" applyFill="1"/>
    <xf numFmtId="0" fontId="0" fillId="0" borderId="0" xfId="0" applyFill="1" applyAlignment="1">
      <alignment horizontal="left"/>
    </xf>
    <xf numFmtId="43" fontId="0" fillId="0" borderId="0" xfId="1" applyFont="1" applyFill="1" applyAlignment="1">
      <alignment horizontal="center"/>
    </xf>
    <xf numFmtId="43" fontId="0" fillId="0" borderId="0" xfId="1" applyFont="1" applyFill="1"/>
    <xf numFmtId="0" fontId="4" fillId="0" borderId="0" xfId="3"/>
    <xf numFmtId="0" fontId="5" fillId="0" borderId="0" xfId="3" applyFont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3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3" applyBorder="1" applyAlignment="1">
      <alignment horizontal="center"/>
    </xf>
    <xf numFmtId="167" fontId="4" fillId="0" borderId="0" xfId="1" applyNumberFormat="1" applyFont="1" applyFill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5" xfId="3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3" fontId="4" fillId="0" borderId="14" xfId="2" applyNumberFormat="1" applyFont="1" applyBorder="1" applyAlignment="1">
      <alignment horizontal="center"/>
    </xf>
    <xf numFmtId="3" fontId="4" fillId="0" borderId="15" xfId="2" applyNumberFormat="1" applyFont="1" applyBorder="1" applyAlignment="1">
      <alignment horizontal="center"/>
    </xf>
    <xf numFmtId="0" fontId="4" fillId="0" borderId="7" xfId="3" applyBorder="1"/>
    <xf numFmtId="0" fontId="4" fillId="0" borderId="13" xfId="3" applyBorder="1" applyAlignment="1">
      <alignment horizontal="center"/>
    </xf>
    <xf numFmtId="3" fontId="4" fillId="0" borderId="16" xfId="3" applyNumberFormat="1" applyBorder="1" applyAlignment="1">
      <alignment horizontal="center"/>
    </xf>
    <xf numFmtId="37" fontId="4" fillId="0" borderId="14" xfId="3" applyNumberFormat="1" applyBorder="1" applyAlignment="1">
      <alignment horizontal="center"/>
    </xf>
    <xf numFmtId="3" fontId="4" fillId="0" borderId="12" xfId="3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3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3" applyAlignment="1">
      <alignment horizontal="center"/>
    </xf>
    <xf numFmtId="3" fontId="4" fillId="0" borderId="11" xfId="2" applyNumberFormat="1" applyFont="1" applyBorder="1" applyAlignment="1">
      <alignment horizontal="center"/>
    </xf>
    <xf numFmtId="37" fontId="4" fillId="0" borderId="0" xfId="3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10" fillId="0" borderId="0" xfId="0" applyFont="1"/>
    <xf numFmtId="0" fontId="0" fillId="0" borderId="1" xfId="0" applyBorder="1"/>
    <xf numFmtId="167" fontId="0" fillId="0" borderId="0" xfId="0" applyNumberFormat="1"/>
    <xf numFmtId="167" fontId="0" fillId="0" borderId="0" xfId="1" applyNumberFormat="1" applyFont="1" applyBorder="1"/>
    <xf numFmtId="0" fontId="4" fillId="0" borderId="6" xfId="0" applyFont="1" applyBorder="1" applyAlignment="1">
      <alignment horizontal="center"/>
    </xf>
    <xf numFmtId="0" fontId="12" fillId="0" borderId="0" xfId="0" applyFont="1"/>
    <xf numFmtId="4" fontId="12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4" fontId="4" fillId="0" borderId="0" xfId="3" applyNumberFormat="1" applyAlignment="1">
      <alignment horizontal="center"/>
    </xf>
    <xf numFmtId="3" fontId="4" fillId="0" borderId="0" xfId="3" applyNumberFormat="1" applyAlignment="1">
      <alignment horizontal="center"/>
    </xf>
    <xf numFmtId="4" fontId="4" fillId="0" borderId="6" xfId="0" applyNumberFormat="1" applyFont="1" applyBorder="1" applyAlignment="1">
      <alignment horizontal="center"/>
    </xf>
    <xf numFmtId="3" fontId="4" fillId="0" borderId="6" xfId="3" applyNumberForma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12" fillId="2" borderId="0" xfId="0" applyFont="1" applyFill="1"/>
    <xf numFmtId="4" fontId="4" fillId="0" borderId="9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4" fontId="4" fillId="0" borderId="8" xfId="0" applyNumberFormat="1" applyFont="1" applyBorder="1" applyAlignment="1">
      <alignment horizontal="center"/>
    </xf>
    <xf numFmtId="3" fontId="12" fillId="0" borderId="19" xfId="1" applyNumberFormat="1" applyFont="1" applyBorder="1" applyAlignment="1">
      <alignment horizontal="center"/>
    </xf>
    <xf numFmtId="3" fontId="4" fillId="0" borderId="8" xfId="2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167" fontId="12" fillId="0" borderId="0" xfId="1" applyNumberFormat="1" applyFont="1" applyAlignment="1">
      <alignment horizontal="center"/>
    </xf>
    <xf numFmtId="4" fontId="4" fillId="0" borderId="15" xfId="0" applyNumberFormat="1" applyFont="1" applyBorder="1" applyAlignment="1">
      <alignment horizontal="center"/>
    </xf>
    <xf numFmtId="3" fontId="12" fillId="0" borderId="0" xfId="1" applyNumberFormat="1" applyFont="1" applyBorder="1" applyAlignment="1">
      <alignment horizontal="center"/>
    </xf>
    <xf numFmtId="167" fontId="12" fillId="0" borderId="1" xfId="1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3" fontId="12" fillId="0" borderId="1" xfId="1" applyNumberFormat="1" applyFont="1" applyBorder="1" applyAlignment="1">
      <alignment horizontal="center"/>
    </xf>
    <xf numFmtId="0" fontId="4" fillId="0" borderId="17" xfId="3" applyBorder="1"/>
    <xf numFmtId="4" fontId="4" fillId="0" borderId="11" xfId="3" applyNumberFormat="1" applyBorder="1" applyAlignment="1">
      <alignment horizontal="center"/>
    </xf>
    <xf numFmtId="3" fontId="4" fillId="0" borderId="9" xfId="3" applyNumberFormat="1" applyBorder="1" applyAlignment="1">
      <alignment horizontal="center"/>
    </xf>
    <xf numFmtId="0" fontId="4" fillId="0" borderId="16" xfId="3" applyBorder="1" applyAlignment="1">
      <alignment horizontal="center"/>
    </xf>
    <xf numFmtId="4" fontId="4" fillId="0" borderId="12" xfId="3" applyNumberForma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6" xfId="2" applyNumberFormat="1" applyFont="1" applyBorder="1" applyAlignment="1">
      <alignment horizontal="center"/>
    </xf>
    <xf numFmtId="3" fontId="12" fillId="0" borderId="7" xfId="0" applyNumberFormat="1" applyFont="1" applyBorder="1" applyAlignment="1">
      <alignment horizontal="center"/>
    </xf>
    <xf numFmtId="3" fontId="12" fillId="0" borderId="17" xfId="0" applyNumberFormat="1" applyFont="1" applyBorder="1" applyAlignment="1">
      <alignment horizontal="center"/>
    </xf>
    <xf numFmtId="3" fontId="4" fillId="0" borderId="9" xfId="2" applyNumberFormat="1" applyFont="1" applyBorder="1" applyAlignment="1">
      <alignment horizontal="center"/>
    </xf>
    <xf numFmtId="3" fontId="12" fillId="0" borderId="10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7" fontId="0" fillId="0" borderId="1" xfId="1" applyNumberFormat="1" applyFont="1" applyFill="1" applyBorder="1"/>
    <xf numFmtId="0" fontId="0" fillId="0" borderId="0" xfId="0" applyFill="1"/>
    <xf numFmtId="0" fontId="0" fillId="0" borderId="0" xfId="0" applyFont="1" applyAlignment="1">
      <alignment horizontal="center"/>
    </xf>
    <xf numFmtId="171" fontId="0" fillId="0" borderId="0" xfId="2" applyNumberFormat="1" applyFont="1"/>
    <xf numFmtId="171" fontId="14" fillId="0" borderId="0" xfId="2" applyNumberFormat="1" applyFont="1" applyBorder="1"/>
    <xf numFmtId="171" fontId="0" fillId="0" borderId="1" xfId="2" applyNumberFormat="1" applyFont="1" applyBorder="1"/>
    <xf numFmtId="37" fontId="0" fillId="0" borderId="0" xfId="0" applyNumberFormat="1" applyFill="1" applyAlignment="1">
      <alignment horizontal="center"/>
    </xf>
    <xf numFmtId="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left"/>
    </xf>
    <xf numFmtId="165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66" fontId="0" fillId="0" borderId="0" xfId="0" applyNumberFormat="1" applyFill="1"/>
    <xf numFmtId="165" fontId="0" fillId="0" borderId="0" xfId="0" applyNumberFormat="1" applyFill="1"/>
    <xf numFmtId="169" fontId="0" fillId="0" borderId="0" xfId="0" applyNumberFormat="1" applyFill="1"/>
    <xf numFmtId="170" fontId="0" fillId="0" borderId="0" xfId="0" applyNumberFormat="1" applyFill="1"/>
    <xf numFmtId="0" fontId="0" fillId="0" borderId="0" xfId="0" applyFill="1" applyBorder="1" applyAlignment="1">
      <alignment horizontal="left" vertical="top"/>
    </xf>
    <xf numFmtId="2" fontId="0" fillId="0" borderId="0" xfId="0" applyNumberFormat="1" applyFill="1"/>
    <xf numFmtId="168" fontId="0" fillId="0" borderId="0" xfId="0" applyNumberFormat="1" applyFill="1"/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3" fontId="0" fillId="0" borderId="1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NumberFormat="1" applyFont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Data%20Requests\IPA%20LTRPP\June%202025%20request\WBC_Utility%20Scale%20&amp;%20IndexREC%20delivery%20schedule%205.31.25.xlsx" TargetMode="External"/><Relationship Id="rId1" Type="http://schemas.openxmlformats.org/officeDocument/2006/relationships/externalLinkPath" Target="file:///E:\Data%20Requests\IPA%20LTRPP\June%202025%20request\WBC_Utility%20Scale%20&amp;%20IndexREC%20delivery%20schedule%205.31.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Data%20Requests\IPA%20LTRPP\June%202025%20request\WBC_ABP_SFA%20forecasted%20payments%20-%20May%202025%20IPA%20update.xlsx" TargetMode="External"/><Relationship Id="rId1" Type="http://schemas.openxmlformats.org/officeDocument/2006/relationships/externalLinkPath" Target="file:///E:\Data%20Requests\IPA%20LTRPP\June%202025%20request\WBC_ABP_SFA%20forecasted%20payments%20-%20May%202025%20IPA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RECs summary pivot"/>
      <sheetName val="REC Expenditures ($) summary"/>
      <sheetName val="REC Expenditures ($) Data"/>
      <sheetName val="Main Data"/>
    </sheetNames>
    <sheetDataSet>
      <sheetData sheetId="0">
        <row r="5">
          <cell r="E5">
            <v>678782</v>
          </cell>
          <cell r="F5">
            <v>2425009.54</v>
          </cell>
          <cell r="K5">
            <v>140680</v>
          </cell>
          <cell r="L5">
            <v>1033998</v>
          </cell>
        </row>
        <row r="6">
          <cell r="E6">
            <v>678782</v>
          </cell>
          <cell r="F6">
            <v>2425009.54</v>
          </cell>
          <cell r="K6">
            <v>140680</v>
          </cell>
          <cell r="L6">
            <v>1033998</v>
          </cell>
        </row>
        <row r="7">
          <cell r="E7">
            <v>678782</v>
          </cell>
          <cell r="F7">
            <v>2425009.54</v>
          </cell>
          <cell r="K7">
            <v>140680</v>
          </cell>
          <cell r="L7">
            <v>1033998</v>
          </cell>
        </row>
        <row r="8">
          <cell r="E8">
            <v>678782</v>
          </cell>
          <cell r="F8">
            <v>2425009.54</v>
          </cell>
          <cell r="K8">
            <v>140680</v>
          </cell>
          <cell r="L8">
            <v>1033998</v>
          </cell>
        </row>
        <row r="9">
          <cell r="E9">
            <v>678782</v>
          </cell>
          <cell r="F9">
            <v>2425009.54</v>
          </cell>
          <cell r="K9">
            <v>140680</v>
          </cell>
          <cell r="L9">
            <v>1033998</v>
          </cell>
        </row>
        <row r="10">
          <cell r="E10">
            <v>678782</v>
          </cell>
          <cell r="F10">
            <v>2425009.54</v>
          </cell>
          <cell r="K10">
            <v>140680</v>
          </cell>
          <cell r="L10">
            <v>1033998</v>
          </cell>
        </row>
        <row r="11">
          <cell r="E11">
            <v>678782</v>
          </cell>
          <cell r="F11">
            <v>2425009.54</v>
          </cell>
          <cell r="K11">
            <v>140680</v>
          </cell>
          <cell r="L11">
            <v>1033998</v>
          </cell>
        </row>
        <row r="12">
          <cell r="E12">
            <v>678782</v>
          </cell>
          <cell r="F12">
            <v>2425009.54</v>
          </cell>
          <cell r="K12">
            <v>140680</v>
          </cell>
          <cell r="L12">
            <v>1033998</v>
          </cell>
        </row>
        <row r="13">
          <cell r="E13">
            <v>678782</v>
          </cell>
          <cell r="F13">
            <v>2425009.54</v>
          </cell>
          <cell r="K13">
            <v>140680</v>
          </cell>
          <cell r="L13">
            <v>1033998</v>
          </cell>
        </row>
        <row r="14">
          <cell r="E14">
            <v>678782</v>
          </cell>
          <cell r="F14">
            <v>2425009.54</v>
          </cell>
          <cell r="K14">
            <v>140680</v>
          </cell>
          <cell r="L14">
            <v>1033998</v>
          </cell>
        </row>
        <row r="15">
          <cell r="E15">
            <v>327082</v>
          </cell>
          <cell r="F15">
            <v>1018209.54</v>
          </cell>
          <cell r="K15">
            <v>140680</v>
          </cell>
          <cell r="L15">
            <v>1033998</v>
          </cell>
        </row>
        <row r="21">
          <cell r="E21">
            <v>281360</v>
          </cell>
          <cell r="F21">
            <v>1707996.5999999999</v>
          </cell>
          <cell r="K21">
            <v>251450</v>
          </cell>
          <cell r="L21">
            <v>1274851.5</v>
          </cell>
        </row>
        <row r="22">
          <cell r="E22">
            <v>281360</v>
          </cell>
          <cell r="F22">
            <v>1707996.5999999999</v>
          </cell>
          <cell r="K22">
            <v>251450</v>
          </cell>
          <cell r="L22">
            <v>1274851.5</v>
          </cell>
        </row>
        <row r="23">
          <cell r="E23">
            <v>281360</v>
          </cell>
          <cell r="F23">
            <v>1707996.5999999999</v>
          </cell>
          <cell r="K23">
            <v>251450</v>
          </cell>
          <cell r="L23">
            <v>1274851.5</v>
          </cell>
        </row>
        <row r="24">
          <cell r="E24">
            <v>281360</v>
          </cell>
          <cell r="F24">
            <v>1707996.5999999999</v>
          </cell>
          <cell r="K24">
            <v>251450</v>
          </cell>
          <cell r="L24">
            <v>1274851.5</v>
          </cell>
        </row>
        <row r="25">
          <cell r="E25">
            <v>281360</v>
          </cell>
          <cell r="F25">
            <v>1707996.5999999999</v>
          </cell>
          <cell r="K25">
            <v>251450</v>
          </cell>
          <cell r="L25">
            <v>1274851.5</v>
          </cell>
        </row>
        <row r="26">
          <cell r="E26">
            <v>281360</v>
          </cell>
          <cell r="F26">
            <v>1707996.5999999999</v>
          </cell>
          <cell r="K26">
            <v>251450</v>
          </cell>
          <cell r="L26">
            <v>1274851.5</v>
          </cell>
        </row>
        <row r="27">
          <cell r="E27">
            <v>281360</v>
          </cell>
          <cell r="F27">
            <v>1707996.5999999999</v>
          </cell>
          <cell r="K27">
            <v>251450</v>
          </cell>
          <cell r="L27">
            <v>1274851.5</v>
          </cell>
        </row>
        <row r="28">
          <cell r="E28">
            <v>281360</v>
          </cell>
          <cell r="F28">
            <v>1707996.5999999999</v>
          </cell>
          <cell r="K28">
            <v>251450</v>
          </cell>
          <cell r="L28">
            <v>1274851.5</v>
          </cell>
        </row>
        <row r="29">
          <cell r="E29">
            <v>281360</v>
          </cell>
          <cell r="F29">
            <v>1707996.5999999999</v>
          </cell>
          <cell r="K29">
            <v>251450</v>
          </cell>
          <cell r="L29">
            <v>1274851.5</v>
          </cell>
        </row>
        <row r="30">
          <cell r="E30">
            <v>281360</v>
          </cell>
          <cell r="F30">
            <v>1707996.5999999999</v>
          </cell>
          <cell r="K30">
            <v>251450</v>
          </cell>
          <cell r="L30">
            <v>1274851.5</v>
          </cell>
        </row>
        <row r="31">
          <cell r="E31">
            <v>281360</v>
          </cell>
          <cell r="F31">
            <v>1707996.5999999999</v>
          </cell>
          <cell r="K31">
            <v>251450</v>
          </cell>
          <cell r="L31">
            <v>1274851.5</v>
          </cell>
        </row>
        <row r="32">
          <cell r="E32">
            <v>64126.833333333336</v>
          </cell>
          <cell r="F32">
            <v>400992.22499999998</v>
          </cell>
          <cell r="K32">
            <v>104770.83333333334</v>
          </cell>
          <cell r="L32">
            <v>531188.12500000012</v>
          </cell>
        </row>
        <row r="39">
          <cell r="E39">
            <v>774105</v>
          </cell>
          <cell r="F39">
            <v>2977279.63</v>
          </cell>
          <cell r="K39">
            <v>692019</v>
          </cell>
          <cell r="L39">
            <v>4253549.25</v>
          </cell>
        </row>
        <row r="40">
          <cell r="E40">
            <v>774105</v>
          </cell>
          <cell r="F40">
            <v>2977279.63</v>
          </cell>
          <cell r="K40">
            <v>692019</v>
          </cell>
          <cell r="L40">
            <v>4253549.25</v>
          </cell>
        </row>
        <row r="41">
          <cell r="E41">
            <v>774105</v>
          </cell>
          <cell r="F41">
            <v>2977279.63</v>
          </cell>
          <cell r="K41">
            <v>692019</v>
          </cell>
          <cell r="L41">
            <v>4253549.25</v>
          </cell>
        </row>
        <row r="42">
          <cell r="E42">
            <v>774105</v>
          </cell>
          <cell r="F42">
            <v>2977279.63</v>
          </cell>
          <cell r="K42">
            <v>692019</v>
          </cell>
          <cell r="L42">
            <v>4253549.25</v>
          </cell>
        </row>
        <row r="43">
          <cell r="E43">
            <v>774105</v>
          </cell>
          <cell r="F43">
            <v>2977279.63</v>
          </cell>
          <cell r="K43">
            <v>692019</v>
          </cell>
          <cell r="L43">
            <v>4253549.25</v>
          </cell>
        </row>
        <row r="44">
          <cell r="E44">
            <v>774105</v>
          </cell>
          <cell r="F44">
            <v>2977279.63</v>
          </cell>
          <cell r="K44">
            <v>692019</v>
          </cell>
          <cell r="L44">
            <v>4253549.25</v>
          </cell>
        </row>
        <row r="45">
          <cell r="E45">
            <v>774105</v>
          </cell>
          <cell r="F45">
            <v>2977279.63</v>
          </cell>
          <cell r="K45">
            <v>692019</v>
          </cell>
          <cell r="L45">
            <v>4253549.25</v>
          </cell>
        </row>
        <row r="46">
          <cell r="E46">
            <v>774105</v>
          </cell>
          <cell r="F46">
            <v>2977279.63</v>
          </cell>
          <cell r="K46">
            <v>692019</v>
          </cell>
          <cell r="L46">
            <v>4253549.25</v>
          </cell>
        </row>
        <row r="47">
          <cell r="E47">
            <v>597668.83333333337</v>
          </cell>
          <cell r="F47">
            <v>2299764.75</v>
          </cell>
          <cell r="K47">
            <v>692019</v>
          </cell>
          <cell r="L47">
            <v>4253549.25</v>
          </cell>
        </row>
        <row r="48">
          <cell r="E48">
            <v>471643</v>
          </cell>
          <cell r="F48">
            <v>1815825.55</v>
          </cell>
          <cell r="K48">
            <v>692019</v>
          </cell>
          <cell r="L48">
            <v>4253549.25</v>
          </cell>
        </row>
        <row r="49">
          <cell r="E49">
            <v>471643</v>
          </cell>
          <cell r="F49">
            <v>1815825.55</v>
          </cell>
          <cell r="K49">
            <v>692019</v>
          </cell>
          <cell r="L49">
            <v>4253549.25</v>
          </cell>
        </row>
        <row r="50">
          <cell r="K50">
            <v>626697.75</v>
          </cell>
          <cell r="L50">
            <v>3719074.0125000002</v>
          </cell>
        </row>
        <row r="51">
          <cell r="K51">
            <v>409730.5</v>
          </cell>
          <cell r="L51">
            <v>1929074.4999999998</v>
          </cell>
        </row>
        <row r="52">
          <cell r="K52">
            <v>400938</v>
          </cell>
          <cell r="L52">
            <v>1844314.7999999998</v>
          </cell>
        </row>
        <row r="60">
          <cell r="E60">
            <v>38217</v>
          </cell>
          <cell r="F60">
            <v>2220594</v>
          </cell>
          <cell r="K60">
            <v>6109</v>
          </cell>
          <cell r="L60">
            <v>307282.7</v>
          </cell>
        </row>
        <row r="61">
          <cell r="E61">
            <v>38217</v>
          </cell>
          <cell r="F61">
            <v>2220594</v>
          </cell>
          <cell r="K61">
            <v>6109</v>
          </cell>
          <cell r="L61">
            <v>304839.09999999998</v>
          </cell>
        </row>
        <row r="62">
          <cell r="E62">
            <v>38217</v>
          </cell>
          <cell r="F62">
            <v>2220594</v>
          </cell>
          <cell r="K62">
            <v>6109</v>
          </cell>
          <cell r="L62">
            <v>322555.2</v>
          </cell>
        </row>
        <row r="63">
          <cell r="E63">
            <v>38217</v>
          </cell>
          <cell r="F63">
            <v>2220594</v>
          </cell>
          <cell r="K63">
            <v>6109</v>
          </cell>
          <cell r="L63">
            <v>332329.59999999998</v>
          </cell>
        </row>
        <row r="64">
          <cell r="E64">
            <v>38217</v>
          </cell>
          <cell r="F64">
            <v>2220594</v>
          </cell>
          <cell r="K64">
            <v>6109</v>
          </cell>
          <cell r="L64">
            <v>337216.8</v>
          </cell>
        </row>
        <row r="65">
          <cell r="E65">
            <v>38217</v>
          </cell>
          <cell r="F65">
            <v>2220594</v>
          </cell>
          <cell r="K65">
            <v>6109</v>
          </cell>
          <cell r="L65">
            <v>339049.5</v>
          </cell>
        </row>
        <row r="66">
          <cell r="E66">
            <v>38217</v>
          </cell>
          <cell r="F66">
            <v>2220594</v>
          </cell>
          <cell r="K66">
            <v>6109</v>
          </cell>
          <cell r="L66">
            <v>340882.2</v>
          </cell>
        </row>
        <row r="67">
          <cell r="E67">
            <v>38217</v>
          </cell>
          <cell r="F67">
            <v>2220594</v>
          </cell>
          <cell r="K67">
            <v>6109</v>
          </cell>
          <cell r="L67">
            <v>346380.3</v>
          </cell>
        </row>
        <row r="68">
          <cell r="E68">
            <v>38217</v>
          </cell>
          <cell r="F68">
            <v>2220594</v>
          </cell>
          <cell r="K68">
            <v>6109</v>
          </cell>
          <cell r="L68">
            <v>348823.9</v>
          </cell>
        </row>
        <row r="69">
          <cell r="E69">
            <v>38217</v>
          </cell>
          <cell r="F69">
            <v>2220594</v>
          </cell>
          <cell r="K69">
            <v>6109</v>
          </cell>
          <cell r="L69">
            <v>340882.2</v>
          </cell>
        </row>
        <row r="70">
          <cell r="E70">
            <v>38217</v>
          </cell>
          <cell r="F70">
            <v>2220594</v>
          </cell>
          <cell r="K70">
            <v>6109</v>
          </cell>
          <cell r="L70">
            <v>331107.8</v>
          </cell>
        </row>
        <row r="71">
          <cell r="E71">
            <v>37183.083333333336</v>
          </cell>
          <cell r="F71">
            <v>2152872.4583333335</v>
          </cell>
          <cell r="K71">
            <v>6109</v>
          </cell>
          <cell r="L71">
            <v>323777</v>
          </cell>
        </row>
        <row r="72">
          <cell r="E72">
            <v>23659.166666666668</v>
          </cell>
          <cell r="F72">
            <v>1290607.5416666667</v>
          </cell>
          <cell r="K72">
            <v>6109</v>
          </cell>
          <cell r="L72">
            <v>330496.90000000002</v>
          </cell>
        </row>
        <row r="73">
          <cell r="K73">
            <v>6109</v>
          </cell>
          <cell r="L73">
            <v>325609.7</v>
          </cell>
        </row>
        <row r="74">
          <cell r="K74">
            <v>6109</v>
          </cell>
          <cell r="L74">
            <v>325609.7</v>
          </cell>
        </row>
        <row r="75">
          <cell r="K75">
            <v>6109</v>
          </cell>
          <cell r="L75">
            <v>324998.8</v>
          </cell>
        </row>
        <row r="76">
          <cell r="K76">
            <v>6109</v>
          </cell>
          <cell r="L76">
            <v>322555.2</v>
          </cell>
        </row>
        <row r="77">
          <cell r="K77">
            <v>6109</v>
          </cell>
          <cell r="L77">
            <v>321333.40000000002</v>
          </cell>
        </row>
        <row r="78">
          <cell r="K78">
            <v>6109</v>
          </cell>
          <cell r="L78">
            <v>319500.7</v>
          </cell>
        </row>
        <row r="79">
          <cell r="K79">
            <v>6109</v>
          </cell>
          <cell r="L79">
            <v>314405.79399999994</v>
          </cell>
        </row>
        <row r="85">
          <cell r="E85">
            <v>714385</v>
          </cell>
          <cell r="F85">
            <v>22364326.350000001</v>
          </cell>
          <cell r="K85">
            <v>792686</v>
          </cell>
          <cell r="L85">
            <v>22692696.629999995</v>
          </cell>
        </row>
        <row r="86">
          <cell r="E86">
            <v>714385</v>
          </cell>
          <cell r="F86">
            <v>23507342.349999998</v>
          </cell>
          <cell r="K86">
            <v>792686</v>
          </cell>
          <cell r="L86">
            <v>23960994.229999997</v>
          </cell>
        </row>
        <row r="87">
          <cell r="E87">
            <v>714385</v>
          </cell>
          <cell r="F87">
            <v>24078850.350000005</v>
          </cell>
          <cell r="K87">
            <v>792686</v>
          </cell>
          <cell r="L87">
            <v>24595143.030000009</v>
          </cell>
        </row>
        <row r="88">
          <cell r="E88">
            <v>714385</v>
          </cell>
          <cell r="F88">
            <v>24293165.850000001</v>
          </cell>
          <cell r="K88">
            <v>792686</v>
          </cell>
          <cell r="L88">
            <v>24832948.830000002</v>
          </cell>
        </row>
        <row r="89">
          <cell r="E89">
            <v>714385</v>
          </cell>
          <cell r="F89">
            <v>24507481.350000001</v>
          </cell>
          <cell r="K89">
            <v>792686</v>
          </cell>
          <cell r="L89">
            <v>25070754.629999995</v>
          </cell>
        </row>
        <row r="90">
          <cell r="E90">
            <v>714385</v>
          </cell>
          <cell r="F90">
            <v>25150427.850000005</v>
          </cell>
          <cell r="K90">
            <v>792686</v>
          </cell>
          <cell r="L90">
            <v>25784172.030000009</v>
          </cell>
        </row>
        <row r="91">
          <cell r="E91">
            <v>714385</v>
          </cell>
          <cell r="F91">
            <v>25436181.850000001</v>
          </cell>
          <cell r="K91">
            <v>792686</v>
          </cell>
          <cell r="L91">
            <v>26101246.430000003</v>
          </cell>
        </row>
        <row r="92">
          <cell r="E92">
            <v>714385</v>
          </cell>
          <cell r="F92">
            <v>24507481.350000001</v>
          </cell>
          <cell r="K92">
            <v>792686</v>
          </cell>
          <cell r="L92">
            <v>25070754.629999995</v>
          </cell>
        </row>
        <row r="93">
          <cell r="E93">
            <v>714385</v>
          </cell>
          <cell r="F93">
            <v>23364465.350000005</v>
          </cell>
          <cell r="K93">
            <v>792686</v>
          </cell>
          <cell r="L93">
            <v>23802457.030000009</v>
          </cell>
        </row>
        <row r="94">
          <cell r="E94">
            <v>714385</v>
          </cell>
          <cell r="F94">
            <v>22507203.350000001</v>
          </cell>
          <cell r="K94">
            <v>792686</v>
          </cell>
          <cell r="L94">
            <v>22851233.830000002</v>
          </cell>
        </row>
        <row r="95">
          <cell r="E95">
            <v>714385</v>
          </cell>
          <cell r="F95">
            <v>23293026.850000001</v>
          </cell>
          <cell r="K95">
            <v>792686</v>
          </cell>
          <cell r="L95">
            <v>23723188.430000003</v>
          </cell>
        </row>
        <row r="96">
          <cell r="E96">
            <v>714385</v>
          </cell>
          <cell r="F96">
            <v>22721518.850000001</v>
          </cell>
          <cell r="K96">
            <v>792686</v>
          </cell>
          <cell r="L96">
            <v>23089039.629999995</v>
          </cell>
        </row>
        <row r="97">
          <cell r="E97">
            <v>714385</v>
          </cell>
          <cell r="F97">
            <v>22721518.850000001</v>
          </cell>
          <cell r="K97">
            <v>792686</v>
          </cell>
          <cell r="L97">
            <v>23089039.629999995</v>
          </cell>
        </row>
        <row r="98">
          <cell r="E98">
            <v>714385</v>
          </cell>
          <cell r="F98">
            <v>22650080.350000005</v>
          </cell>
          <cell r="K98">
            <v>792686</v>
          </cell>
          <cell r="L98">
            <v>23009771.030000009</v>
          </cell>
        </row>
        <row r="99">
          <cell r="E99">
            <v>714385</v>
          </cell>
          <cell r="F99">
            <v>22364326.350000001</v>
          </cell>
          <cell r="K99">
            <v>792686</v>
          </cell>
          <cell r="L99">
            <v>22692696.629999995</v>
          </cell>
        </row>
        <row r="100">
          <cell r="E100">
            <v>714385</v>
          </cell>
          <cell r="F100">
            <v>22221449.350000001</v>
          </cell>
          <cell r="K100">
            <v>792686</v>
          </cell>
          <cell r="L100">
            <v>22534159.430000003</v>
          </cell>
        </row>
        <row r="101">
          <cell r="E101">
            <v>714385</v>
          </cell>
          <cell r="F101">
            <v>22007133.850000001</v>
          </cell>
          <cell r="K101">
            <v>792686</v>
          </cell>
          <cell r="L101">
            <v>22296353.629999995</v>
          </cell>
        </row>
        <row r="102">
          <cell r="E102">
            <v>714385</v>
          </cell>
          <cell r="F102">
            <v>21411336.75999999</v>
          </cell>
          <cell r="K102">
            <v>792686</v>
          </cell>
          <cell r="L102">
            <v>21635253.505999994</v>
          </cell>
        </row>
        <row r="110">
          <cell r="E110">
            <v>914659</v>
          </cell>
          <cell r="F110">
            <v>34033190.449999996</v>
          </cell>
          <cell r="K110">
            <v>600180</v>
          </cell>
          <cell r="L110">
            <v>18223047</v>
          </cell>
        </row>
        <row r="111">
          <cell r="E111">
            <v>914659</v>
          </cell>
          <cell r="F111">
            <v>34764917.650000006</v>
          </cell>
          <cell r="K111">
            <v>600180</v>
          </cell>
          <cell r="L111">
            <v>18703191</v>
          </cell>
        </row>
        <row r="112">
          <cell r="E112">
            <v>914659</v>
          </cell>
          <cell r="F112">
            <v>35039315.350000009</v>
          </cell>
          <cell r="K112">
            <v>600180</v>
          </cell>
          <cell r="L112">
            <v>18883245</v>
          </cell>
        </row>
        <row r="113">
          <cell r="E113">
            <v>914659</v>
          </cell>
          <cell r="F113">
            <v>35313713.049999997</v>
          </cell>
          <cell r="K113">
            <v>600180</v>
          </cell>
          <cell r="L113">
            <v>19063299</v>
          </cell>
        </row>
        <row r="114">
          <cell r="E114">
            <v>914659</v>
          </cell>
          <cell r="F114">
            <v>36136906.150000006</v>
          </cell>
          <cell r="K114">
            <v>600180</v>
          </cell>
          <cell r="L114">
            <v>19603461</v>
          </cell>
        </row>
        <row r="115">
          <cell r="E115">
            <v>914659</v>
          </cell>
          <cell r="F115">
            <v>36502769.75</v>
          </cell>
          <cell r="K115">
            <v>600180</v>
          </cell>
          <cell r="L115">
            <v>19843533</v>
          </cell>
        </row>
        <row r="116">
          <cell r="E116">
            <v>914659</v>
          </cell>
          <cell r="F116">
            <v>35313713.049999997</v>
          </cell>
          <cell r="K116">
            <v>600180</v>
          </cell>
          <cell r="L116">
            <v>19063299</v>
          </cell>
        </row>
        <row r="117">
          <cell r="E117">
            <v>914659</v>
          </cell>
          <cell r="F117">
            <v>33850258.650000006</v>
          </cell>
          <cell r="K117">
            <v>600180</v>
          </cell>
          <cell r="L117">
            <v>18103011</v>
          </cell>
        </row>
        <row r="118">
          <cell r="E118">
            <v>914659</v>
          </cell>
          <cell r="F118">
            <v>32752667.850000001</v>
          </cell>
          <cell r="K118">
            <v>600180</v>
          </cell>
          <cell r="L118">
            <v>17382795</v>
          </cell>
        </row>
        <row r="119">
          <cell r="E119">
            <v>914659</v>
          </cell>
          <cell r="F119">
            <v>33758792.75</v>
          </cell>
          <cell r="K119">
            <v>600180</v>
          </cell>
          <cell r="L119">
            <v>18042993</v>
          </cell>
        </row>
        <row r="120">
          <cell r="E120">
            <v>914659</v>
          </cell>
          <cell r="F120">
            <v>33027065.549999997</v>
          </cell>
          <cell r="K120">
            <v>600180</v>
          </cell>
          <cell r="L120">
            <v>17562849</v>
          </cell>
        </row>
        <row r="121">
          <cell r="E121">
            <v>914659</v>
          </cell>
          <cell r="F121">
            <v>33027065.549999997</v>
          </cell>
          <cell r="K121">
            <v>600180</v>
          </cell>
          <cell r="L121">
            <v>17562849</v>
          </cell>
        </row>
        <row r="122">
          <cell r="E122">
            <v>914659</v>
          </cell>
          <cell r="F122">
            <v>32935599.650000006</v>
          </cell>
          <cell r="K122">
            <v>600180</v>
          </cell>
          <cell r="L122">
            <v>17502831</v>
          </cell>
        </row>
        <row r="123">
          <cell r="E123">
            <v>914659</v>
          </cell>
          <cell r="F123">
            <v>32569736.049999997</v>
          </cell>
          <cell r="K123">
            <v>600180</v>
          </cell>
          <cell r="L123">
            <v>17262759</v>
          </cell>
        </row>
        <row r="124">
          <cell r="E124">
            <v>914659</v>
          </cell>
          <cell r="F124">
            <v>32386804.25</v>
          </cell>
          <cell r="K124">
            <v>600180</v>
          </cell>
          <cell r="L124">
            <v>17142723</v>
          </cell>
        </row>
        <row r="125">
          <cell r="E125">
            <v>914659</v>
          </cell>
          <cell r="F125">
            <v>32112406.549999997</v>
          </cell>
          <cell r="K125">
            <v>600180</v>
          </cell>
          <cell r="L125">
            <v>16962669</v>
          </cell>
        </row>
        <row r="126">
          <cell r="E126">
            <v>914659</v>
          </cell>
          <cell r="F126">
            <v>31349580.943999991</v>
          </cell>
          <cell r="K126">
            <v>600180</v>
          </cell>
          <cell r="L126">
            <v>16462118.879999995</v>
          </cell>
        </row>
        <row r="135">
          <cell r="E135">
            <v>623667</v>
          </cell>
          <cell r="F135">
            <v>21907341.840000004</v>
          </cell>
          <cell r="K135">
            <v>260535</v>
          </cell>
          <cell r="L135">
            <v>8389227</v>
          </cell>
        </row>
        <row r="136">
          <cell r="E136">
            <v>623667</v>
          </cell>
          <cell r="F136">
            <v>22094441.940000001</v>
          </cell>
          <cell r="K136">
            <v>260535</v>
          </cell>
          <cell r="L136">
            <v>8467387.5</v>
          </cell>
        </row>
        <row r="137">
          <cell r="E137">
            <v>623667</v>
          </cell>
          <cell r="F137">
            <v>22281542.039999999</v>
          </cell>
          <cell r="K137">
            <v>260535</v>
          </cell>
          <cell r="L137">
            <v>8545548</v>
          </cell>
        </row>
        <row r="138">
          <cell r="E138">
            <v>623667</v>
          </cell>
          <cell r="F138">
            <v>22842842.340000004</v>
          </cell>
          <cell r="K138">
            <v>260535</v>
          </cell>
          <cell r="L138">
            <v>8780029.5</v>
          </cell>
        </row>
        <row r="139">
          <cell r="E139">
            <v>623667</v>
          </cell>
          <cell r="F139">
            <v>23092309.140000001</v>
          </cell>
          <cell r="K139">
            <v>260535</v>
          </cell>
          <cell r="L139">
            <v>8884243.5</v>
          </cell>
        </row>
        <row r="140">
          <cell r="E140">
            <v>623667</v>
          </cell>
          <cell r="F140">
            <v>22281542.039999999</v>
          </cell>
          <cell r="K140">
            <v>260535</v>
          </cell>
          <cell r="L140">
            <v>8545548</v>
          </cell>
        </row>
        <row r="141">
          <cell r="E141">
            <v>623667</v>
          </cell>
          <cell r="F141">
            <v>21283674.840000004</v>
          </cell>
          <cell r="K141">
            <v>260535</v>
          </cell>
          <cell r="L141">
            <v>8128692.0000000009</v>
          </cell>
        </row>
        <row r="142">
          <cell r="E142">
            <v>623667</v>
          </cell>
          <cell r="F142">
            <v>20535274.440000001</v>
          </cell>
          <cell r="K142">
            <v>260535</v>
          </cell>
          <cell r="L142">
            <v>7816050</v>
          </cell>
        </row>
        <row r="143">
          <cell r="E143">
            <v>623667</v>
          </cell>
          <cell r="F143">
            <v>21221308.140000001</v>
          </cell>
          <cell r="K143">
            <v>260535</v>
          </cell>
          <cell r="L143">
            <v>8102638.5</v>
          </cell>
        </row>
        <row r="144">
          <cell r="E144">
            <v>623667</v>
          </cell>
          <cell r="F144">
            <v>20722374.539999999</v>
          </cell>
          <cell r="K144">
            <v>260535</v>
          </cell>
          <cell r="L144">
            <v>7894210.4999999991</v>
          </cell>
        </row>
        <row r="145">
          <cell r="E145">
            <v>623667</v>
          </cell>
          <cell r="F145">
            <v>20722374.539999999</v>
          </cell>
          <cell r="K145">
            <v>260535</v>
          </cell>
          <cell r="L145">
            <v>7894210.4999999991</v>
          </cell>
        </row>
        <row r="146">
          <cell r="E146">
            <v>623667</v>
          </cell>
          <cell r="F146">
            <v>20660007.840000004</v>
          </cell>
          <cell r="K146">
            <v>260535</v>
          </cell>
          <cell r="L146">
            <v>7868157.0000000009</v>
          </cell>
        </row>
        <row r="147">
          <cell r="E147">
            <v>623667</v>
          </cell>
          <cell r="F147">
            <v>20410541.039999999</v>
          </cell>
          <cell r="K147">
            <v>260535</v>
          </cell>
          <cell r="L147">
            <v>7763942.9999999991</v>
          </cell>
        </row>
        <row r="148">
          <cell r="E148">
            <v>623667</v>
          </cell>
          <cell r="F148">
            <v>20285807.640000001</v>
          </cell>
          <cell r="K148">
            <v>260535</v>
          </cell>
          <cell r="L148">
            <v>7711836</v>
          </cell>
        </row>
        <row r="149">
          <cell r="E149">
            <v>623667</v>
          </cell>
          <cell r="F149">
            <v>20098707.539999999</v>
          </cell>
          <cell r="K149">
            <v>260535</v>
          </cell>
          <cell r="L149">
            <v>7633675.4999999991</v>
          </cell>
        </row>
        <row r="150">
          <cell r="E150">
            <v>623667</v>
          </cell>
          <cell r="F150">
            <v>19578569.261999998</v>
          </cell>
          <cell r="K150">
            <v>260535</v>
          </cell>
          <cell r="L150">
            <v>7416389.3099999987</v>
          </cell>
        </row>
        <row r="160">
          <cell r="E160">
            <v>699812</v>
          </cell>
          <cell r="F160">
            <v>26473025.660000004</v>
          </cell>
          <cell r="K160">
            <v>1815150</v>
          </cell>
          <cell r="L160">
            <v>69551202.150000006</v>
          </cell>
        </row>
        <row r="161">
          <cell r="E161">
            <v>699812</v>
          </cell>
          <cell r="F161">
            <v>26682969.260000002</v>
          </cell>
          <cell r="K161">
            <v>1815150</v>
          </cell>
          <cell r="L161">
            <v>70095747.150000006</v>
          </cell>
        </row>
        <row r="162">
          <cell r="E162">
            <v>699812</v>
          </cell>
          <cell r="F162">
            <v>26892912.859999999</v>
          </cell>
          <cell r="K162">
            <v>1815150</v>
          </cell>
          <cell r="L162">
            <v>70640292.150000006</v>
          </cell>
        </row>
        <row r="163">
          <cell r="E163">
            <v>699812</v>
          </cell>
          <cell r="F163">
            <v>27522743.660000004</v>
          </cell>
          <cell r="K163">
            <v>1815150</v>
          </cell>
          <cell r="L163">
            <v>72273927.150000006</v>
          </cell>
        </row>
        <row r="164">
          <cell r="E164">
            <v>699812</v>
          </cell>
          <cell r="F164">
            <v>27802668.460000001</v>
          </cell>
          <cell r="K164">
            <v>1815150</v>
          </cell>
          <cell r="L164">
            <v>72999987.150000006</v>
          </cell>
        </row>
        <row r="165">
          <cell r="E165">
            <v>699812</v>
          </cell>
          <cell r="F165">
            <v>26892912.859999999</v>
          </cell>
          <cell r="K165">
            <v>1815150</v>
          </cell>
          <cell r="L165">
            <v>70640292.150000006</v>
          </cell>
        </row>
        <row r="166">
          <cell r="E166">
            <v>699812</v>
          </cell>
          <cell r="F166">
            <v>25773213.660000004</v>
          </cell>
          <cell r="K166">
            <v>1815150</v>
          </cell>
          <cell r="L166">
            <v>67736052.150000006</v>
          </cell>
        </row>
        <row r="167">
          <cell r="E167">
            <v>699812</v>
          </cell>
          <cell r="F167">
            <v>24933439.260000002</v>
          </cell>
          <cell r="K167">
            <v>1815150</v>
          </cell>
          <cell r="L167">
            <v>65557872.150000006</v>
          </cell>
        </row>
        <row r="168">
          <cell r="E168">
            <v>699812</v>
          </cell>
          <cell r="F168">
            <v>25703232.460000001</v>
          </cell>
          <cell r="K168">
            <v>1815150</v>
          </cell>
          <cell r="L168">
            <v>67554537.150000006</v>
          </cell>
        </row>
        <row r="169">
          <cell r="E169">
            <v>699812</v>
          </cell>
          <cell r="F169">
            <v>25143382.859999999</v>
          </cell>
          <cell r="K169">
            <v>1815150</v>
          </cell>
          <cell r="L169">
            <v>66102417.149999999</v>
          </cell>
        </row>
        <row r="170">
          <cell r="E170">
            <v>699812</v>
          </cell>
          <cell r="F170">
            <v>25143382.859999999</v>
          </cell>
          <cell r="K170">
            <v>1815150</v>
          </cell>
          <cell r="L170">
            <v>66102417.149999999</v>
          </cell>
        </row>
        <row r="171">
          <cell r="E171">
            <v>699812</v>
          </cell>
          <cell r="F171">
            <v>25073401.660000004</v>
          </cell>
          <cell r="K171">
            <v>1815150</v>
          </cell>
          <cell r="L171">
            <v>65920902.150000006</v>
          </cell>
        </row>
        <row r="172">
          <cell r="E172">
            <v>699812</v>
          </cell>
          <cell r="F172">
            <v>24793476.859999999</v>
          </cell>
          <cell r="K172">
            <v>1815150</v>
          </cell>
          <cell r="L172">
            <v>65194842.149999999</v>
          </cell>
        </row>
        <row r="173">
          <cell r="E173">
            <v>699812</v>
          </cell>
          <cell r="F173">
            <v>24653514.460000001</v>
          </cell>
          <cell r="K173">
            <v>1815150</v>
          </cell>
          <cell r="L173">
            <v>64831812.150000006</v>
          </cell>
        </row>
        <row r="174">
          <cell r="E174">
            <v>699812</v>
          </cell>
          <cell r="F174">
            <v>24443570.859999999</v>
          </cell>
          <cell r="K174">
            <v>1815150</v>
          </cell>
          <cell r="L174">
            <v>64287267.149999999</v>
          </cell>
        </row>
        <row r="175">
          <cell r="E175">
            <v>699812</v>
          </cell>
          <cell r="F175">
            <v>23859927.651999995</v>
          </cell>
          <cell r="K175">
            <v>1815150</v>
          </cell>
          <cell r="L175">
            <v>62773432.049999997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A DR support"/>
      <sheetName val="LRP Final Pivot"/>
      <sheetName val="Summary_Tie Out"/>
    </sheetNames>
    <sheetDataSet>
      <sheetData sheetId="0">
        <row r="5">
          <cell r="G5">
            <v>67.069988590000008</v>
          </cell>
          <cell r="H5">
            <v>65.294445991562498</v>
          </cell>
          <cell r="I5">
            <v>122.32511859012503</v>
          </cell>
        </row>
        <row r="6">
          <cell r="G6">
            <v>60.149889630000004</v>
          </cell>
          <cell r="H6">
            <v>68.915038720520826</v>
          </cell>
          <cell r="I6">
            <v>131.72785382775001</v>
          </cell>
        </row>
        <row r="7">
          <cell r="G7">
            <v>0</v>
          </cell>
          <cell r="H7">
            <v>56.570152592854157</v>
          </cell>
          <cell r="I7">
            <v>117.8076818508333</v>
          </cell>
        </row>
        <row r="8">
          <cell r="G8">
            <v>0</v>
          </cell>
          <cell r="H8">
            <v>53.263123503000003</v>
          </cell>
          <cell r="I8">
            <v>115.54322034583332</v>
          </cell>
        </row>
        <row r="9">
          <cell r="G9">
            <v>0</v>
          </cell>
          <cell r="H9">
            <v>51.216689423124997</v>
          </cell>
          <cell r="I9">
            <v>115.54322034583332</v>
          </cell>
        </row>
        <row r="10">
          <cell r="G10">
            <v>0</v>
          </cell>
          <cell r="H10">
            <v>44.869301395854166</v>
          </cell>
          <cell r="I10">
            <v>115.54322034583332</v>
          </cell>
        </row>
        <row r="11">
          <cell r="G11">
            <v>0</v>
          </cell>
          <cell r="H11">
            <v>27.964514226249999</v>
          </cell>
          <cell r="I11">
            <v>108.96530068308331</v>
          </cell>
        </row>
        <row r="12">
          <cell r="G12">
            <v>0</v>
          </cell>
          <cell r="H12">
            <v>4.2281463822500003</v>
          </cell>
          <cell r="I12">
            <v>94.314643271958346</v>
          </cell>
        </row>
        <row r="13">
          <cell r="G13">
            <v>0</v>
          </cell>
          <cell r="H13">
            <v>0.56677885056249999</v>
          </cell>
          <cell r="I13">
            <v>91.283259911000016</v>
          </cell>
        </row>
        <row r="14">
          <cell r="G14">
            <v>0</v>
          </cell>
          <cell r="H14">
            <v>0.41253672749999992</v>
          </cell>
          <cell r="I14">
            <v>91.283259911000016</v>
          </cell>
        </row>
        <row r="15">
          <cell r="G15">
            <v>0</v>
          </cell>
          <cell r="H15">
            <v>0.41253672749999992</v>
          </cell>
          <cell r="I15">
            <v>91.283259911000016</v>
          </cell>
        </row>
        <row r="16">
          <cell r="G16">
            <v>0</v>
          </cell>
          <cell r="H16">
            <v>0.41253672749999992</v>
          </cell>
          <cell r="I16">
            <v>91.283259911000016</v>
          </cell>
        </row>
        <row r="17">
          <cell r="G17">
            <v>0</v>
          </cell>
          <cell r="H17">
            <v>0.41253672749999992</v>
          </cell>
          <cell r="I17">
            <v>91.283259911000002</v>
          </cell>
        </row>
        <row r="18">
          <cell r="G18">
            <v>0</v>
          </cell>
          <cell r="H18">
            <v>0.41253672749999992</v>
          </cell>
          <cell r="I18">
            <v>91.283259911000002</v>
          </cell>
        </row>
        <row r="19">
          <cell r="G19">
            <v>0</v>
          </cell>
          <cell r="H19">
            <v>0.41253672749999992</v>
          </cell>
          <cell r="I19">
            <v>91.283259911000002</v>
          </cell>
        </row>
        <row r="20">
          <cell r="G20">
            <v>0</v>
          </cell>
          <cell r="H20">
            <v>0.41253672749999992</v>
          </cell>
          <cell r="I20">
            <v>91.283259911000002</v>
          </cell>
        </row>
        <row r="21">
          <cell r="G21">
            <v>0</v>
          </cell>
          <cell r="H21">
            <v>0.41253672749999992</v>
          </cell>
          <cell r="I21">
            <v>91.283259911000002</v>
          </cell>
        </row>
        <row r="22">
          <cell r="G22">
            <v>0</v>
          </cell>
          <cell r="H22">
            <v>0.41253672749999987</v>
          </cell>
          <cell r="I22">
            <v>91.283259911000002</v>
          </cell>
        </row>
        <row r="23">
          <cell r="G23">
            <v>0</v>
          </cell>
          <cell r="H23">
            <v>0.41253672749999987</v>
          </cell>
          <cell r="I23">
            <v>90.47259494875</v>
          </cell>
        </row>
        <row r="24">
          <cell r="G24">
            <v>0</v>
          </cell>
          <cell r="H24">
            <v>0.38896112374999992</v>
          </cell>
          <cell r="I24">
            <v>81.061030273499995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"/>
  <sheetViews>
    <sheetView tabSelected="1" workbookViewId="0">
      <selection activeCell="F24" sqref="F24"/>
    </sheetView>
  </sheetViews>
  <sheetFormatPr defaultRowHeight="15" x14ac:dyDescent="0.25"/>
  <cols>
    <col min="1" max="1" width="15.85546875" customWidth="1"/>
    <col min="2" max="34" width="9.7109375" bestFit="1" customWidth="1"/>
  </cols>
  <sheetData>
    <row r="1" spans="1:23" x14ac:dyDescent="0.25">
      <c r="A1" s="1" t="s">
        <v>19</v>
      </c>
      <c r="B1" s="1"/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3" x14ac:dyDescent="0.25">
      <c r="A2" s="71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3" x14ac:dyDescent="0.25">
      <c r="A3" s="9" t="s">
        <v>40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33</v>
      </c>
      <c r="O3" s="9" t="s">
        <v>34</v>
      </c>
      <c r="P3" s="9" t="s">
        <v>47</v>
      </c>
      <c r="Q3" s="9" t="s">
        <v>48</v>
      </c>
      <c r="R3" s="9" t="s">
        <v>77</v>
      </c>
      <c r="S3" s="9" t="s">
        <v>78</v>
      </c>
      <c r="T3" s="9" t="s">
        <v>115</v>
      </c>
      <c r="U3" s="9" t="s">
        <v>116</v>
      </c>
      <c r="V3" s="112"/>
      <c r="W3" s="112"/>
    </row>
    <row r="4" spans="1:23" x14ac:dyDescent="0.25">
      <c r="A4" s="11" t="s">
        <v>31</v>
      </c>
      <c r="B4" s="19">
        <v>26534.037704999999</v>
      </c>
      <c r="C4" s="19">
        <v>26770.753064</v>
      </c>
      <c r="D4" s="19">
        <v>27031.152087999999</v>
      </c>
      <c r="E4" s="19">
        <v>27258.352042999999</v>
      </c>
      <c r="F4" s="19">
        <v>27657.074071999999</v>
      </c>
      <c r="G4" s="19">
        <v>28099.799988999999</v>
      </c>
      <c r="H4" s="19">
        <v>28595.358487000001</v>
      </c>
      <c r="I4" s="19">
        <v>28992.341535</v>
      </c>
      <c r="J4" s="19">
        <v>29427.583984000001</v>
      </c>
      <c r="K4" s="19">
        <v>29889.008732999999</v>
      </c>
      <c r="L4" s="19">
        <v>30371.139111</v>
      </c>
      <c r="M4" s="19">
        <v>30789.850803000001</v>
      </c>
      <c r="N4" s="19">
        <v>31238.448520999998</v>
      </c>
      <c r="O4" s="19">
        <v>31628.102059000001</v>
      </c>
      <c r="P4" s="19">
        <v>32079.583233000001</v>
      </c>
      <c r="Q4" s="19">
        <v>32487.320865000002</v>
      </c>
      <c r="R4" s="19">
        <v>32900.240919999997</v>
      </c>
      <c r="S4" s="19">
        <v>33318.409267000003</v>
      </c>
      <c r="T4" s="19">
        <v>33773.02087</v>
      </c>
      <c r="U4" s="19">
        <v>34202.282417000002</v>
      </c>
      <c r="V4" s="112"/>
      <c r="W4" s="112"/>
    </row>
    <row r="5" spans="1:23" x14ac:dyDescent="0.25">
      <c r="A5" s="11" t="s">
        <v>28</v>
      </c>
      <c r="B5" s="19">
        <v>28182.712579999999</v>
      </c>
      <c r="C5" s="19">
        <v>27821.114044999998</v>
      </c>
      <c r="D5" s="19">
        <v>27571.053535999999</v>
      </c>
      <c r="E5" s="19">
        <v>27312.992550999999</v>
      </c>
      <c r="F5" s="19">
        <v>27179.260815000001</v>
      </c>
      <c r="G5" s="19">
        <v>27217.733779999999</v>
      </c>
      <c r="H5" s="19">
        <v>27509.338825999999</v>
      </c>
      <c r="I5" s="19">
        <v>27598.984626000001</v>
      </c>
      <c r="J5" s="19">
        <v>27720.952104</v>
      </c>
      <c r="K5" s="19">
        <v>27840.108899999999</v>
      </c>
      <c r="L5" s="19">
        <v>27959.250886000002</v>
      </c>
      <c r="M5" s="19">
        <v>27998.394540000001</v>
      </c>
      <c r="N5" s="19">
        <v>28156.570259</v>
      </c>
      <c r="O5" s="19">
        <v>28280.005550999998</v>
      </c>
      <c r="P5" s="19">
        <v>28404.366875</v>
      </c>
      <c r="Q5" s="19">
        <v>28457.856528</v>
      </c>
      <c r="R5" s="19">
        <v>28511.446908999998</v>
      </c>
      <c r="S5" s="19">
        <v>28565.138209000001</v>
      </c>
      <c r="T5" s="19">
        <v>28688.190267000002</v>
      </c>
      <c r="U5" s="19">
        <v>28742.214401000001</v>
      </c>
      <c r="V5" s="112"/>
      <c r="W5" s="112"/>
    </row>
    <row r="6" spans="1:23" x14ac:dyDescent="0.25">
      <c r="A6" s="11" t="s">
        <v>29</v>
      </c>
      <c r="B6" s="19">
        <v>28147.941984000001</v>
      </c>
      <c r="C6" s="19">
        <v>28939.950831999999</v>
      </c>
      <c r="D6" s="19">
        <v>31424.862152000002</v>
      </c>
      <c r="E6" s="19">
        <v>36595.034306000001</v>
      </c>
      <c r="F6" s="19">
        <v>45280.777754000002</v>
      </c>
      <c r="G6" s="19">
        <v>56353.288557</v>
      </c>
      <c r="H6" s="19">
        <v>69158.020806</v>
      </c>
      <c r="I6" s="19">
        <v>80063.930315999998</v>
      </c>
      <c r="J6" s="19">
        <v>90666.187766000003</v>
      </c>
      <c r="K6" s="19">
        <v>100420.813157</v>
      </c>
      <c r="L6" s="19">
        <v>108120.340595</v>
      </c>
      <c r="M6" s="19">
        <v>112723.73867399999</v>
      </c>
      <c r="N6" s="19">
        <v>114864.793643</v>
      </c>
      <c r="O6" s="19">
        <v>115087.950411</v>
      </c>
      <c r="P6" s="19">
        <v>115410.511686</v>
      </c>
      <c r="Q6" s="19">
        <v>115442.668106</v>
      </c>
      <c r="R6" s="19">
        <v>115474.833486</v>
      </c>
      <c r="S6" s="19">
        <v>115507.007828</v>
      </c>
      <c r="T6" s="19">
        <v>115826.28663</v>
      </c>
      <c r="U6" s="19">
        <v>115858.558896</v>
      </c>
      <c r="V6" s="112"/>
      <c r="W6" s="112"/>
    </row>
    <row r="7" spans="1:23" x14ac:dyDescent="0.25">
      <c r="A7" s="11" t="s">
        <v>30</v>
      </c>
      <c r="B7" s="19">
        <v>437.12647900000002</v>
      </c>
      <c r="C7" s="19">
        <v>431.23873300000002</v>
      </c>
      <c r="D7" s="19">
        <v>429.60421300000002</v>
      </c>
      <c r="E7" s="19">
        <v>430.51530400000001</v>
      </c>
      <c r="F7" s="19">
        <v>432.42390599999999</v>
      </c>
      <c r="G7" s="19">
        <v>432.19669599999997</v>
      </c>
      <c r="H7" s="19">
        <v>430.32396699999998</v>
      </c>
      <c r="I7" s="19">
        <v>427.58599299999997</v>
      </c>
      <c r="J7" s="19">
        <v>425.900374</v>
      </c>
      <c r="K7" s="19">
        <v>424.39243399999998</v>
      </c>
      <c r="L7" s="19">
        <v>422.81251700000001</v>
      </c>
      <c r="M7" s="19">
        <v>420.76977699999998</v>
      </c>
      <c r="N7" s="19">
        <v>420.36448999999999</v>
      </c>
      <c r="O7" s="19">
        <v>419.61209700000001</v>
      </c>
      <c r="P7" s="19">
        <v>419.15830999999997</v>
      </c>
      <c r="Q7" s="19">
        <v>417.71883100000002</v>
      </c>
      <c r="R7" s="19">
        <v>416.28429599999998</v>
      </c>
      <c r="S7" s="19">
        <v>414.85468700000001</v>
      </c>
      <c r="T7" s="19">
        <v>414.71068000000002</v>
      </c>
      <c r="U7" s="19">
        <v>413.286475</v>
      </c>
      <c r="V7" s="112"/>
      <c r="W7" s="112"/>
    </row>
    <row r="8" spans="1:23" x14ac:dyDescent="0.25">
      <c r="A8" s="12" t="s">
        <v>41</v>
      </c>
      <c r="B8" s="114">
        <v>416.63240999999999</v>
      </c>
      <c r="C8" s="114">
        <v>415.06725299999999</v>
      </c>
      <c r="D8" s="114">
        <v>416.37519300000002</v>
      </c>
      <c r="E8" s="114">
        <v>413.42600800000002</v>
      </c>
      <c r="F8" s="114">
        <v>412.66770500000001</v>
      </c>
      <c r="G8" s="114">
        <v>412.02429799999999</v>
      </c>
      <c r="H8" s="114">
        <v>413.128263</v>
      </c>
      <c r="I8" s="114">
        <v>410.19615599999997</v>
      </c>
      <c r="J8" s="114">
        <v>409.03792800000002</v>
      </c>
      <c r="K8" s="114">
        <v>407.80913199999998</v>
      </c>
      <c r="L8" s="114">
        <v>407.970685</v>
      </c>
      <c r="M8" s="114">
        <v>404.67672800000003</v>
      </c>
      <c r="N8" s="114">
        <v>403.459541</v>
      </c>
      <c r="O8" s="114">
        <v>401.77561700000001</v>
      </c>
      <c r="P8" s="114">
        <v>401.57243199999999</v>
      </c>
      <c r="Q8" s="114">
        <v>399.35015499999997</v>
      </c>
      <c r="R8" s="114">
        <v>397.14017699999999</v>
      </c>
      <c r="S8" s="114">
        <v>394.94242800000001</v>
      </c>
      <c r="T8" s="114">
        <v>394.64786900000001</v>
      </c>
      <c r="U8" s="114">
        <v>392.46391299999999</v>
      </c>
      <c r="V8" s="112"/>
      <c r="W8" s="112"/>
    </row>
    <row r="9" spans="1:23" x14ac:dyDescent="0.25">
      <c r="A9" s="11" t="s">
        <v>32</v>
      </c>
      <c r="B9" s="19">
        <f>SUM(B4:B8)</f>
        <v>83718.451158000011</v>
      </c>
      <c r="C9" s="19">
        <f t="shared" ref="C9:U9" si="0">SUM(C4:C8)</f>
        <v>84378.123927000008</v>
      </c>
      <c r="D9" s="19">
        <f t="shared" si="0"/>
        <v>86873.047181999995</v>
      </c>
      <c r="E9" s="19">
        <f t="shared" si="0"/>
        <v>92010.320211999991</v>
      </c>
      <c r="F9" s="19">
        <f t="shared" si="0"/>
        <v>100962.20425200001</v>
      </c>
      <c r="G9" s="19">
        <f t="shared" si="0"/>
        <v>112515.04332</v>
      </c>
      <c r="H9" s="19">
        <f t="shared" si="0"/>
        <v>126106.17034900001</v>
      </c>
      <c r="I9" s="19">
        <f t="shared" si="0"/>
        <v>137493.03862599999</v>
      </c>
      <c r="J9" s="19">
        <f t="shared" si="0"/>
        <v>148649.66215600001</v>
      </c>
      <c r="K9" s="19">
        <f t="shared" si="0"/>
        <v>158982.13235600002</v>
      </c>
      <c r="L9" s="19">
        <f t="shared" si="0"/>
        <v>167281.51379400003</v>
      </c>
      <c r="M9" s="19">
        <f t="shared" si="0"/>
        <v>172337.43052200001</v>
      </c>
      <c r="N9" s="19">
        <f t="shared" si="0"/>
        <v>175083.63645399999</v>
      </c>
      <c r="O9" s="19">
        <f t="shared" si="0"/>
        <v>175817.44573500002</v>
      </c>
      <c r="P9" s="19">
        <f t="shared" si="0"/>
        <v>176715.19253599999</v>
      </c>
      <c r="Q9" s="19">
        <f t="shared" si="0"/>
        <v>177204.91448499999</v>
      </c>
      <c r="R9" s="19">
        <f t="shared" si="0"/>
        <v>177699.94578799998</v>
      </c>
      <c r="S9" s="19">
        <f t="shared" si="0"/>
        <v>178200.35241900003</v>
      </c>
      <c r="T9" s="19">
        <f t="shared" si="0"/>
        <v>179096.85631599999</v>
      </c>
      <c r="U9" s="19">
        <f t="shared" si="0"/>
        <v>179608.80610200003</v>
      </c>
      <c r="V9" s="112"/>
      <c r="W9" s="112"/>
    </row>
    <row r="10" spans="1:23" x14ac:dyDescent="0.2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23" x14ac:dyDescent="0.25">
      <c r="A11" s="11" t="s">
        <v>59</v>
      </c>
    </row>
    <row r="12" spans="1:23" x14ac:dyDescent="0.25">
      <c r="A12" s="11" t="s">
        <v>58</v>
      </c>
    </row>
    <row r="13" spans="1:23" x14ac:dyDescent="0.25">
      <c r="A13" t="s">
        <v>57</v>
      </c>
    </row>
  </sheetData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32A5D-22A3-477F-B5A0-2A522EEE7A02}">
  <dimension ref="A1:F21"/>
  <sheetViews>
    <sheetView workbookViewId="0">
      <selection activeCell="E24" sqref="E24"/>
    </sheetView>
  </sheetViews>
  <sheetFormatPr defaultRowHeight="15" x14ac:dyDescent="0.25"/>
  <cols>
    <col min="1" max="1" width="12.85546875" bestFit="1" customWidth="1"/>
  </cols>
  <sheetData>
    <row r="1" spans="1:6" x14ac:dyDescent="0.25">
      <c r="A1" s="1" t="s">
        <v>75</v>
      </c>
      <c r="B1" s="3"/>
      <c r="C1" s="3"/>
      <c r="D1" s="3"/>
      <c r="E1" s="3"/>
      <c r="F1" s="3"/>
    </row>
    <row r="2" spans="1:6" x14ac:dyDescent="0.25">
      <c r="A2" s="71"/>
    </row>
    <row r="3" spans="1:6" x14ac:dyDescent="0.25">
      <c r="A3" s="13" t="s">
        <v>42</v>
      </c>
      <c r="B3" s="8"/>
      <c r="C3" s="8"/>
      <c r="D3" s="8"/>
      <c r="E3" s="8"/>
      <c r="F3" s="8"/>
    </row>
    <row r="4" spans="1:6" x14ac:dyDescent="0.25">
      <c r="A4" s="112" t="s">
        <v>40</v>
      </c>
      <c r="B4" s="9" t="s">
        <v>49</v>
      </c>
      <c r="C4" s="9" t="s">
        <v>79</v>
      </c>
      <c r="D4" s="9" t="s">
        <v>80</v>
      </c>
      <c r="E4" s="9" t="s">
        <v>117</v>
      </c>
      <c r="F4" s="9" t="s">
        <v>118</v>
      </c>
    </row>
    <row r="5" spans="1:6" x14ac:dyDescent="0.25">
      <c r="A5" s="10" t="s">
        <v>31</v>
      </c>
      <c r="B5" s="19">
        <v>26933.197382999999</v>
      </c>
      <c r="C5" s="19">
        <v>27577.471684</v>
      </c>
      <c r="D5" s="19">
        <v>28259.379732000001</v>
      </c>
      <c r="E5" s="19">
        <v>28920.793777999999</v>
      </c>
      <c r="F5" s="19">
        <v>29777.645110000001</v>
      </c>
    </row>
    <row r="6" spans="1:6" x14ac:dyDescent="0.25">
      <c r="A6" s="10" t="s">
        <v>28</v>
      </c>
      <c r="B6" s="19">
        <v>28613.631550999999</v>
      </c>
      <c r="C6" s="19">
        <v>28675.708579999999</v>
      </c>
      <c r="D6" s="19">
        <v>28848.102470000002</v>
      </c>
      <c r="E6" s="19">
        <v>29010.810033000002</v>
      </c>
      <c r="F6" s="19">
        <v>29303.927478000001</v>
      </c>
    </row>
    <row r="7" spans="1:6" x14ac:dyDescent="0.25">
      <c r="A7" s="10" t="s">
        <v>29</v>
      </c>
      <c r="B7" s="19">
        <v>28569.058665</v>
      </c>
      <c r="C7" s="19">
        <v>29801.452505000001</v>
      </c>
      <c r="D7" s="19">
        <v>32807.357930999999</v>
      </c>
      <c r="E7" s="19">
        <v>38697.095428000001</v>
      </c>
      <c r="F7" s="19">
        <v>48462.214462999997</v>
      </c>
    </row>
    <row r="8" spans="1:6" x14ac:dyDescent="0.25">
      <c r="A8" s="10" t="s">
        <v>30</v>
      </c>
      <c r="B8" s="19">
        <v>444.64087799999999</v>
      </c>
      <c r="C8" s="19">
        <v>445.32153299999999</v>
      </c>
      <c r="D8" s="19">
        <v>450.31345800000003</v>
      </c>
      <c r="E8" s="19">
        <v>458.02317099999999</v>
      </c>
      <c r="F8" s="19">
        <v>466.92406999999997</v>
      </c>
    </row>
    <row r="9" spans="1:6" x14ac:dyDescent="0.25">
      <c r="A9" s="10" t="s">
        <v>41</v>
      </c>
      <c r="B9" s="114">
        <v>423.21514100000002</v>
      </c>
      <c r="C9" s="114">
        <v>427.97348199999999</v>
      </c>
      <c r="D9" s="114">
        <v>435.74169499999999</v>
      </c>
      <c r="E9" s="114">
        <v>439.191463</v>
      </c>
      <c r="F9" s="114">
        <v>444.97377299999999</v>
      </c>
    </row>
    <row r="10" spans="1:6" x14ac:dyDescent="0.25">
      <c r="A10" s="10" t="s">
        <v>32</v>
      </c>
      <c r="B10" s="19">
        <f>SUM(B5:B9)</f>
        <v>84983.743617999993</v>
      </c>
      <c r="C10" s="19">
        <f t="shared" ref="C10:F10" si="0">SUM(C5:C9)</f>
        <v>86927.927783999985</v>
      </c>
      <c r="D10" s="19">
        <f t="shared" si="0"/>
        <v>90800.895285999999</v>
      </c>
      <c r="E10" s="19">
        <f t="shared" si="0"/>
        <v>97525.913872999998</v>
      </c>
      <c r="F10" s="19">
        <f t="shared" si="0"/>
        <v>108455.68489399999</v>
      </c>
    </row>
    <row r="11" spans="1:6" x14ac:dyDescent="0.25">
      <c r="A11" s="112"/>
      <c r="B11" s="112"/>
      <c r="C11" s="112"/>
      <c r="D11" s="112"/>
      <c r="E11" s="112"/>
      <c r="F11" s="112"/>
    </row>
    <row r="12" spans="1:6" x14ac:dyDescent="0.25">
      <c r="A12" s="13" t="s">
        <v>43</v>
      </c>
      <c r="B12" s="8"/>
      <c r="C12" s="8"/>
      <c r="D12" s="8"/>
      <c r="E12" s="8"/>
      <c r="F12" s="8"/>
    </row>
    <row r="13" spans="1:6" x14ac:dyDescent="0.25">
      <c r="A13" s="8" t="s">
        <v>40</v>
      </c>
      <c r="B13" s="9" t="s">
        <v>49</v>
      </c>
      <c r="C13" s="9" t="s">
        <v>79</v>
      </c>
      <c r="D13" s="9" t="s">
        <v>80</v>
      </c>
      <c r="E13" s="9" t="s">
        <v>117</v>
      </c>
      <c r="F13" s="9" t="s">
        <v>118</v>
      </c>
    </row>
    <row r="14" spans="1:6" x14ac:dyDescent="0.25">
      <c r="A14" s="10" t="s">
        <v>31</v>
      </c>
      <c r="B14" s="19">
        <v>26134.878027999999</v>
      </c>
      <c r="C14" s="19">
        <v>25976.009234000001</v>
      </c>
      <c r="D14" s="19">
        <v>25839.037649000002</v>
      </c>
      <c r="E14" s="19">
        <v>25668.632179</v>
      </c>
      <c r="F14" s="19">
        <v>25659.071070000002</v>
      </c>
    </row>
    <row r="15" spans="1:6" x14ac:dyDescent="0.25">
      <c r="A15" s="10" t="s">
        <v>28</v>
      </c>
      <c r="B15" s="19">
        <v>27751.793609</v>
      </c>
      <c r="C15" s="19">
        <v>26979.447080000002</v>
      </c>
      <c r="D15" s="19">
        <v>26332.259898</v>
      </c>
      <c r="E15" s="19">
        <v>25690.809939999999</v>
      </c>
      <c r="F15" s="19">
        <v>25179.658695999999</v>
      </c>
    </row>
    <row r="16" spans="1:6" x14ac:dyDescent="0.25">
      <c r="A16" s="10" t="s">
        <v>29</v>
      </c>
      <c r="B16" s="19">
        <v>27726.825304000002</v>
      </c>
      <c r="C16" s="19">
        <v>28091.082659</v>
      </c>
      <c r="D16" s="19">
        <v>30081.740188</v>
      </c>
      <c r="E16" s="19">
        <v>34579.709239000003</v>
      </c>
      <c r="F16" s="19">
        <v>42268.424486999997</v>
      </c>
    </row>
    <row r="17" spans="1:6" x14ac:dyDescent="0.25">
      <c r="A17" s="10" t="s">
        <v>30</v>
      </c>
      <c r="B17" s="19">
        <v>429.61207999999999</v>
      </c>
      <c r="C17" s="19">
        <v>417.38136600000001</v>
      </c>
      <c r="D17" s="19">
        <v>409.53864900000002</v>
      </c>
      <c r="E17" s="19">
        <v>404.26410600000003</v>
      </c>
      <c r="F17" s="19">
        <v>399.992366</v>
      </c>
    </row>
    <row r="18" spans="1:6" x14ac:dyDescent="0.25">
      <c r="A18" s="10" t="s">
        <v>41</v>
      </c>
      <c r="B18" s="114">
        <v>410.04967799999997</v>
      </c>
      <c r="C18" s="114">
        <v>402.35850499999998</v>
      </c>
      <c r="D18" s="114">
        <v>397.59102100000001</v>
      </c>
      <c r="E18" s="114">
        <v>388.81101899999999</v>
      </c>
      <c r="F18" s="114">
        <v>382.26569899999998</v>
      </c>
    </row>
    <row r="19" spans="1:6" x14ac:dyDescent="0.25">
      <c r="A19" s="10" t="s">
        <v>32</v>
      </c>
      <c r="B19" s="19">
        <f>SUM(B14:B18)</f>
        <v>82453.158699000007</v>
      </c>
      <c r="C19" s="19">
        <f t="shared" ref="C19:F19" si="1">SUM(C14:C18)</f>
        <v>81866.278844</v>
      </c>
      <c r="D19" s="19">
        <f t="shared" si="1"/>
        <v>83060.167405</v>
      </c>
      <c r="E19" s="19">
        <f t="shared" si="1"/>
        <v>86732.226483000006</v>
      </c>
      <c r="F19" s="19">
        <f t="shared" si="1"/>
        <v>93889.412318000002</v>
      </c>
    </row>
    <row r="21" spans="1:6" x14ac:dyDescent="0.25">
      <c r="A21" s="11" t="s">
        <v>44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workbookViewId="0">
      <selection activeCell="E24" sqref="E24"/>
    </sheetView>
  </sheetViews>
  <sheetFormatPr defaultRowHeight="15" x14ac:dyDescent="0.25"/>
  <cols>
    <col min="2" max="2" width="12.140625" customWidth="1"/>
    <col min="3" max="3" width="4.140625" customWidth="1"/>
    <col min="4" max="4" width="30.140625" bestFit="1" customWidth="1"/>
    <col min="5" max="5" width="11" bestFit="1" customWidth="1"/>
    <col min="6" max="6" width="20.140625" bestFit="1" customWidth="1"/>
    <col min="7" max="7" width="10.85546875" bestFit="1" customWidth="1"/>
    <col min="8" max="8" width="11.7109375" bestFit="1" customWidth="1"/>
    <col min="9" max="9" width="10.85546875" bestFit="1" customWidth="1"/>
    <col min="10" max="10" width="11.7109375" bestFit="1" customWidth="1"/>
    <col min="11" max="11" width="10.85546875" bestFit="1" customWidth="1"/>
  </cols>
  <sheetData>
    <row r="1" spans="1:14" x14ac:dyDescent="0.25">
      <c r="A1" s="132" t="s">
        <v>35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4" x14ac:dyDescent="0.25">
      <c r="A2" s="71"/>
      <c r="B2" s="3"/>
      <c r="C2" s="3"/>
      <c r="D2" s="3"/>
      <c r="E2" s="3"/>
      <c r="F2" s="3"/>
    </row>
    <row r="3" spans="1:14" ht="17.25" x14ac:dyDescent="0.25">
      <c r="A3" s="2" t="s">
        <v>0</v>
      </c>
      <c r="B3" s="2" t="s">
        <v>1</v>
      </c>
      <c r="C3" s="2"/>
      <c r="D3" s="2" t="s">
        <v>23</v>
      </c>
      <c r="E3" s="3" t="s">
        <v>15</v>
      </c>
      <c r="F3" s="3" t="s">
        <v>16</v>
      </c>
      <c r="G3" s="3" t="s">
        <v>55</v>
      </c>
      <c r="H3" s="3"/>
      <c r="I3" s="3" t="s">
        <v>56</v>
      </c>
      <c r="J3" s="3"/>
      <c r="K3" s="3"/>
    </row>
    <row r="4" spans="1:14" ht="17.25" x14ac:dyDescent="0.25">
      <c r="B4" s="2" t="s">
        <v>0</v>
      </c>
      <c r="C4" s="2"/>
      <c r="D4" s="2" t="s">
        <v>24</v>
      </c>
      <c r="E4" s="2" t="s">
        <v>20</v>
      </c>
      <c r="F4" s="2" t="s">
        <v>17</v>
      </c>
      <c r="G4" s="2" t="s">
        <v>53</v>
      </c>
      <c r="H4" s="2" t="s">
        <v>54</v>
      </c>
      <c r="I4" s="2" t="s">
        <v>50</v>
      </c>
      <c r="J4" s="2" t="s">
        <v>51</v>
      </c>
      <c r="K4" s="2" t="s">
        <v>52</v>
      </c>
    </row>
    <row r="5" spans="1:14" x14ac:dyDescent="0.25">
      <c r="A5" s="2">
        <v>1</v>
      </c>
      <c r="B5" s="24" t="s">
        <v>3</v>
      </c>
      <c r="C5" s="2"/>
      <c r="D5" s="120">
        <v>84979</v>
      </c>
      <c r="E5" s="17">
        <v>0.25000000000000011</v>
      </c>
      <c r="F5" s="4">
        <f>ROUND(D5*E5*1000,0)</f>
        <v>21244750</v>
      </c>
      <c r="G5" s="4">
        <f>ROUND(F5*55%,0)</f>
        <v>11684613</v>
      </c>
      <c r="H5" s="14">
        <f>F5-G5</f>
        <v>9560137</v>
      </c>
      <c r="I5" s="14">
        <f>ROUND(G5*50%,0)</f>
        <v>5842307</v>
      </c>
      <c r="J5" s="14">
        <f>ROUND(G5*47%,0)</f>
        <v>5491768</v>
      </c>
      <c r="K5" s="14">
        <f>G5-I5-J5</f>
        <v>350538</v>
      </c>
    </row>
    <row r="6" spans="1:14" x14ac:dyDescent="0.25">
      <c r="A6" s="2">
        <v>2</v>
      </c>
      <c r="B6" s="24" t="s">
        <v>4</v>
      </c>
      <c r="C6" s="2"/>
      <c r="D6" s="120">
        <f>SUMIFS('Response #1'!$B$9:$S$9,'Response #1'!$B$3:$S$3,$B5)</f>
        <v>83718.451158000011</v>
      </c>
      <c r="E6" s="17">
        <v>0.28000000000000003</v>
      </c>
      <c r="F6" s="4">
        <f>ROUND(D6*E6*1000,0)</f>
        <v>23441166</v>
      </c>
      <c r="G6" s="4">
        <f t="shared" ref="G6:G24" si="0">ROUND(F6*55%,0)</f>
        <v>12892641</v>
      </c>
      <c r="H6" s="14">
        <f t="shared" ref="H6:H24" si="1">F6-G6</f>
        <v>10548525</v>
      </c>
      <c r="I6" s="14">
        <f t="shared" ref="I6:I24" si="2">ROUND(G6*50%,0)</f>
        <v>6446321</v>
      </c>
      <c r="J6" s="14">
        <f t="shared" ref="J6:J24" si="3">ROUND(G6*47%,0)</f>
        <v>6059541</v>
      </c>
      <c r="K6" s="14">
        <f t="shared" ref="K6:K24" si="4">G6-I6-J6</f>
        <v>386779</v>
      </c>
      <c r="N6" s="14"/>
    </row>
    <row r="7" spans="1:14" x14ac:dyDescent="0.25">
      <c r="A7" s="2">
        <v>3</v>
      </c>
      <c r="B7" s="24" t="s">
        <v>5</v>
      </c>
      <c r="C7" s="2"/>
      <c r="D7" s="120">
        <f>SUMIFS('Response #1'!$B$9:$S$9,'Response #1'!$B$3:$S$3,$B6)</f>
        <v>84378.123927000008</v>
      </c>
      <c r="E7" s="17">
        <v>0.31</v>
      </c>
      <c r="F7" s="4">
        <f>ROUND(D7*E7*1000,0)</f>
        <v>26157218</v>
      </c>
      <c r="G7" s="4">
        <f t="shared" si="0"/>
        <v>14386470</v>
      </c>
      <c r="H7" s="14">
        <f t="shared" si="1"/>
        <v>11770748</v>
      </c>
      <c r="I7" s="14">
        <f t="shared" si="2"/>
        <v>7193235</v>
      </c>
      <c r="J7" s="14">
        <f t="shared" si="3"/>
        <v>6761641</v>
      </c>
      <c r="K7" s="14">
        <f t="shared" si="4"/>
        <v>431594</v>
      </c>
      <c r="N7" s="14"/>
    </row>
    <row r="8" spans="1:14" x14ac:dyDescent="0.25">
      <c r="A8" s="2">
        <v>4</v>
      </c>
      <c r="B8" s="24" t="s">
        <v>6</v>
      </c>
      <c r="C8" s="2"/>
      <c r="D8" s="120">
        <f>SUMIFS('Response #1'!$B$9:$S$9,'Response #1'!$B$3:$S$3,$B7)</f>
        <v>86873.047181999995</v>
      </c>
      <c r="E8" s="17">
        <v>0.34</v>
      </c>
      <c r="F8" s="4">
        <f t="shared" ref="F8:F22" si="5">ROUND(D8*E8*1000,0)</f>
        <v>29536836</v>
      </c>
      <c r="G8" s="4">
        <f t="shared" si="0"/>
        <v>16245260</v>
      </c>
      <c r="H8" s="14">
        <f t="shared" si="1"/>
        <v>13291576</v>
      </c>
      <c r="I8" s="14">
        <f t="shared" si="2"/>
        <v>8122630</v>
      </c>
      <c r="J8" s="14">
        <f t="shared" si="3"/>
        <v>7635272</v>
      </c>
      <c r="K8" s="14">
        <f t="shared" si="4"/>
        <v>487358</v>
      </c>
      <c r="N8" s="14"/>
    </row>
    <row r="9" spans="1:14" x14ac:dyDescent="0.25">
      <c r="A9" s="2">
        <v>5</v>
      </c>
      <c r="B9" s="24" t="s">
        <v>7</v>
      </c>
      <c r="C9" s="2"/>
      <c r="D9" s="120">
        <f>SUMIFS('Response #1'!$B$9:$S$9,'Response #1'!$B$3:$S$3,$B8)</f>
        <v>92010.320211999991</v>
      </c>
      <c r="E9" s="17">
        <v>0.37</v>
      </c>
      <c r="F9" s="4">
        <f t="shared" si="5"/>
        <v>34043818</v>
      </c>
      <c r="G9" s="4">
        <f t="shared" si="0"/>
        <v>18724100</v>
      </c>
      <c r="H9" s="14">
        <f t="shared" si="1"/>
        <v>15319718</v>
      </c>
      <c r="I9" s="14">
        <f t="shared" si="2"/>
        <v>9362050</v>
      </c>
      <c r="J9" s="14">
        <f t="shared" si="3"/>
        <v>8800327</v>
      </c>
      <c r="K9" s="14">
        <f t="shared" si="4"/>
        <v>561723</v>
      </c>
      <c r="N9" s="14"/>
    </row>
    <row r="10" spans="1:14" x14ac:dyDescent="0.25">
      <c r="A10" s="2">
        <v>6</v>
      </c>
      <c r="B10" s="24" t="s">
        <v>8</v>
      </c>
      <c r="C10" s="2"/>
      <c r="D10" s="120">
        <f>SUMIFS('Response #1'!$B$9:$S$9,'Response #1'!$B$3:$S$3,$B9)</f>
        <v>100962.20425200001</v>
      </c>
      <c r="E10" s="17">
        <v>0.4</v>
      </c>
      <c r="F10" s="4">
        <f t="shared" si="5"/>
        <v>40384882</v>
      </c>
      <c r="G10" s="4">
        <f t="shared" si="0"/>
        <v>22211685</v>
      </c>
      <c r="H10" s="14">
        <f t="shared" si="1"/>
        <v>18173197</v>
      </c>
      <c r="I10" s="14">
        <f t="shared" si="2"/>
        <v>11105843</v>
      </c>
      <c r="J10" s="14">
        <f t="shared" si="3"/>
        <v>10439492</v>
      </c>
      <c r="K10" s="14">
        <f t="shared" si="4"/>
        <v>666350</v>
      </c>
      <c r="N10" s="14"/>
    </row>
    <row r="11" spans="1:14" x14ac:dyDescent="0.25">
      <c r="A11" s="2">
        <v>7</v>
      </c>
      <c r="B11" s="24" t="s">
        <v>9</v>
      </c>
      <c r="C11" s="2"/>
      <c r="D11" s="120">
        <f>SUMIFS('Response #1'!$B$9:$S$9,'Response #1'!$B$3:$S$3,$B10)</f>
        <v>112515.04332</v>
      </c>
      <c r="E11" s="17">
        <v>0.40902608000000001</v>
      </c>
      <c r="F11" s="4">
        <f t="shared" si="5"/>
        <v>46021587</v>
      </c>
      <c r="G11" s="4">
        <f t="shared" si="0"/>
        <v>25311873</v>
      </c>
      <c r="H11" s="14">
        <f t="shared" si="1"/>
        <v>20709714</v>
      </c>
      <c r="I11" s="14">
        <f t="shared" si="2"/>
        <v>12655937</v>
      </c>
      <c r="J11" s="14">
        <f t="shared" si="3"/>
        <v>11896580</v>
      </c>
      <c r="K11" s="14">
        <f t="shared" si="4"/>
        <v>759356</v>
      </c>
      <c r="N11" s="14"/>
    </row>
    <row r="12" spans="1:14" x14ac:dyDescent="0.25">
      <c r="A12" s="2">
        <v>8</v>
      </c>
      <c r="B12" s="24" t="s">
        <v>10</v>
      </c>
      <c r="C12" s="2"/>
      <c r="D12" s="120">
        <f>SUMIFS('Response #1'!$B$9:$S$9,'Response #1'!$B$3:$S$3,$B11)</f>
        <v>126106.17034900001</v>
      </c>
      <c r="E12" s="17">
        <v>0.41825583530041599</v>
      </c>
      <c r="F12" s="4">
        <f t="shared" si="5"/>
        <v>52744642</v>
      </c>
      <c r="G12" s="4">
        <f t="shared" si="0"/>
        <v>29009553</v>
      </c>
      <c r="H12" s="14">
        <f t="shared" si="1"/>
        <v>23735089</v>
      </c>
      <c r="I12" s="14">
        <f t="shared" si="2"/>
        <v>14504777</v>
      </c>
      <c r="J12" s="14">
        <f t="shared" si="3"/>
        <v>13634490</v>
      </c>
      <c r="K12" s="14">
        <f t="shared" si="4"/>
        <v>870286</v>
      </c>
      <c r="N12" s="14"/>
    </row>
    <row r="13" spans="1:14" x14ac:dyDescent="0.25">
      <c r="A13" s="2">
        <v>9</v>
      </c>
      <c r="B13" s="24" t="s">
        <v>11</v>
      </c>
      <c r="C13" s="2"/>
      <c r="D13" s="120">
        <f>SUMIFS('Response #1'!$B$9:$S$9,'Response #1'!$B$3:$S$3,$B12)</f>
        <v>137493.03862599999</v>
      </c>
      <c r="E13" s="17">
        <v>0.42769386187513697</v>
      </c>
      <c r="F13" s="4">
        <f t="shared" si="5"/>
        <v>58804929</v>
      </c>
      <c r="G13" s="4">
        <f t="shared" si="0"/>
        <v>32342711</v>
      </c>
      <c r="H13" s="14">
        <f t="shared" si="1"/>
        <v>26462218</v>
      </c>
      <c r="I13" s="14">
        <f t="shared" si="2"/>
        <v>16171356</v>
      </c>
      <c r="J13" s="14">
        <f t="shared" si="3"/>
        <v>15201074</v>
      </c>
      <c r="K13" s="14">
        <f t="shared" si="4"/>
        <v>970281</v>
      </c>
      <c r="N13" s="14"/>
    </row>
    <row r="14" spans="1:14" x14ac:dyDescent="0.25">
      <c r="A14" s="2">
        <v>10</v>
      </c>
      <c r="B14" s="24" t="s">
        <v>12</v>
      </c>
      <c r="C14" s="2"/>
      <c r="D14" s="120">
        <f>SUMIFS('Response #1'!$B$9:$S$9,'Response #1'!$B$3:$S$3,$B13)</f>
        <v>148649.66215600001</v>
      </c>
      <c r="E14" s="17">
        <v>0.43734485940712181</v>
      </c>
      <c r="F14" s="4">
        <f t="shared" si="5"/>
        <v>65011166</v>
      </c>
      <c r="G14" s="4">
        <f t="shared" si="0"/>
        <v>35756141</v>
      </c>
      <c r="H14" s="14">
        <f t="shared" si="1"/>
        <v>29255025</v>
      </c>
      <c r="I14" s="14">
        <f t="shared" si="2"/>
        <v>17878071</v>
      </c>
      <c r="J14" s="14">
        <f t="shared" si="3"/>
        <v>16805386</v>
      </c>
      <c r="K14" s="14">
        <f t="shared" si="4"/>
        <v>1072684</v>
      </c>
      <c r="N14" s="14"/>
    </row>
    <row r="15" spans="1:14" x14ac:dyDescent="0.25">
      <c r="A15" s="2">
        <v>11</v>
      </c>
      <c r="B15" s="24" t="s">
        <v>13</v>
      </c>
      <c r="C15" s="2"/>
      <c r="D15" s="120">
        <f>SUMIFS('Response #1'!$B$9:$S$9,'Response #1'!$B$3:$S$3,$B14)</f>
        <v>158982.13235600002</v>
      </c>
      <c r="E15" s="17">
        <v>0.44721363362861538</v>
      </c>
      <c r="F15" s="4">
        <f t="shared" si="5"/>
        <v>71098977</v>
      </c>
      <c r="G15" s="4">
        <f t="shared" si="0"/>
        <v>39104437</v>
      </c>
      <c r="H15" s="14">
        <f t="shared" si="1"/>
        <v>31994540</v>
      </c>
      <c r="I15" s="14">
        <f t="shared" si="2"/>
        <v>19552219</v>
      </c>
      <c r="J15" s="14">
        <f t="shared" si="3"/>
        <v>18379085</v>
      </c>
      <c r="K15" s="14">
        <f t="shared" si="4"/>
        <v>1173133</v>
      </c>
      <c r="N15" s="14"/>
    </row>
    <row r="16" spans="1:14" x14ac:dyDescent="0.25">
      <c r="A16" s="2">
        <v>12</v>
      </c>
      <c r="B16" s="24" t="s">
        <v>14</v>
      </c>
      <c r="C16" s="2"/>
      <c r="D16" s="120">
        <f>SUMIFS('Response #1'!$B$9:$S$9,'Response #1'!$B$3:$S$3,$B15)</f>
        <v>167281.51379400003</v>
      </c>
      <c r="E16" s="17">
        <v>0.45730509871417185</v>
      </c>
      <c r="F16" s="4">
        <f t="shared" si="5"/>
        <v>76498689</v>
      </c>
      <c r="G16" s="4">
        <f t="shared" si="0"/>
        <v>42074279</v>
      </c>
      <c r="H16" s="14">
        <f t="shared" si="1"/>
        <v>34424410</v>
      </c>
      <c r="I16" s="14">
        <f t="shared" si="2"/>
        <v>21037140</v>
      </c>
      <c r="J16" s="14">
        <f t="shared" si="3"/>
        <v>19774911</v>
      </c>
      <c r="K16" s="14">
        <f t="shared" si="4"/>
        <v>1262228</v>
      </c>
      <c r="N16" s="14"/>
    </row>
    <row r="17" spans="1:14" x14ac:dyDescent="0.25">
      <c r="A17" s="2">
        <v>13</v>
      </c>
      <c r="B17" s="24" t="s">
        <v>33</v>
      </c>
      <c r="C17" s="2"/>
      <c r="D17" s="120">
        <f>SUMIFS('Response #1'!$B$9:$S$9,'Response #1'!$B$3:$S$3,$B16)</f>
        <v>172337.43052200001</v>
      </c>
      <c r="E17" s="17">
        <v>0.46762427972767689</v>
      </c>
      <c r="F17" s="4">
        <f t="shared" si="5"/>
        <v>80589167</v>
      </c>
      <c r="G17" s="4">
        <f t="shared" si="0"/>
        <v>44324042</v>
      </c>
      <c r="H17" s="14">
        <f t="shared" si="1"/>
        <v>36265125</v>
      </c>
      <c r="I17" s="14">
        <f t="shared" si="2"/>
        <v>22162021</v>
      </c>
      <c r="J17" s="14">
        <f t="shared" si="3"/>
        <v>20832300</v>
      </c>
      <c r="K17" s="14">
        <f t="shared" si="4"/>
        <v>1329721</v>
      </c>
      <c r="N17" s="14"/>
    </row>
    <row r="18" spans="1:14" x14ac:dyDescent="0.25">
      <c r="A18" s="2">
        <v>14</v>
      </c>
      <c r="B18" s="24" t="s">
        <v>34</v>
      </c>
      <c r="C18" s="2"/>
      <c r="D18" s="120">
        <f>SUMIFS('Response #1'!$B$9:$S$9,'Response #1'!$B$3:$S$3,$B17)</f>
        <v>175083.63645399999</v>
      </c>
      <c r="E18" s="17">
        <v>0.47817631512458791</v>
      </c>
      <c r="F18" s="4">
        <f t="shared" si="5"/>
        <v>83720848</v>
      </c>
      <c r="G18" s="4">
        <f t="shared" si="0"/>
        <v>46046466</v>
      </c>
      <c r="H18" s="14">
        <f t="shared" si="1"/>
        <v>37674382</v>
      </c>
      <c r="I18" s="14">
        <f t="shared" si="2"/>
        <v>23023233</v>
      </c>
      <c r="J18" s="14">
        <f t="shared" si="3"/>
        <v>21641839</v>
      </c>
      <c r="K18" s="14">
        <f t="shared" si="4"/>
        <v>1381394</v>
      </c>
      <c r="N18" s="14"/>
    </row>
    <row r="19" spans="1:14" x14ac:dyDescent="0.25">
      <c r="A19" s="2">
        <v>15</v>
      </c>
      <c r="B19" s="24" t="s">
        <v>47</v>
      </c>
      <c r="C19" s="2"/>
      <c r="D19" s="120">
        <f>SUMIFS('Response #1'!$B$9:$S$9,'Response #1'!$B$3:$S$3,$B18)</f>
        <v>175817.44573500002</v>
      </c>
      <c r="E19" s="17">
        <v>0.48896645931063754</v>
      </c>
      <c r="F19" s="4">
        <f t="shared" si="5"/>
        <v>85968834</v>
      </c>
      <c r="G19" s="4">
        <f t="shared" si="0"/>
        <v>47282859</v>
      </c>
      <c r="H19" s="14">
        <f t="shared" si="1"/>
        <v>38685975</v>
      </c>
      <c r="I19" s="14">
        <f t="shared" si="2"/>
        <v>23641430</v>
      </c>
      <c r="J19" s="14">
        <f t="shared" si="3"/>
        <v>22222944</v>
      </c>
      <c r="K19" s="14">
        <f t="shared" si="4"/>
        <v>1418485</v>
      </c>
      <c r="N19" s="14"/>
    </row>
    <row r="20" spans="1:14" x14ac:dyDescent="0.25">
      <c r="A20" s="2">
        <v>16</v>
      </c>
      <c r="B20" s="24" t="s">
        <v>48</v>
      </c>
      <c r="C20" s="2"/>
      <c r="D20" s="120">
        <f>SUMIFS('Response #1'!$B$9:$S$9,'Response #1'!$B$3:$S$3,$B19)</f>
        <v>176715.19253599999</v>
      </c>
      <c r="E20" s="17">
        <v>0.50000008525827411</v>
      </c>
      <c r="F20" s="4">
        <f t="shared" si="5"/>
        <v>88357611</v>
      </c>
      <c r="G20" s="4">
        <f t="shared" si="0"/>
        <v>48596686</v>
      </c>
      <c r="H20" s="14">
        <f t="shared" si="1"/>
        <v>39760925</v>
      </c>
      <c r="I20" s="14">
        <f t="shared" si="2"/>
        <v>24298343</v>
      </c>
      <c r="J20" s="14">
        <f t="shared" si="3"/>
        <v>22840442</v>
      </c>
      <c r="K20" s="14">
        <f t="shared" si="4"/>
        <v>1457901</v>
      </c>
      <c r="N20" s="14"/>
    </row>
    <row r="21" spans="1:14" x14ac:dyDescent="0.25">
      <c r="A21" s="2">
        <v>17</v>
      </c>
      <c r="B21" s="24" t="s">
        <v>77</v>
      </c>
      <c r="D21" s="120">
        <f>SUMIFS('Response #1'!$B$9:$S$9,'Response #1'!$B$3:$S$3,$B20)</f>
        <v>177204.91448499999</v>
      </c>
      <c r="E21" s="17">
        <v>0.5</v>
      </c>
      <c r="F21" s="4">
        <f t="shared" si="5"/>
        <v>88602457</v>
      </c>
      <c r="G21" s="4">
        <f t="shared" si="0"/>
        <v>48731351</v>
      </c>
      <c r="H21" s="14">
        <f t="shared" si="1"/>
        <v>39871106</v>
      </c>
      <c r="I21" s="14">
        <f t="shared" si="2"/>
        <v>24365676</v>
      </c>
      <c r="J21" s="14">
        <f t="shared" si="3"/>
        <v>22903735</v>
      </c>
      <c r="K21" s="14">
        <f t="shared" si="4"/>
        <v>1461940</v>
      </c>
      <c r="N21" s="14"/>
    </row>
    <row r="22" spans="1:14" x14ac:dyDescent="0.25">
      <c r="A22" s="2">
        <v>18</v>
      </c>
      <c r="B22" s="24" t="s">
        <v>78</v>
      </c>
      <c r="D22" s="120">
        <f>SUMIFS('Response #1'!$B$9:$S$9,'Response #1'!$B$3:$S$3,$B21)</f>
        <v>177699.94578799998</v>
      </c>
      <c r="E22" s="17">
        <v>0.5</v>
      </c>
      <c r="F22" s="4">
        <f t="shared" si="5"/>
        <v>88849973</v>
      </c>
      <c r="G22" s="4">
        <f t="shared" si="0"/>
        <v>48867485</v>
      </c>
      <c r="H22" s="14">
        <f t="shared" si="1"/>
        <v>39982488</v>
      </c>
      <c r="I22" s="14">
        <f t="shared" si="2"/>
        <v>24433743</v>
      </c>
      <c r="J22" s="14">
        <f t="shared" si="3"/>
        <v>22967718</v>
      </c>
      <c r="K22" s="14">
        <f t="shared" si="4"/>
        <v>1466024</v>
      </c>
      <c r="N22" s="14"/>
    </row>
    <row r="23" spans="1:14" x14ac:dyDescent="0.25">
      <c r="A23" s="2">
        <v>19</v>
      </c>
      <c r="B23" s="24" t="s">
        <v>115</v>
      </c>
      <c r="D23" s="120">
        <f>SUMIFS('Response #1'!$B$9:$S$9,'Response #1'!$B$3:$S$3,$B22)</f>
        <v>178200.35241900003</v>
      </c>
      <c r="E23" s="17">
        <v>0.5</v>
      </c>
      <c r="F23" s="4">
        <f>ROUND(D23*E23*1000,0)</f>
        <v>89100176</v>
      </c>
      <c r="G23" s="4">
        <f t="shared" si="0"/>
        <v>49005097</v>
      </c>
      <c r="H23" s="14">
        <f t="shared" si="1"/>
        <v>40095079</v>
      </c>
      <c r="I23" s="14">
        <f t="shared" si="2"/>
        <v>24502549</v>
      </c>
      <c r="J23" s="14">
        <f t="shared" si="3"/>
        <v>23032396</v>
      </c>
      <c r="K23" s="14">
        <f t="shared" si="4"/>
        <v>1470152</v>
      </c>
      <c r="N23" s="14"/>
    </row>
    <row r="24" spans="1:14" x14ac:dyDescent="0.25">
      <c r="A24" s="2">
        <v>20</v>
      </c>
      <c r="B24" s="24" t="s">
        <v>116</v>
      </c>
      <c r="D24" s="120">
        <f>SUMIFS('Response #1'!$B$9:$T$9,'Response #1'!$B$3:$T$3,$B23)</f>
        <v>179096.85631599999</v>
      </c>
      <c r="E24" s="17">
        <v>0.5</v>
      </c>
      <c r="F24" s="4">
        <f>ROUND(D24*E24*1000,0)</f>
        <v>89548428</v>
      </c>
      <c r="G24" s="4">
        <f t="shared" si="0"/>
        <v>49251635</v>
      </c>
      <c r="H24" s="14">
        <f t="shared" si="1"/>
        <v>40296793</v>
      </c>
      <c r="I24" s="14">
        <f t="shared" si="2"/>
        <v>24625818</v>
      </c>
      <c r="J24" s="14">
        <f t="shared" si="3"/>
        <v>23148268</v>
      </c>
      <c r="K24" s="14">
        <f t="shared" si="4"/>
        <v>1477549</v>
      </c>
      <c r="N24" s="14"/>
    </row>
    <row r="25" spans="1:14" x14ac:dyDescent="0.25">
      <c r="N25" s="14"/>
    </row>
    <row r="27" spans="1:14" x14ac:dyDescent="0.25">
      <c r="A27" s="5" t="s">
        <v>61</v>
      </c>
      <c r="B27" s="6"/>
      <c r="C27" s="6"/>
      <c r="D27" s="6"/>
      <c r="E27" s="6"/>
      <c r="F27" s="6"/>
    </row>
    <row r="28" spans="1:14" x14ac:dyDescent="0.25">
      <c r="A28" s="5" t="s">
        <v>147</v>
      </c>
      <c r="B28" s="6"/>
      <c r="C28" s="6"/>
      <c r="D28" s="6"/>
      <c r="E28" s="6"/>
      <c r="F28" s="6"/>
    </row>
    <row r="29" spans="1:14" x14ac:dyDescent="0.25">
      <c r="A29" s="6" t="s">
        <v>60</v>
      </c>
      <c r="B29" s="6"/>
      <c r="C29" s="6"/>
      <c r="D29" s="6"/>
    </row>
  </sheetData>
  <mergeCells count="1">
    <mergeCell ref="A1:K1"/>
  </mergeCells>
  <phoneticPr fontId="8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A4AAF-0F65-4531-8AB7-DFB49EDD4EA8}">
  <dimension ref="A1:AF49"/>
  <sheetViews>
    <sheetView zoomScale="85" zoomScaleNormal="85" workbookViewId="0">
      <pane xSplit="2" ySplit="5" topLeftCell="C6" activePane="bottomRight" state="frozen"/>
      <selection activeCell="E24" sqref="E24"/>
      <selection pane="topRight" activeCell="E24" sqref="E24"/>
      <selection pane="bottomLeft" activeCell="E24" sqref="E24"/>
      <selection pane="bottomRight" activeCell="E24" sqref="E24"/>
    </sheetView>
  </sheetViews>
  <sheetFormatPr defaultRowHeight="15" x14ac:dyDescent="0.25"/>
  <cols>
    <col min="1" max="1" width="4.85546875" style="6" bestFit="1" customWidth="1"/>
    <col min="2" max="2" width="9.7109375" style="6" bestFit="1" customWidth="1"/>
    <col min="3" max="3" width="3.5703125" style="6" customWidth="1"/>
    <col min="4" max="6" width="10.7109375" style="6" customWidth="1"/>
    <col min="7" max="7" width="11.7109375" style="6" customWidth="1"/>
    <col min="8" max="9" width="9.140625" style="6"/>
    <col min="10" max="11" width="11.28515625" style="6" bestFit="1" customWidth="1"/>
    <col min="12" max="12" width="21.85546875" style="69" bestFit="1" customWidth="1"/>
    <col min="13" max="13" width="25.7109375" style="69" bestFit="1" customWidth="1"/>
    <col min="14" max="14" width="21.85546875" style="6" bestFit="1" customWidth="1"/>
    <col min="15" max="15" width="9.140625" style="6"/>
    <col min="16" max="16" width="2.5703125" style="6" customWidth="1"/>
    <col min="17" max="17" width="6.7109375" style="6" bestFit="1" customWidth="1"/>
    <col min="18" max="21" width="11.28515625" style="6" bestFit="1" customWidth="1"/>
    <col min="22" max="22" width="22.28515625" style="6" bestFit="1" customWidth="1"/>
    <col min="23" max="23" width="24" style="69" bestFit="1" customWidth="1"/>
    <col min="24" max="24" width="21.85546875" style="69" bestFit="1" customWidth="1"/>
    <col min="25" max="25" width="25.7109375" style="69" bestFit="1" customWidth="1"/>
    <col min="26" max="26" width="21.85546875" style="69" bestFit="1" customWidth="1"/>
    <col min="27" max="27" width="25.7109375" style="6" bestFit="1" customWidth="1"/>
    <col min="28" max="28" width="21.85546875" style="6" bestFit="1" customWidth="1"/>
    <col min="29" max="29" width="7.5703125" style="6" bestFit="1" customWidth="1"/>
    <col min="30" max="31" width="11.28515625" style="6" bestFit="1" customWidth="1"/>
    <col min="32" max="32" width="9.85546875" style="6" bestFit="1" customWidth="1"/>
    <col min="33" max="16384" width="9.140625" style="6"/>
  </cols>
  <sheetData>
    <row r="1" spans="1:32" x14ac:dyDescent="0.25">
      <c r="A1" s="134" t="s">
        <v>88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</row>
    <row r="2" spans="1:32" x14ac:dyDescent="0.25">
      <c r="A2" s="71"/>
      <c r="B2" s="26"/>
      <c r="C2" s="26"/>
      <c r="D2" s="26"/>
      <c r="E2" s="26"/>
      <c r="F2" s="26"/>
      <c r="G2" s="26"/>
    </row>
    <row r="3" spans="1:32" ht="15.75" thickBot="1" x14ac:dyDescent="0.3">
      <c r="A3" s="25"/>
      <c r="B3" s="26"/>
      <c r="C3" s="26"/>
      <c r="D3" s="27" t="s">
        <v>89</v>
      </c>
      <c r="E3" s="26"/>
      <c r="F3" s="26"/>
      <c r="G3" s="26"/>
      <c r="AC3" s="28"/>
    </row>
    <row r="4" spans="1:32" ht="15.75" thickBot="1" x14ac:dyDescent="0.3">
      <c r="A4" s="29" t="s">
        <v>0</v>
      </c>
      <c r="B4" s="29" t="s">
        <v>1</v>
      </c>
      <c r="C4" s="29"/>
      <c r="D4" s="136" t="s">
        <v>90</v>
      </c>
      <c r="E4" s="136"/>
      <c r="F4" s="136"/>
      <c r="G4" s="136"/>
      <c r="I4" s="30" t="s">
        <v>91</v>
      </c>
      <c r="J4" s="31"/>
      <c r="K4" s="31"/>
      <c r="L4" s="31"/>
      <c r="M4" s="31"/>
      <c r="N4" s="31"/>
      <c r="O4" s="32"/>
      <c r="Q4" s="137">
        <v>0</v>
      </c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9"/>
    </row>
    <row r="5" spans="1:32" ht="17.25" x14ac:dyDescent="0.25">
      <c r="B5" s="29" t="s">
        <v>0</v>
      </c>
      <c r="C5" s="29"/>
      <c r="D5" s="29" t="s">
        <v>91</v>
      </c>
      <c r="E5" s="29" t="s">
        <v>92</v>
      </c>
      <c r="F5" s="29" t="s">
        <v>93</v>
      </c>
      <c r="G5" s="29" t="s">
        <v>2</v>
      </c>
      <c r="I5" s="29" t="s">
        <v>94</v>
      </c>
      <c r="J5" s="29" t="s">
        <v>95</v>
      </c>
      <c r="K5" s="29" t="s">
        <v>96</v>
      </c>
      <c r="L5" s="29" t="s">
        <v>139</v>
      </c>
      <c r="M5" s="29" t="s">
        <v>140</v>
      </c>
      <c r="N5" s="29" t="s">
        <v>141</v>
      </c>
      <c r="O5" s="29" t="s">
        <v>2</v>
      </c>
      <c r="P5" s="29"/>
      <c r="Q5" s="29" t="s">
        <v>94</v>
      </c>
      <c r="R5" s="29" t="s">
        <v>95</v>
      </c>
      <c r="S5" s="29" t="s">
        <v>96</v>
      </c>
      <c r="T5" s="29" t="s">
        <v>96</v>
      </c>
      <c r="U5" s="29" t="s">
        <v>96</v>
      </c>
      <c r="V5" s="6" t="s">
        <v>97</v>
      </c>
      <c r="W5" s="29" t="s">
        <v>142</v>
      </c>
      <c r="X5" s="29" t="s">
        <v>143</v>
      </c>
      <c r="Y5" s="29" t="s">
        <v>144</v>
      </c>
      <c r="Z5" s="29" t="s">
        <v>139</v>
      </c>
      <c r="AA5" s="29" t="s">
        <v>145</v>
      </c>
      <c r="AB5" s="29" t="s">
        <v>141</v>
      </c>
      <c r="AC5" s="29" t="s">
        <v>38</v>
      </c>
      <c r="AD5" s="29" t="s">
        <v>37</v>
      </c>
      <c r="AE5" s="29" t="s">
        <v>98</v>
      </c>
      <c r="AF5" s="29" t="s">
        <v>2</v>
      </c>
    </row>
    <row r="6" spans="1:32" s="115" customFormat="1" x14ac:dyDescent="0.25">
      <c r="A6" s="29">
        <v>1</v>
      </c>
      <c r="B6" s="29" t="s">
        <v>3</v>
      </c>
      <c r="C6" s="29"/>
      <c r="D6" s="33">
        <f>O6</f>
        <v>2686725</v>
      </c>
      <c r="E6" s="33">
        <f>AF6</f>
        <v>5582381.7333333334</v>
      </c>
      <c r="F6" s="33">
        <v>0</v>
      </c>
      <c r="G6" s="33">
        <f>SUM(D6:F6)</f>
        <v>8269106.7333333334</v>
      </c>
      <c r="H6" s="34"/>
      <c r="I6" s="33">
        <v>1233838</v>
      </c>
      <c r="J6" s="33">
        <f>[1]Summary!E5</f>
        <v>678782</v>
      </c>
      <c r="K6" s="33">
        <f>[1]Summary!E39</f>
        <v>774105</v>
      </c>
      <c r="L6" s="33">
        <v>0</v>
      </c>
      <c r="M6" s="33">
        <v>0</v>
      </c>
      <c r="N6" s="33">
        <v>0</v>
      </c>
      <c r="O6" s="34">
        <f>SUM(I6:N6)</f>
        <v>2686725</v>
      </c>
      <c r="P6" s="34"/>
      <c r="Q6" s="33">
        <v>27887</v>
      </c>
      <c r="R6" s="33">
        <f>[1]Summary!K5</f>
        <v>140680</v>
      </c>
      <c r="S6" s="33">
        <f>[1]Summary!E21</f>
        <v>281360</v>
      </c>
      <c r="T6" s="33">
        <f>[1]Summary!K21</f>
        <v>251450</v>
      </c>
      <c r="U6" s="33">
        <f>[1]Summary!K39</f>
        <v>692019</v>
      </c>
      <c r="V6" s="33">
        <f>[1]Summary!E60</f>
        <v>38217</v>
      </c>
      <c r="W6" s="33">
        <f>[1]Summary!K60</f>
        <v>6109</v>
      </c>
      <c r="X6" s="33">
        <v>0</v>
      </c>
      <c r="Y6" s="33">
        <v>0</v>
      </c>
      <c r="Z6" s="33">
        <v>0</v>
      </c>
      <c r="AA6" s="33">
        <v>0</v>
      </c>
      <c r="AB6" s="33">
        <v>0</v>
      </c>
      <c r="AC6" s="33">
        <v>825543.6</v>
      </c>
      <c r="AD6" s="33">
        <v>859347.1333333333</v>
      </c>
      <c r="AE6" s="33">
        <v>2459769</v>
      </c>
      <c r="AF6" s="34">
        <f>SUM(Q6:AE6)</f>
        <v>5582381.7333333334</v>
      </c>
    </row>
    <row r="7" spans="1:32" s="115" customFormat="1" x14ac:dyDescent="0.25">
      <c r="A7" s="29">
        <v>2</v>
      </c>
      <c r="B7" s="29" t="s">
        <v>4</v>
      </c>
      <c r="C7" s="29"/>
      <c r="D7" s="33">
        <f t="shared" ref="D7:D25" si="0">O7</f>
        <v>2686725</v>
      </c>
      <c r="E7" s="33">
        <f t="shared" ref="E7:E25" si="1">AF7</f>
        <v>5582381.7333333334</v>
      </c>
      <c r="F7" s="33">
        <v>0</v>
      </c>
      <c r="G7" s="33">
        <f t="shared" ref="G7:G25" si="2">SUM(D7:F7)</f>
        <v>8269106.7333333334</v>
      </c>
      <c r="H7" s="34"/>
      <c r="I7" s="33">
        <v>1233838</v>
      </c>
      <c r="J7" s="33">
        <f>[1]Summary!E6</f>
        <v>678782</v>
      </c>
      <c r="K7" s="33">
        <f>[1]Summary!E40</f>
        <v>774105</v>
      </c>
      <c r="L7" s="33">
        <v>0</v>
      </c>
      <c r="M7" s="33">
        <v>0</v>
      </c>
      <c r="N7" s="33">
        <v>0</v>
      </c>
      <c r="O7" s="34">
        <f t="shared" ref="O7:O24" si="3">SUM(I7:N7)</f>
        <v>2686725</v>
      </c>
      <c r="P7" s="34"/>
      <c r="Q7" s="33">
        <v>27887</v>
      </c>
      <c r="R7" s="33">
        <f>[1]Summary!K6</f>
        <v>140680</v>
      </c>
      <c r="S7" s="33">
        <f>[1]Summary!E22</f>
        <v>281360</v>
      </c>
      <c r="T7" s="33">
        <f>[1]Summary!K22</f>
        <v>251450</v>
      </c>
      <c r="U7" s="33">
        <f>[1]Summary!K40</f>
        <v>692019</v>
      </c>
      <c r="V7" s="33">
        <f>[1]Summary!E61</f>
        <v>38217</v>
      </c>
      <c r="W7" s="33">
        <f>[1]Summary!K61</f>
        <v>6109</v>
      </c>
      <c r="X7" s="33">
        <v>0</v>
      </c>
      <c r="Y7" s="33">
        <v>0</v>
      </c>
      <c r="Z7" s="33">
        <v>0</v>
      </c>
      <c r="AA7" s="33">
        <v>0</v>
      </c>
      <c r="AB7" s="33">
        <v>0</v>
      </c>
      <c r="AC7" s="33">
        <v>825543.6</v>
      </c>
      <c r="AD7" s="33">
        <v>859347.1333333333</v>
      </c>
      <c r="AE7" s="33">
        <v>2459769</v>
      </c>
      <c r="AF7" s="34">
        <f t="shared" ref="AF7:AF25" si="4">SUM(Q7:AE7)</f>
        <v>5582381.7333333334</v>
      </c>
    </row>
    <row r="8" spans="1:32" s="115" customFormat="1" x14ac:dyDescent="0.25">
      <c r="A8" s="29">
        <v>3</v>
      </c>
      <c r="B8" s="29" t="s">
        <v>5</v>
      </c>
      <c r="C8" s="29"/>
      <c r="D8" s="33">
        <f t="shared" si="0"/>
        <v>2686725</v>
      </c>
      <c r="E8" s="33">
        <f t="shared" si="1"/>
        <v>7089452.7333333334</v>
      </c>
      <c r="F8" s="33">
        <v>0</v>
      </c>
      <c r="G8" s="33">
        <f t="shared" si="2"/>
        <v>9776177.7333333343</v>
      </c>
      <c r="H8" s="34"/>
      <c r="I8" s="33">
        <v>1233838</v>
      </c>
      <c r="J8" s="33">
        <f>[1]Summary!E7</f>
        <v>678782</v>
      </c>
      <c r="K8" s="33">
        <f>[1]Summary!E41</f>
        <v>774105</v>
      </c>
      <c r="L8" s="33">
        <v>0</v>
      </c>
      <c r="M8" s="33">
        <v>0</v>
      </c>
      <c r="N8" s="33">
        <v>0</v>
      </c>
      <c r="O8" s="34">
        <f t="shared" si="3"/>
        <v>2686725</v>
      </c>
      <c r="P8" s="34"/>
      <c r="Q8" s="33">
        <v>27887</v>
      </c>
      <c r="R8" s="33">
        <f>[1]Summary!K7</f>
        <v>140680</v>
      </c>
      <c r="S8" s="33">
        <f>[1]Summary!E23</f>
        <v>281360</v>
      </c>
      <c r="T8" s="33">
        <f>[1]Summary!K23</f>
        <v>251450</v>
      </c>
      <c r="U8" s="33">
        <f>[1]Summary!K41</f>
        <v>692019</v>
      </c>
      <c r="V8" s="33">
        <f>[1]Summary!E62</f>
        <v>38217</v>
      </c>
      <c r="W8" s="33">
        <f>[1]Summary!K62</f>
        <v>6109</v>
      </c>
      <c r="X8" s="33">
        <f>[1]Summary!E85</f>
        <v>714385</v>
      </c>
      <c r="Y8" s="33">
        <f>[1]Summary!K85</f>
        <v>792686</v>
      </c>
      <c r="Z8" s="33">
        <v>0</v>
      </c>
      <c r="AA8" s="33">
        <v>0</v>
      </c>
      <c r="AB8" s="33">
        <v>0</v>
      </c>
      <c r="AC8" s="33">
        <v>825543.6</v>
      </c>
      <c r="AD8" s="33">
        <v>859347.1333333333</v>
      </c>
      <c r="AE8" s="33">
        <v>2459769</v>
      </c>
      <c r="AF8" s="34">
        <f t="shared" si="4"/>
        <v>7089452.7333333334</v>
      </c>
    </row>
    <row r="9" spans="1:32" s="115" customFormat="1" x14ac:dyDescent="0.25">
      <c r="A9" s="29">
        <v>4</v>
      </c>
      <c r="B9" s="29" t="s">
        <v>6</v>
      </c>
      <c r="C9" s="29"/>
      <c r="D9" s="33">
        <f t="shared" si="0"/>
        <v>3286905</v>
      </c>
      <c r="E9" s="33">
        <f t="shared" si="1"/>
        <v>8004111.7333333325</v>
      </c>
      <c r="F9" s="33">
        <v>0</v>
      </c>
      <c r="G9" s="33">
        <f t="shared" si="2"/>
        <v>11291016.733333332</v>
      </c>
      <c r="H9" s="34"/>
      <c r="I9" s="33">
        <v>1233838</v>
      </c>
      <c r="J9" s="33">
        <f>[1]Summary!E8</f>
        <v>678782</v>
      </c>
      <c r="K9" s="33">
        <f>[1]Summary!E42</f>
        <v>774105</v>
      </c>
      <c r="L9" s="33">
        <f>[1]Summary!K110</f>
        <v>600180</v>
      </c>
      <c r="M9" s="33">
        <v>0</v>
      </c>
      <c r="N9" s="33">
        <v>0</v>
      </c>
      <c r="O9" s="34">
        <f t="shared" si="3"/>
        <v>3286905</v>
      </c>
      <c r="P9" s="34"/>
      <c r="Q9" s="33">
        <v>27887</v>
      </c>
      <c r="R9" s="33">
        <f>[1]Summary!K8</f>
        <v>140680</v>
      </c>
      <c r="S9" s="33">
        <f>[1]Summary!E24</f>
        <v>281360</v>
      </c>
      <c r="T9" s="33">
        <f>[1]Summary!K24</f>
        <v>251450</v>
      </c>
      <c r="U9" s="33">
        <f>[1]Summary!K42</f>
        <v>692019</v>
      </c>
      <c r="V9" s="33">
        <f>[1]Summary!E63</f>
        <v>38217</v>
      </c>
      <c r="W9" s="33">
        <f>[1]Summary!K63</f>
        <v>6109</v>
      </c>
      <c r="X9" s="33">
        <f>[1]Summary!E86</f>
        <v>714385</v>
      </c>
      <c r="Y9" s="33">
        <f>[1]Summary!K86</f>
        <v>792686</v>
      </c>
      <c r="Z9" s="33">
        <f>[1]Summary!E110</f>
        <v>914659</v>
      </c>
      <c r="AA9" s="33">
        <v>0</v>
      </c>
      <c r="AB9" s="33">
        <v>0</v>
      </c>
      <c r="AC9" s="33">
        <v>825543.6</v>
      </c>
      <c r="AD9" s="33">
        <v>859347.1333333333</v>
      </c>
      <c r="AE9" s="33">
        <v>2459769</v>
      </c>
      <c r="AF9" s="34">
        <f t="shared" si="4"/>
        <v>8004111.7333333325</v>
      </c>
    </row>
    <row r="10" spans="1:32" s="115" customFormat="1" x14ac:dyDescent="0.25">
      <c r="A10" s="29">
        <v>5</v>
      </c>
      <c r="B10" s="29" t="s">
        <v>7</v>
      </c>
      <c r="C10" s="29"/>
      <c r="D10" s="33">
        <f t="shared" si="0"/>
        <v>5362590</v>
      </c>
      <c r="E10" s="33">
        <f t="shared" si="1"/>
        <v>9327590.7333333325</v>
      </c>
      <c r="F10" s="33">
        <v>0</v>
      </c>
      <c r="G10" s="33">
        <f t="shared" si="2"/>
        <v>14690180.733333332</v>
      </c>
      <c r="H10" s="34"/>
      <c r="I10" s="33">
        <v>1233838</v>
      </c>
      <c r="J10" s="33">
        <f>[1]Summary!E9</f>
        <v>678782</v>
      </c>
      <c r="K10" s="33">
        <f>[1]Summary!E43</f>
        <v>774105</v>
      </c>
      <c r="L10" s="33">
        <f>[1]Summary!K111</f>
        <v>600180</v>
      </c>
      <c r="M10" s="33">
        <f>[1]Summary!K135</f>
        <v>260535</v>
      </c>
      <c r="N10" s="33">
        <f>[1]Summary!K160</f>
        <v>1815150</v>
      </c>
      <c r="O10" s="34">
        <f t="shared" si="3"/>
        <v>5362590</v>
      </c>
      <c r="P10" s="34"/>
      <c r="Q10" s="33">
        <v>27887</v>
      </c>
      <c r="R10" s="33">
        <f>[1]Summary!K9</f>
        <v>140680</v>
      </c>
      <c r="S10" s="33">
        <f>[1]Summary!E25</f>
        <v>281360</v>
      </c>
      <c r="T10" s="33">
        <f>[1]Summary!K25</f>
        <v>251450</v>
      </c>
      <c r="U10" s="33">
        <f>[1]Summary!K43</f>
        <v>692019</v>
      </c>
      <c r="V10" s="33">
        <f>[1]Summary!E64</f>
        <v>38217</v>
      </c>
      <c r="W10" s="33">
        <f>[1]Summary!K64</f>
        <v>6109</v>
      </c>
      <c r="X10" s="33">
        <f>[1]Summary!E87</f>
        <v>714385</v>
      </c>
      <c r="Y10" s="33">
        <f>[1]Summary!K87</f>
        <v>792686</v>
      </c>
      <c r="Z10" s="33">
        <f>[1]Summary!E111</f>
        <v>914659</v>
      </c>
      <c r="AA10" s="33">
        <f>[1]Summary!E135</f>
        <v>623667</v>
      </c>
      <c r="AB10" s="33">
        <f>[1]Summary!E160</f>
        <v>699812</v>
      </c>
      <c r="AC10" s="33">
        <v>825543.6</v>
      </c>
      <c r="AD10" s="33">
        <v>859347.1333333333</v>
      </c>
      <c r="AE10" s="33">
        <v>2459769</v>
      </c>
      <c r="AF10" s="34">
        <f t="shared" si="4"/>
        <v>9327590.7333333325</v>
      </c>
    </row>
    <row r="11" spans="1:32" s="115" customFormat="1" x14ac:dyDescent="0.25">
      <c r="A11" s="29">
        <v>6</v>
      </c>
      <c r="B11" s="29" t="s">
        <v>8</v>
      </c>
      <c r="C11" s="29"/>
      <c r="D11" s="33">
        <f t="shared" si="0"/>
        <v>5362590</v>
      </c>
      <c r="E11" s="33">
        <f t="shared" si="1"/>
        <v>9327590.7333333325</v>
      </c>
      <c r="F11" s="33">
        <v>0</v>
      </c>
      <c r="G11" s="33">
        <f t="shared" si="2"/>
        <v>14690180.733333332</v>
      </c>
      <c r="H11" s="34"/>
      <c r="I11" s="33">
        <v>1233838</v>
      </c>
      <c r="J11" s="33">
        <f>[1]Summary!E10</f>
        <v>678782</v>
      </c>
      <c r="K11" s="33">
        <f>[1]Summary!E44</f>
        <v>774105</v>
      </c>
      <c r="L11" s="33">
        <f>[1]Summary!K112</f>
        <v>600180</v>
      </c>
      <c r="M11" s="33">
        <f>[1]Summary!K136</f>
        <v>260535</v>
      </c>
      <c r="N11" s="33">
        <f>[1]Summary!K161</f>
        <v>1815150</v>
      </c>
      <c r="O11" s="34">
        <f t="shared" si="3"/>
        <v>5362590</v>
      </c>
      <c r="P11" s="34"/>
      <c r="Q11" s="33">
        <v>27887</v>
      </c>
      <c r="R11" s="33">
        <f>[1]Summary!K10</f>
        <v>140680</v>
      </c>
      <c r="S11" s="33">
        <f>[1]Summary!E26</f>
        <v>281360</v>
      </c>
      <c r="T11" s="33">
        <f>[1]Summary!K26</f>
        <v>251450</v>
      </c>
      <c r="U11" s="33">
        <f>[1]Summary!K44</f>
        <v>692019</v>
      </c>
      <c r="V11" s="33">
        <f>[1]Summary!E65</f>
        <v>38217</v>
      </c>
      <c r="W11" s="33">
        <f>[1]Summary!K65</f>
        <v>6109</v>
      </c>
      <c r="X11" s="33">
        <f>[1]Summary!E88</f>
        <v>714385</v>
      </c>
      <c r="Y11" s="33">
        <f>[1]Summary!K88</f>
        <v>792686</v>
      </c>
      <c r="Z11" s="33">
        <f>[1]Summary!E112</f>
        <v>914659</v>
      </c>
      <c r="AA11" s="33">
        <f>[1]Summary!E136</f>
        <v>623667</v>
      </c>
      <c r="AB11" s="33">
        <f>[1]Summary!E161</f>
        <v>699812</v>
      </c>
      <c r="AC11" s="33">
        <v>825543.6</v>
      </c>
      <c r="AD11" s="33">
        <v>859347.1333333333</v>
      </c>
      <c r="AE11" s="33">
        <v>2459769</v>
      </c>
      <c r="AF11" s="34">
        <f t="shared" si="4"/>
        <v>9327590.7333333325</v>
      </c>
    </row>
    <row r="12" spans="1:32" s="115" customFormat="1" x14ac:dyDescent="0.25">
      <c r="A12" s="29">
        <v>7</v>
      </c>
      <c r="B12" s="29" t="s">
        <v>9</v>
      </c>
      <c r="C12" s="29"/>
      <c r="D12" s="33">
        <f t="shared" si="0"/>
        <v>5362590</v>
      </c>
      <c r="E12" s="33">
        <f t="shared" si="1"/>
        <v>9327590.7333333325</v>
      </c>
      <c r="F12" s="33">
        <v>0</v>
      </c>
      <c r="G12" s="33">
        <f t="shared" si="2"/>
        <v>14690180.733333332</v>
      </c>
      <c r="H12" s="34"/>
      <c r="I12" s="33">
        <v>1233838</v>
      </c>
      <c r="J12" s="33">
        <f>[1]Summary!E11</f>
        <v>678782</v>
      </c>
      <c r="K12" s="33">
        <f>[1]Summary!E45</f>
        <v>774105</v>
      </c>
      <c r="L12" s="33">
        <f>[1]Summary!K113</f>
        <v>600180</v>
      </c>
      <c r="M12" s="33">
        <f>[1]Summary!K137</f>
        <v>260535</v>
      </c>
      <c r="N12" s="33">
        <f>[1]Summary!K162</f>
        <v>1815150</v>
      </c>
      <c r="O12" s="34">
        <f t="shared" si="3"/>
        <v>5362590</v>
      </c>
      <c r="P12" s="34"/>
      <c r="Q12" s="33">
        <v>27887</v>
      </c>
      <c r="R12" s="33">
        <f>[1]Summary!K11</f>
        <v>140680</v>
      </c>
      <c r="S12" s="33">
        <f>[1]Summary!E27</f>
        <v>281360</v>
      </c>
      <c r="T12" s="33">
        <f>[1]Summary!K27</f>
        <v>251450</v>
      </c>
      <c r="U12" s="33">
        <f>[1]Summary!K45</f>
        <v>692019</v>
      </c>
      <c r="V12" s="33">
        <f>[1]Summary!E66</f>
        <v>38217</v>
      </c>
      <c r="W12" s="33">
        <f>[1]Summary!K66</f>
        <v>6109</v>
      </c>
      <c r="X12" s="33">
        <f>[1]Summary!E89</f>
        <v>714385</v>
      </c>
      <c r="Y12" s="33">
        <f>[1]Summary!K89</f>
        <v>792686</v>
      </c>
      <c r="Z12" s="33">
        <f>[1]Summary!E113</f>
        <v>914659</v>
      </c>
      <c r="AA12" s="33">
        <f>[1]Summary!E137</f>
        <v>623667</v>
      </c>
      <c r="AB12" s="33">
        <f>[1]Summary!E162</f>
        <v>699812</v>
      </c>
      <c r="AC12" s="33">
        <v>825543.6</v>
      </c>
      <c r="AD12" s="33">
        <v>859347.1333333333</v>
      </c>
      <c r="AE12" s="33">
        <v>2459769</v>
      </c>
      <c r="AF12" s="34">
        <f t="shared" si="4"/>
        <v>9327590.7333333325</v>
      </c>
    </row>
    <row r="13" spans="1:32" s="115" customFormat="1" x14ac:dyDescent="0.25">
      <c r="A13" s="29">
        <v>8</v>
      </c>
      <c r="B13" s="29" t="s">
        <v>10</v>
      </c>
      <c r="C13" s="29"/>
      <c r="D13" s="33">
        <f t="shared" si="0"/>
        <v>4128752</v>
      </c>
      <c r="E13" s="33">
        <f t="shared" si="1"/>
        <v>9299703.7333333325</v>
      </c>
      <c r="F13" s="33">
        <v>0</v>
      </c>
      <c r="G13" s="33">
        <f t="shared" si="2"/>
        <v>13428455.733333332</v>
      </c>
      <c r="H13" s="34"/>
      <c r="I13" s="33">
        <v>0</v>
      </c>
      <c r="J13" s="33">
        <f>[1]Summary!E12</f>
        <v>678782</v>
      </c>
      <c r="K13" s="33">
        <f>[1]Summary!E46</f>
        <v>774105</v>
      </c>
      <c r="L13" s="33">
        <f>[1]Summary!K114</f>
        <v>600180</v>
      </c>
      <c r="M13" s="33">
        <f>[1]Summary!K138</f>
        <v>260535</v>
      </c>
      <c r="N13" s="33">
        <f>[1]Summary!K163</f>
        <v>1815150</v>
      </c>
      <c r="O13" s="34">
        <f t="shared" si="3"/>
        <v>4128752</v>
      </c>
      <c r="P13" s="34"/>
      <c r="Q13" s="33">
        <v>0</v>
      </c>
      <c r="R13" s="33">
        <f>[1]Summary!K12</f>
        <v>140680</v>
      </c>
      <c r="S13" s="33">
        <f>[1]Summary!E28</f>
        <v>281360</v>
      </c>
      <c r="T13" s="33">
        <f>[1]Summary!K28</f>
        <v>251450</v>
      </c>
      <c r="U13" s="33">
        <f>[1]Summary!K46</f>
        <v>692019</v>
      </c>
      <c r="V13" s="33">
        <f>[1]Summary!E67</f>
        <v>38217</v>
      </c>
      <c r="W13" s="33">
        <f>[1]Summary!K67</f>
        <v>6109</v>
      </c>
      <c r="X13" s="33">
        <f>[1]Summary!E90</f>
        <v>714385</v>
      </c>
      <c r="Y13" s="33">
        <f>[1]Summary!K90</f>
        <v>792686</v>
      </c>
      <c r="Z13" s="33">
        <f>[1]Summary!E114</f>
        <v>914659</v>
      </c>
      <c r="AA13" s="33">
        <f>[1]Summary!E138</f>
        <v>623667</v>
      </c>
      <c r="AB13" s="33">
        <f>[1]Summary!E163</f>
        <v>699812</v>
      </c>
      <c r="AC13" s="33">
        <v>825543.6</v>
      </c>
      <c r="AD13" s="33">
        <v>859347.1333333333</v>
      </c>
      <c r="AE13" s="33">
        <v>2459769</v>
      </c>
      <c r="AF13" s="34">
        <f t="shared" si="4"/>
        <v>9299703.7333333325</v>
      </c>
    </row>
    <row r="14" spans="1:32" s="115" customFormat="1" x14ac:dyDescent="0.25">
      <c r="A14" s="29">
        <v>9</v>
      </c>
      <c r="B14" s="29" t="s">
        <v>11</v>
      </c>
      <c r="C14" s="29"/>
      <c r="D14" s="33">
        <f t="shared" si="0"/>
        <v>3952315.8333333335</v>
      </c>
      <c r="E14" s="33">
        <f t="shared" si="1"/>
        <v>9299703.7333333325</v>
      </c>
      <c r="F14" s="33">
        <v>0</v>
      </c>
      <c r="G14" s="33">
        <f t="shared" si="2"/>
        <v>13252019.566666666</v>
      </c>
      <c r="H14" s="34"/>
      <c r="I14" s="33">
        <v>0</v>
      </c>
      <c r="J14" s="33">
        <f>[1]Summary!E13</f>
        <v>678782</v>
      </c>
      <c r="K14" s="33">
        <f>[1]Summary!E47</f>
        <v>597668.83333333337</v>
      </c>
      <c r="L14" s="33">
        <f>[1]Summary!K115</f>
        <v>600180</v>
      </c>
      <c r="M14" s="33">
        <f>[1]Summary!K139</f>
        <v>260535</v>
      </c>
      <c r="N14" s="33">
        <f>[1]Summary!K164</f>
        <v>1815150</v>
      </c>
      <c r="O14" s="34">
        <f t="shared" si="3"/>
        <v>3952315.8333333335</v>
      </c>
      <c r="P14" s="34"/>
      <c r="Q14" s="33">
        <v>0</v>
      </c>
      <c r="R14" s="33">
        <f>[1]Summary!K13</f>
        <v>140680</v>
      </c>
      <c r="S14" s="33">
        <f>[1]Summary!E29</f>
        <v>281360</v>
      </c>
      <c r="T14" s="33">
        <f>[1]Summary!K29</f>
        <v>251450</v>
      </c>
      <c r="U14" s="33">
        <f>[1]Summary!K47</f>
        <v>692019</v>
      </c>
      <c r="V14" s="33">
        <f>[1]Summary!E68</f>
        <v>38217</v>
      </c>
      <c r="W14" s="33">
        <f>[1]Summary!K68</f>
        <v>6109</v>
      </c>
      <c r="X14" s="33">
        <f>[1]Summary!E91</f>
        <v>714385</v>
      </c>
      <c r="Y14" s="33">
        <f>[1]Summary!K91</f>
        <v>792686</v>
      </c>
      <c r="Z14" s="33">
        <f>[1]Summary!E115</f>
        <v>914659</v>
      </c>
      <c r="AA14" s="33">
        <f>[1]Summary!E139</f>
        <v>623667</v>
      </c>
      <c r="AB14" s="33">
        <f>[1]Summary!E164</f>
        <v>699812</v>
      </c>
      <c r="AC14" s="33">
        <v>825543.6</v>
      </c>
      <c r="AD14" s="33">
        <v>859347.1333333333</v>
      </c>
      <c r="AE14" s="33">
        <v>2459769</v>
      </c>
      <c r="AF14" s="34">
        <f t="shared" si="4"/>
        <v>9299703.7333333325</v>
      </c>
    </row>
    <row r="15" spans="1:32" s="115" customFormat="1" x14ac:dyDescent="0.25">
      <c r="A15" s="29">
        <v>10</v>
      </c>
      <c r="B15" s="29" t="s">
        <v>12</v>
      </c>
      <c r="C15" s="29"/>
      <c r="D15" s="33">
        <f t="shared" si="0"/>
        <v>3826290</v>
      </c>
      <c r="E15" s="33">
        <f t="shared" si="1"/>
        <v>9299703.7333333325</v>
      </c>
      <c r="F15" s="33">
        <v>0</v>
      </c>
      <c r="G15" s="33">
        <f t="shared" si="2"/>
        <v>13125993.733333332</v>
      </c>
      <c r="H15" s="34"/>
      <c r="I15" s="33">
        <v>0</v>
      </c>
      <c r="J15" s="33">
        <f>[1]Summary!E14</f>
        <v>678782</v>
      </c>
      <c r="K15" s="33">
        <f>[1]Summary!E48</f>
        <v>471643</v>
      </c>
      <c r="L15" s="33">
        <f>[1]Summary!K116</f>
        <v>600180</v>
      </c>
      <c r="M15" s="33">
        <f>[1]Summary!K140</f>
        <v>260535</v>
      </c>
      <c r="N15" s="33">
        <f>[1]Summary!K165</f>
        <v>1815150</v>
      </c>
      <c r="O15" s="34">
        <f t="shared" si="3"/>
        <v>3826290</v>
      </c>
      <c r="P15" s="34"/>
      <c r="Q15" s="33">
        <v>0</v>
      </c>
      <c r="R15" s="33">
        <f>[1]Summary!K14</f>
        <v>140680</v>
      </c>
      <c r="S15" s="33">
        <f>[1]Summary!E30</f>
        <v>281360</v>
      </c>
      <c r="T15" s="33">
        <f>[1]Summary!K30</f>
        <v>251450</v>
      </c>
      <c r="U15" s="33">
        <f>[1]Summary!K48</f>
        <v>692019</v>
      </c>
      <c r="V15" s="33">
        <f>[1]Summary!E69</f>
        <v>38217</v>
      </c>
      <c r="W15" s="33">
        <f>[1]Summary!K69</f>
        <v>6109</v>
      </c>
      <c r="X15" s="33">
        <f>[1]Summary!E92</f>
        <v>714385</v>
      </c>
      <c r="Y15" s="33">
        <f>[1]Summary!K92</f>
        <v>792686</v>
      </c>
      <c r="Z15" s="33">
        <f>[1]Summary!E116</f>
        <v>914659</v>
      </c>
      <c r="AA15" s="33">
        <f>[1]Summary!E140</f>
        <v>623667</v>
      </c>
      <c r="AB15" s="33">
        <f>[1]Summary!E165</f>
        <v>699812</v>
      </c>
      <c r="AC15" s="33">
        <v>825543.6</v>
      </c>
      <c r="AD15" s="33">
        <v>859347.1333333333</v>
      </c>
      <c r="AE15" s="33">
        <v>2459769</v>
      </c>
      <c r="AF15" s="34">
        <f t="shared" si="4"/>
        <v>9299703.7333333325</v>
      </c>
    </row>
    <row r="16" spans="1:32" s="115" customFormat="1" x14ac:dyDescent="0.25">
      <c r="A16" s="29">
        <v>11</v>
      </c>
      <c r="B16" s="29" t="s">
        <v>13</v>
      </c>
      <c r="C16" s="29"/>
      <c r="D16" s="33">
        <f t="shared" si="0"/>
        <v>3474590</v>
      </c>
      <c r="E16" s="33">
        <f t="shared" si="1"/>
        <v>9299703.7333333325</v>
      </c>
      <c r="F16" s="33">
        <v>0</v>
      </c>
      <c r="G16" s="33">
        <f t="shared" si="2"/>
        <v>12774293.733333332</v>
      </c>
      <c r="H16" s="34"/>
      <c r="I16" s="33">
        <v>0</v>
      </c>
      <c r="J16" s="33">
        <f>[1]Summary!E15</f>
        <v>327082</v>
      </c>
      <c r="K16" s="33">
        <f>[1]Summary!E49</f>
        <v>471643</v>
      </c>
      <c r="L16" s="33">
        <f>[1]Summary!K117</f>
        <v>600180</v>
      </c>
      <c r="M16" s="33">
        <f>[1]Summary!K141</f>
        <v>260535</v>
      </c>
      <c r="N16" s="33">
        <f>[1]Summary!K166</f>
        <v>1815150</v>
      </c>
      <c r="O16" s="34">
        <f t="shared" si="3"/>
        <v>3474590</v>
      </c>
      <c r="P16" s="34"/>
      <c r="Q16" s="33">
        <v>0</v>
      </c>
      <c r="R16" s="33">
        <f>[1]Summary!K15</f>
        <v>140680</v>
      </c>
      <c r="S16" s="33">
        <f>[1]Summary!E31</f>
        <v>281360</v>
      </c>
      <c r="T16" s="33">
        <f>[1]Summary!K31</f>
        <v>251450</v>
      </c>
      <c r="U16" s="33">
        <f>[1]Summary!K49</f>
        <v>692019</v>
      </c>
      <c r="V16" s="33">
        <f>[1]Summary!E70</f>
        <v>38217</v>
      </c>
      <c r="W16" s="33">
        <f>[1]Summary!K70</f>
        <v>6109</v>
      </c>
      <c r="X16" s="33">
        <f>[1]Summary!E93</f>
        <v>714385</v>
      </c>
      <c r="Y16" s="33">
        <f>[1]Summary!K93</f>
        <v>792686</v>
      </c>
      <c r="Z16" s="33">
        <f>[1]Summary!E117</f>
        <v>914659</v>
      </c>
      <c r="AA16" s="33">
        <f>[1]Summary!E141</f>
        <v>623667</v>
      </c>
      <c r="AB16" s="33">
        <f>[1]Summary!E166</f>
        <v>699812</v>
      </c>
      <c r="AC16" s="33">
        <v>825543.6</v>
      </c>
      <c r="AD16" s="33">
        <v>859347.1333333333</v>
      </c>
      <c r="AE16" s="33">
        <v>2459769</v>
      </c>
      <c r="AF16" s="34">
        <f t="shared" si="4"/>
        <v>9299703.7333333325</v>
      </c>
    </row>
    <row r="17" spans="1:32" s="115" customFormat="1" x14ac:dyDescent="0.25">
      <c r="A17" s="29">
        <v>12</v>
      </c>
      <c r="B17" s="29" t="s">
        <v>14</v>
      </c>
      <c r="C17" s="29"/>
      <c r="D17" s="33">
        <f t="shared" si="0"/>
        <v>2675865</v>
      </c>
      <c r="E17" s="33">
        <f t="shared" si="1"/>
        <v>8728756.2333333325</v>
      </c>
      <c r="F17" s="33">
        <v>0</v>
      </c>
      <c r="G17" s="33">
        <f t="shared" si="2"/>
        <v>11404621.233333332</v>
      </c>
      <c r="H17" s="34"/>
      <c r="I17" s="33">
        <v>0</v>
      </c>
      <c r="J17" s="33">
        <v>0</v>
      </c>
      <c r="K17" s="33">
        <v>0</v>
      </c>
      <c r="L17" s="33">
        <f>[1]Summary!K118</f>
        <v>600180</v>
      </c>
      <c r="M17" s="33">
        <f>[1]Summary!K142</f>
        <v>260535</v>
      </c>
      <c r="N17" s="33">
        <f>[1]Summary!K167</f>
        <v>1815150</v>
      </c>
      <c r="O17" s="34">
        <f t="shared" si="3"/>
        <v>2675865</v>
      </c>
      <c r="P17" s="34"/>
      <c r="R17" s="33">
        <v>0</v>
      </c>
      <c r="S17" s="33">
        <f>[1]Summary!E32</f>
        <v>64126.833333333336</v>
      </c>
      <c r="T17" s="33">
        <f>[1]Summary!K32</f>
        <v>104770.83333333334</v>
      </c>
      <c r="U17" s="33">
        <f>[1]Summary!K50</f>
        <v>626697.75</v>
      </c>
      <c r="V17" s="33">
        <f>[1]Summary!E71</f>
        <v>37183.083333333336</v>
      </c>
      <c r="W17" s="33">
        <f>[1]Summary!K71</f>
        <v>6109</v>
      </c>
      <c r="X17" s="33">
        <f>[1]Summary!E94</f>
        <v>714385</v>
      </c>
      <c r="Y17" s="33">
        <f>[1]Summary!K94</f>
        <v>792686</v>
      </c>
      <c r="Z17" s="33">
        <f>[1]Summary!E118</f>
        <v>914659</v>
      </c>
      <c r="AA17" s="33">
        <f>[1]Summary!E142</f>
        <v>623667</v>
      </c>
      <c r="AB17" s="33">
        <f>[1]Summary!E167</f>
        <v>699812</v>
      </c>
      <c r="AC17" s="33">
        <v>825543.6</v>
      </c>
      <c r="AD17" s="33">
        <v>859347.1333333333</v>
      </c>
      <c r="AE17" s="33">
        <v>2459769</v>
      </c>
      <c r="AF17" s="34">
        <f t="shared" si="4"/>
        <v>8728756.2333333325</v>
      </c>
    </row>
    <row r="18" spans="1:32" s="115" customFormat="1" x14ac:dyDescent="0.25">
      <c r="A18" s="29">
        <v>13</v>
      </c>
      <c r="B18" s="29" t="s">
        <v>33</v>
      </c>
      <c r="C18" s="29"/>
      <c r="D18" s="33">
        <f t="shared" si="0"/>
        <v>2675865</v>
      </c>
      <c r="E18" s="33">
        <f t="shared" si="1"/>
        <v>8329367.4000000004</v>
      </c>
      <c r="F18" s="33">
        <v>0</v>
      </c>
      <c r="G18" s="33">
        <f t="shared" si="2"/>
        <v>11005232.4</v>
      </c>
      <c r="H18" s="34"/>
      <c r="I18" s="33">
        <v>0</v>
      </c>
      <c r="J18" s="33">
        <v>0</v>
      </c>
      <c r="K18" s="33">
        <v>0</v>
      </c>
      <c r="L18" s="33">
        <f>[1]Summary!K119</f>
        <v>600180</v>
      </c>
      <c r="M18" s="33">
        <f>[1]Summary!K143</f>
        <v>260535</v>
      </c>
      <c r="N18" s="33">
        <f>[1]Summary!K168</f>
        <v>1815150</v>
      </c>
      <c r="O18" s="34">
        <f t="shared" si="3"/>
        <v>2675865</v>
      </c>
      <c r="P18" s="34"/>
      <c r="R18" s="33">
        <v>0</v>
      </c>
      <c r="S18" s="33">
        <v>0</v>
      </c>
      <c r="T18" s="33">
        <v>0</v>
      </c>
      <c r="U18" s="33">
        <f>[1]Summary!K51</f>
        <v>409730.5</v>
      </c>
      <c r="V18" s="33">
        <f>[1]Summary!E72</f>
        <v>23659.166666666668</v>
      </c>
      <c r="W18" s="33">
        <f>[1]Summary!K72</f>
        <v>6109</v>
      </c>
      <c r="X18" s="33">
        <f>[1]Summary!E95</f>
        <v>714385</v>
      </c>
      <c r="Y18" s="33">
        <f>[1]Summary!K95</f>
        <v>792686</v>
      </c>
      <c r="Z18" s="33">
        <f>[1]Summary!E119</f>
        <v>914659</v>
      </c>
      <c r="AA18" s="33">
        <f>[1]Summary!E143</f>
        <v>623667</v>
      </c>
      <c r="AB18" s="33">
        <f>[1]Summary!E168</f>
        <v>699812</v>
      </c>
      <c r="AC18" s="33">
        <v>825543.6</v>
      </c>
      <c r="AD18" s="33">
        <v>859347.1333333333</v>
      </c>
      <c r="AE18" s="33">
        <v>2459769</v>
      </c>
      <c r="AF18" s="34">
        <f t="shared" si="4"/>
        <v>8329367.4000000004</v>
      </c>
    </row>
    <row r="19" spans="1:32" s="115" customFormat="1" x14ac:dyDescent="0.25">
      <c r="A19" s="29">
        <v>14</v>
      </c>
      <c r="B19" s="29" t="s">
        <v>34</v>
      </c>
      <c r="C19" s="29"/>
      <c r="D19" s="33">
        <f t="shared" si="0"/>
        <v>2675865</v>
      </c>
      <c r="E19" s="33">
        <f t="shared" si="1"/>
        <v>8296915.7333333325</v>
      </c>
      <c r="F19" s="33">
        <v>0</v>
      </c>
      <c r="G19" s="33">
        <f t="shared" si="2"/>
        <v>10972780.733333332</v>
      </c>
      <c r="H19" s="34"/>
      <c r="I19" s="33">
        <v>0</v>
      </c>
      <c r="J19" s="33">
        <v>0</v>
      </c>
      <c r="K19" s="33">
        <v>0</v>
      </c>
      <c r="L19" s="33">
        <f>[1]Summary!K120</f>
        <v>600180</v>
      </c>
      <c r="M19" s="33">
        <f>[1]Summary!K144</f>
        <v>260535</v>
      </c>
      <c r="N19" s="33">
        <f>[1]Summary!K169</f>
        <v>1815150</v>
      </c>
      <c r="O19" s="34">
        <f t="shared" si="3"/>
        <v>2675865</v>
      </c>
      <c r="P19" s="34"/>
      <c r="R19" s="33">
        <v>0</v>
      </c>
      <c r="S19" s="33">
        <v>0</v>
      </c>
      <c r="T19" s="33">
        <v>0</v>
      </c>
      <c r="U19" s="33">
        <f>[1]Summary!K52</f>
        <v>400938</v>
      </c>
      <c r="V19" s="33">
        <v>0</v>
      </c>
      <c r="W19" s="33">
        <f>[1]Summary!K73</f>
        <v>6109</v>
      </c>
      <c r="X19" s="33">
        <f>[1]Summary!E96</f>
        <v>714385</v>
      </c>
      <c r="Y19" s="33">
        <f>[1]Summary!K96</f>
        <v>792686</v>
      </c>
      <c r="Z19" s="33">
        <f>[1]Summary!E120</f>
        <v>914659</v>
      </c>
      <c r="AA19" s="33">
        <f>[1]Summary!E144</f>
        <v>623667</v>
      </c>
      <c r="AB19" s="33">
        <f>[1]Summary!E169</f>
        <v>699812</v>
      </c>
      <c r="AC19" s="33">
        <v>825543.6</v>
      </c>
      <c r="AD19" s="33">
        <v>859347.1333333333</v>
      </c>
      <c r="AE19" s="33">
        <v>2459769</v>
      </c>
      <c r="AF19" s="34">
        <f t="shared" si="4"/>
        <v>8296915.7333333325</v>
      </c>
    </row>
    <row r="20" spans="1:32" s="115" customFormat="1" x14ac:dyDescent="0.25">
      <c r="A20" s="29">
        <v>15</v>
      </c>
      <c r="B20" s="29" t="s">
        <v>47</v>
      </c>
      <c r="C20" s="29"/>
      <c r="D20" s="33">
        <f t="shared" si="0"/>
        <v>2675865</v>
      </c>
      <c r="E20" s="33">
        <f t="shared" si="1"/>
        <v>7895977.7333333325</v>
      </c>
      <c r="F20" s="33">
        <v>0</v>
      </c>
      <c r="G20" s="33">
        <f t="shared" si="2"/>
        <v>10571842.733333332</v>
      </c>
      <c r="H20" s="34"/>
      <c r="I20" s="33">
        <v>0</v>
      </c>
      <c r="J20" s="33">
        <v>0</v>
      </c>
      <c r="K20" s="33">
        <v>0</v>
      </c>
      <c r="L20" s="33">
        <f>[1]Summary!K121</f>
        <v>600180</v>
      </c>
      <c r="M20" s="33">
        <f>[1]Summary!K145</f>
        <v>260535</v>
      </c>
      <c r="N20" s="33">
        <f>[1]Summary!K170</f>
        <v>1815150</v>
      </c>
      <c r="O20" s="34">
        <f t="shared" si="3"/>
        <v>2675865</v>
      </c>
      <c r="P20" s="34"/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f>[1]Summary!K74</f>
        <v>6109</v>
      </c>
      <c r="X20" s="33">
        <f>[1]Summary!E97</f>
        <v>714385</v>
      </c>
      <c r="Y20" s="33">
        <f>[1]Summary!K97</f>
        <v>792686</v>
      </c>
      <c r="Z20" s="33">
        <f>[1]Summary!E121</f>
        <v>914659</v>
      </c>
      <c r="AA20" s="33">
        <f>[1]Summary!E145</f>
        <v>623667</v>
      </c>
      <c r="AB20" s="33">
        <f>[1]Summary!E170</f>
        <v>699812</v>
      </c>
      <c r="AC20" s="33">
        <v>825543.6</v>
      </c>
      <c r="AD20" s="33">
        <v>859347.1333333333</v>
      </c>
      <c r="AE20" s="33">
        <v>2459769</v>
      </c>
      <c r="AF20" s="34">
        <f t="shared" si="4"/>
        <v>7895977.7333333325</v>
      </c>
    </row>
    <row r="21" spans="1:32" s="115" customFormat="1" x14ac:dyDescent="0.25">
      <c r="A21" s="29">
        <v>16</v>
      </c>
      <c r="B21" s="29" t="s">
        <v>48</v>
      </c>
      <c r="C21" s="29"/>
      <c r="D21" s="33">
        <f t="shared" si="0"/>
        <v>2675865</v>
      </c>
      <c r="E21" s="33">
        <f t="shared" si="1"/>
        <v>5708666</v>
      </c>
      <c r="F21" s="33">
        <v>0</v>
      </c>
      <c r="G21" s="33">
        <f t="shared" si="2"/>
        <v>8384531</v>
      </c>
      <c r="H21" s="34"/>
      <c r="I21" s="33">
        <v>0</v>
      </c>
      <c r="J21" s="33">
        <v>0</v>
      </c>
      <c r="K21" s="33">
        <v>0</v>
      </c>
      <c r="L21" s="33">
        <f>[1]Summary!K122</f>
        <v>600180</v>
      </c>
      <c r="M21" s="33">
        <f>[1]Summary!K146</f>
        <v>260535</v>
      </c>
      <c r="N21" s="33">
        <f>[1]Summary!K171</f>
        <v>1815150</v>
      </c>
      <c r="O21" s="34">
        <f t="shared" si="3"/>
        <v>2675865</v>
      </c>
      <c r="P21" s="34"/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f>[1]Summary!K75</f>
        <v>6109</v>
      </c>
      <c r="X21" s="33">
        <f>[1]Summary!E98</f>
        <v>714385</v>
      </c>
      <c r="Y21" s="33">
        <f>[1]Summary!K98</f>
        <v>792686</v>
      </c>
      <c r="Z21" s="33">
        <f>[1]Summary!E122</f>
        <v>914659</v>
      </c>
      <c r="AA21" s="33">
        <f>[1]Summary!E146</f>
        <v>623667</v>
      </c>
      <c r="AB21" s="33">
        <f>[1]Summary!E171</f>
        <v>699812</v>
      </c>
      <c r="AC21" s="33">
        <v>0</v>
      </c>
      <c r="AD21" s="33">
        <v>6527.4</v>
      </c>
      <c r="AE21" s="33">
        <v>1950820.6</v>
      </c>
      <c r="AF21" s="34">
        <f t="shared" si="4"/>
        <v>5708666</v>
      </c>
    </row>
    <row r="22" spans="1:32" s="115" customFormat="1" x14ac:dyDescent="0.25">
      <c r="A22" s="29">
        <v>17</v>
      </c>
      <c r="B22" s="29" t="s">
        <v>77</v>
      </c>
      <c r="D22" s="33">
        <f t="shared" si="0"/>
        <v>2675865</v>
      </c>
      <c r="E22" s="33">
        <f t="shared" si="1"/>
        <v>5708666</v>
      </c>
      <c r="F22" s="33">
        <v>0</v>
      </c>
      <c r="G22" s="33">
        <f t="shared" si="2"/>
        <v>8384531</v>
      </c>
      <c r="H22" s="34"/>
      <c r="I22" s="33">
        <v>0</v>
      </c>
      <c r="J22" s="33">
        <v>0</v>
      </c>
      <c r="K22" s="33">
        <v>0</v>
      </c>
      <c r="L22" s="33">
        <f>[1]Summary!K123</f>
        <v>600180</v>
      </c>
      <c r="M22" s="33">
        <f>[1]Summary!K147</f>
        <v>260535</v>
      </c>
      <c r="N22" s="33">
        <f>[1]Summary!K172</f>
        <v>1815150</v>
      </c>
      <c r="O22" s="34">
        <f t="shared" si="3"/>
        <v>2675865</v>
      </c>
      <c r="P22" s="34"/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f>[1]Summary!K76</f>
        <v>6109</v>
      </c>
      <c r="X22" s="33">
        <f>[1]Summary!E99</f>
        <v>714385</v>
      </c>
      <c r="Y22" s="33">
        <f>[1]Summary!K99</f>
        <v>792686</v>
      </c>
      <c r="Z22" s="33">
        <f>[1]Summary!E123</f>
        <v>914659</v>
      </c>
      <c r="AA22" s="33">
        <f>[1]Summary!E147</f>
        <v>623667</v>
      </c>
      <c r="AB22" s="33">
        <f>[1]Summary!E172</f>
        <v>699812</v>
      </c>
      <c r="AC22" s="33">
        <v>0</v>
      </c>
      <c r="AD22" s="33">
        <v>6527.4</v>
      </c>
      <c r="AE22" s="33">
        <v>1950820.6</v>
      </c>
      <c r="AF22" s="34">
        <f t="shared" si="4"/>
        <v>5708666</v>
      </c>
    </row>
    <row r="23" spans="1:32" s="115" customFormat="1" x14ac:dyDescent="0.25">
      <c r="A23" s="29">
        <v>18</v>
      </c>
      <c r="B23" s="29" t="s">
        <v>78</v>
      </c>
      <c r="D23" s="33">
        <f t="shared" si="0"/>
        <v>2675865</v>
      </c>
      <c r="E23" s="33">
        <f t="shared" si="1"/>
        <v>5708666</v>
      </c>
      <c r="F23" s="33">
        <v>0</v>
      </c>
      <c r="G23" s="33">
        <f t="shared" si="2"/>
        <v>8384531</v>
      </c>
      <c r="H23" s="34"/>
      <c r="I23" s="33">
        <v>0</v>
      </c>
      <c r="J23" s="33">
        <v>0</v>
      </c>
      <c r="K23" s="33">
        <v>0</v>
      </c>
      <c r="L23" s="33">
        <f>[1]Summary!K124</f>
        <v>600180</v>
      </c>
      <c r="M23" s="33">
        <f>[1]Summary!K148</f>
        <v>260535</v>
      </c>
      <c r="N23" s="33">
        <f>[1]Summary!K173</f>
        <v>1815150</v>
      </c>
      <c r="O23" s="34">
        <f t="shared" si="3"/>
        <v>2675865</v>
      </c>
      <c r="P23" s="34"/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f>[1]Summary!K77</f>
        <v>6109</v>
      </c>
      <c r="X23" s="33">
        <f>[1]Summary!E100</f>
        <v>714385</v>
      </c>
      <c r="Y23" s="33">
        <f>[1]Summary!K100</f>
        <v>792686</v>
      </c>
      <c r="Z23" s="33">
        <f>[1]Summary!E124</f>
        <v>914659</v>
      </c>
      <c r="AA23" s="33">
        <f>[1]Summary!E148</f>
        <v>623667</v>
      </c>
      <c r="AB23" s="33">
        <f>[1]Summary!E173</f>
        <v>699812</v>
      </c>
      <c r="AC23" s="33">
        <v>0</v>
      </c>
      <c r="AD23" s="33">
        <v>6527.4</v>
      </c>
      <c r="AE23" s="33">
        <v>1950820.6</v>
      </c>
      <c r="AF23" s="34">
        <f t="shared" si="4"/>
        <v>5708666</v>
      </c>
    </row>
    <row r="24" spans="1:32" s="115" customFormat="1" x14ac:dyDescent="0.25">
      <c r="A24" s="29">
        <v>19</v>
      </c>
      <c r="B24" s="29" t="s">
        <v>115</v>
      </c>
      <c r="D24" s="33">
        <f t="shared" si="0"/>
        <v>2675865</v>
      </c>
      <c r="E24" s="33">
        <f t="shared" si="1"/>
        <v>5708666</v>
      </c>
      <c r="F24" s="33">
        <v>0</v>
      </c>
      <c r="G24" s="33">
        <f t="shared" si="2"/>
        <v>8384531</v>
      </c>
      <c r="H24" s="34"/>
      <c r="I24" s="33">
        <v>0</v>
      </c>
      <c r="J24" s="33">
        <v>0</v>
      </c>
      <c r="K24" s="33">
        <v>0</v>
      </c>
      <c r="L24" s="33">
        <f>[1]Summary!K125</f>
        <v>600180</v>
      </c>
      <c r="M24" s="33">
        <f>[1]Summary!K149</f>
        <v>260535</v>
      </c>
      <c r="N24" s="33">
        <f>[1]Summary!K174</f>
        <v>1815150</v>
      </c>
      <c r="O24" s="34">
        <f t="shared" si="3"/>
        <v>2675865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f>[1]Summary!K78</f>
        <v>6109</v>
      </c>
      <c r="X24" s="33">
        <f>[1]Summary!E101</f>
        <v>714385</v>
      </c>
      <c r="Y24" s="33">
        <f>[1]Summary!K101</f>
        <v>792686</v>
      </c>
      <c r="Z24" s="33">
        <f>[1]Summary!E125</f>
        <v>914659</v>
      </c>
      <c r="AA24" s="33">
        <f>[1]Summary!E149</f>
        <v>623667</v>
      </c>
      <c r="AB24" s="33">
        <f>[1]Summary!E174</f>
        <v>699812</v>
      </c>
      <c r="AC24" s="33">
        <v>0</v>
      </c>
      <c r="AD24" s="33">
        <v>6527.4</v>
      </c>
      <c r="AE24" s="33">
        <v>1950820.6</v>
      </c>
      <c r="AF24" s="34">
        <f t="shared" si="4"/>
        <v>5708666</v>
      </c>
    </row>
    <row r="25" spans="1:32" s="115" customFormat="1" x14ac:dyDescent="0.25">
      <c r="A25" s="29">
        <v>20</v>
      </c>
      <c r="B25" s="29" t="s">
        <v>116</v>
      </c>
      <c r="D25" s="33">
        <f t="shared" si="0"/>
        <v>2675865</v>
      </c>
      <c r="E25" s="33">
        <f t="shared" si="1"/>
        <v>5708666</v>
      </c>
      <c r="F25" s="33">
        <v>0</v>
      </c>
      <c r="G25" s="33">
        <f t="shared" si="2"/>
        <v>8384531</v>
      </c>
      <c r="H25" s="34"/>
      <c r="I25" s="33">
        <v>0</v>
      </c>
      <c r="J25" s="33">
        <v>0</v>
      </c>
      <c r="K25" s="33">
        <v>0</v>
      </c>
      <c r="L25" s="33">
        <f>[1]Summary!K126</f>
        <v>600180</v>
      </c>
      <c r="M25" s="33">
        <f>[1]Summary!K150</f>
        <v>260535</v>
      </c>
      <c r="N25" s="33">
        <f>[1]Summary!K175</f>
        <v>1815150</v>
      </c>
      <c r="O25" s="34">
        <f>SUM(I25:N25)</f>
        <v>2675865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f>[1]Summary!K79</f>
        <v>6109</v>
      </c>
      <c r="X25" s="33">
        <f>[1]Summary!E102</f>
        <v>714385</v>
      </c>
      <c r="Y25" s="33">
        <f>[1]Summary!K102</f>
        <v>792686</v>
      </c>
      <c r="Z25" s="33">
        <f>[1]Summary!E126</f>
        <v>914659</v>
      </c>
      <c r="AA25" s="33">
        <f>[1]Summary!E150</f>
        <v>623667</v>
      </c>
      <c r="AB25" s="33">
        <f>[1]Summary!E175</f>
        <v>699812</v>
      </c>
      <c r="AC25" s="33">
        <v>0</v>
      </c>
      <c r="AD25" s="33">
        <v>6527.4</v>
      </c>
      <c r="AE25" s="33">
        <v>1950820.6</v>
      </c>
      <c r="AF25" s="34">
        <f t="shared" si="4"/>
        <v>5708666</v>
      </c>
    </row>
    <row r="26" spans="1:32" x14ac:dyDescent="0.25">
      <c r="N26" s="33"/>
      <c r="O26" s="34"/>
      <c r="AA26" s="33"/>
    </row>
    <row r="27" spans="1:32" x14ac:dyDescent="0.25">
      <c r="AA27" s="33"/>
    </row>
    <row r="28" spans="1:32" x14ac:dyDescent="0.25">
      <c r="B28" s="35" t="s">
        <v>138</v>
      </c>
    </row>
    <row r="29" spans="1:32" ht="30.75" customHeight="1" x14ac:dyDescent="0.25">
      <c r="B29" s="140" t="s">
        <v>146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</row>
    <row r="30" spans="1:32" x14ac:dyDescent="0.25">
      <c r="E30" s="34"/>
      <c r="F30" s="34"/>
    </row>
    <row r="31" spans="1:32" x14ac:dyDescent="0.25">
      <c r="E31" s="34"/>
      <c r="F31" s="34"/>
    </row>
    <row r="32" spans="1:32" x14ac:dyDescent="0.25">
      <c r="E32" s="34"/>
      <c r="F32" s="34"/>
    </row>
    <row r="33" spans="5:6" x14ac:dyDescent="0.25">
      <c r="E33" s="34"/>
      <c r="F33" s="34"/>
    </row>
    <row r="34" spans="5:6" x14ac:dyDescent="0.25">
      <c r="E34" s="34"/>
      <c r="F34" s="34"/>
    </row>
    <row r="35" spans="5:6" x14ac:dyDescent="0.25">
      <c r="E35" s="34"/>
      <c r="F35" s="34"/>
    </row>
    <row r="36" spans="5:6" x14ac:dyDescent="0.25">
      <c r="E36" s="34"/>
      <c r="F36" s="34"/>
    </row>
    <row r="37" spans="5:6" x14ac:dyDescent="0.25">
      <c r="E37" s="34"/>
      <c r="F37" s="34"/>
    </row>
    <row r="38" spans="5:6" x14ac:dyDescent="0.25">
      <c r="E38" s="34"/>
      <c r="F38" s="34"/>
    </row>
    <row r="39" spans="5:6" x14ac:dyDescent="0.25">
      <c r="E39" s="34"/>
      <c r="F39" s="34"/>
    </row>
    <row r="40" spans="5:6" x14ac:dyDescent="0.25">
      <c r="E40" s="34"/>
      <c r="F40" s="34"/>
    </row>
    <row r="41" spans="5:6" x14ac:dyDescent="0.25">
      <c r="E41" s="34"/>
      <c r="F41" s="34"/>
    </row>
    <row r="42" spans="5:6" x14ac:dyDescent="0.25">
      <c r="E42" s="34"/>
      <c r="F42" s="34"/>
    </row>
    <row r="43" spans="5:6" x14ac:dyDescent="0.25">
      <c r="E43" s="34"/>
      <c r="F43" s="34"/>
    </row>
    <row r="44" spans="5:6" x14ac:dyDescent="0.25">
      <c r="E44" s="34"/>
      <c r="F44" s="34"/>
    </row>
    <row r="45" spans="5:6" x14ac:dyDescent="0.25">
      <c r="E45" s="34"/>
      <c r="F45" s="34"/>
    </row>
    <row r="46" spans="5:6" x14ac:dyDescent="0.25">
      <c r="E46" s="34"/>
      <c r="F46" s="34"/>
    </row>
    <row r="47" spans="5:6" x14ac:dyDescent="0.25">
      <c r="E47" s="34"/>
      <c r="F47" s="34"/>
    </row>
    <row r="48" spans="5:6" x14ac:dyDescent="0.25">
      <c r="E48" s="34"/>
      <c r="F48" s="34"/>
    </row>
    <row r="49" spans="5:6" x14ac:dyDescent="0.25">
      <c r="E49" s="34"/>
      <c r="F49" s="34"/>
    </row>
  </sheetData>
  <mergeCells count="4">
    <mergeCell ref="A1:AF1"/>
    <mergeCell ref="D4:G4"/>
    <mergeCell ref="Q4:AF4"/>
    <mergeCell ref="B29:AF2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51"/>
  <sheetViews>
    <sheetView zoomScale="85" zoomScaleNormal="85" workbookViewId="0">
      <pane xSplit="2" ySplit="5" topLeftCell="C6" activePane="bottomRight" state="frozen"/>
      <selection activeCell="E24" sqref="E24"/>
      <selection pane="topRight" activeCell="E24" sqref="E24"/>
      <selection pane="bottomLeft" activeCell="E24" sqref="E24"/>
      <selection pane="bottomRight" activeCell="E24" sqref="E24"/>
    </sheetView>
  </sheetViews>
  <sheetFormatPr defaultRowHeight="15" x14ac:dyDescent="0.25"/>
  <cols>
    <col min="1" max="1" width="6.5703125" customWidth="1"/>
    <col min="2" max="2" width="9.7109375" bestFit="1" customWidth="1"/>
    <col min="3" max="3" width="3.85546875" customWidth="1"/>
    <col min="4" max="4" width="20.85546875" bestFit="1" customWidth="1"/>
    <col min="5" max="5" width="20.7109375" customWidth="1"/>
    <col min="6" max="6" width="15.85546875" bestFit="1" customWidth="1"/>
    <col min="7" max="7" width="5.7109375" customWidth="1"/>
    <col min="8" max="8" width="12.5703125" bestFit="1" customWidth="1"/>
    <col min="10" max="11" width="20.5703125" bestFit="1" customWidth="1"/>
    <col min="12" max="14" width="23.28515625" bestFit="1" customWidth="1"/>
    <col min="15" max="15" width="15.5703125" bestFit="1" customWidth="1"/>
    <col min="16" max="16" width="7.7109375" bestFit="1" customWidth="1"/>
    <col min="17" max="18" width="11.28515625" bestFit="1" customWidth="1"/>
    <col min="19" max="19" width="22.42578125" style="70" customWidth="1"/>
    <col min="20" max="20" width="26.5703125" style="70" bestFit="1" customWidth="1"/>
    <col min="21" max="21" width="22.42578125" customWidth="1"/>
    <col min="22" max="22" width="6" bestFit="1" customWidth="1"/>
    <col min="23" max="26" width="11.28515625" bestFit="1" customWidth="1"/>
    <col min="27" max="27" width="22.28515625" bestFit="1" customWidth="1"/>
    <col min="28" max="28" width="24.7109375" bestFit="1" customWidth="1"/>
    <col min="29" max="29" width="22.42578125" bestFit="1" customWidth="1"/>
    <col min="30" max="30" width="26.5703125" style="70" bestFit="1" customWidth="1"/>
    <col min="31" max="31" width="22.42578125" style="70" bestFit="1" customWidth="1"/>
    <col min="32" max="32" width="26.5703125" bestFit="1" customWidth="1"/>
    <col min="33" max="33" width="22.42578125" style="70" bestFit="1" customWidth="1"/>
    <col min="34" max="35" width="12.140625" bestFit="1" customWidth="1"/>
    <col min="36" max="36" width="12.42578125" bestFit="1" customWidth="1"/>
    <col min="37" max="37" width="12.140625" bestFit="1" customWidth="1"/>
  </cols>
  <sheetData>
    <row r="1" spans="1:37" x14ac:dyDescent="0.25">
      <c r="A1" s="132" t="s">
        <v>76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37" x14ac:dyDescent="0.25">
      <c r="A2" s="71"/>
      <c r="B2" s="3"/>
      <c r="C2" s="3"/>
      <c r="D2" s="3"/>
      <c r="E2" s="3"/>
      <c r="F2" s="3"/>
      <c r="G2" s="3"/>
    </row>
    <row r="3" spans="1:37" x14ac:dyDescent="0.25">
      <c r="A3" s="2" t="s">
        <v>0</v>
      </c>
      <c r="B3" s="2" t="s">
        <v>1</v>
      </c>
      <c r="C3" s="2"/>
      <c r="D3" s="2" t="s">
        <v>18</v>
      </c>
      <c r="E3" s="2" t="s">
        <v>15</v>
      </c>
      <c r="F3" s="7" t="s">
        <v>25</v>
      </c>
      <c r="G3" s="3"/>
      <c r="H3" s="2" t="s">
        <v>21</v>
      </c>
      <c r="I3" s="2"/>
      <c r="J3" s="2" t="s">
        <v>27</v>
      </c>
      <c r="K3" s="2" t="s">
        <v>36</v>
      </c>
      <c r="L3" s="2" t="s">
        <v>39</v>
      </c>
      <c r="M3" s="113" t="s">
        <v>172</v>
      </c>
      <c r="N3" s="113"/>
    </row>
    <row r="4" spans="1:37" ht="17.25" x14ac:dyDescent="0.25">
      <c r="B4" s="2" t="s">
        <v>0</v>
      </c>
      <c r="C4" s="2"/>
      <c r="D4" s="2" t="s">
        <v>26</v>
      </c>
      <c r="E4" s="2" t="s">
        <v>46</v>
      </c>
      <c r="F4" s="7" t="s">
        <v>161</v>
      </c>
      <c r="G4" s="2"/>
      <c r="H4" s="2" t="s">
        <v>22</v>
      </c>
      <c r="I4" s="2"/>
      <c r="J4" s="2" t="s">
        <v>160</v>
      </c>
      <c r="K4" s="2" t="s">
        <v>160</v>
      </c>
      <c r="L4" s="2" t="s">
        <v>160</v>
      </c>
      <c r="M4" s="116" t="s">
        <v>173</v>
      </c>
      <c r="N4" s="113" t="s">
        <v>174</v>
      </c>
      <c r="O4" s="1"/>
      <c r="P4" s="141" t="s">
        <v>91</v>
      </c>
      <c r="Q4" s="141"/>
      <c r="R4" s="141"/>
      <c r="S4" s="141"/>
      <c r="T4" s="141"/>
      <c r="U4" s="141"/>
      <c r="V4" s="141" t="s">
        <v>92</v>
      </c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</row>
    <row r="5" spans="1:37" s="115" customFormat="1" ht="17.25" x14ac:dyDescent="0.25">
      <c r="B5" s="29"/>
      <c r="C5" s="29"/>
      <c r="D5" s="29"/>
      <c r="E5" s="121"/>
      <c r="F5" s="122"/>
      <c r="G5" s="29"/>
      <c r="H5" s="29"/>
      <c r="I5" s="29"/>
      <c r="J5" s="123">
        <f>25374656/10^6</f>
        <v>25.374656000000002</v>
      </c>
      <c r="K5" s="123">
        <f>48671185/10^6</f>
        <v>48.671185000000001</v>
      </c>
      <c r="L5" s="123">
        <f>256241066/10^6</f>
        <v>256.24106599999999</v>
      </c>
      <c r="M5" s="123">
        <f>278182613/10^6</f>
        <v>278.182613</v>
      </c>
      <c r="N5" s="123">
        <f>18668286/10^6</f>
        <v>18.668285999999998</v>
      </c>
      <c r="O5" s="29"/>
      <c r="P5" s="29" t="s">
        <v>94</v>
      </c>
      <c r="Q5" s="29" t="s">
        <v>95</v>
      </c>
      <c r="R5" s="29" t="s">
        <v>96</v>
      </c>
      <c r="S5" s="29" t="s">
        <v>165</v>
      </c>
      <c r="T5" s="29" t="s">
        <v>166</v>
      </c>
      <c r="U5" s="29" t="s">
        <v>167</v>
      </c>
      <c r="V5" s="29" t="s">
        <v>94</v>
      </c>
      <c r="W5" s="29" t="s">
        <v>95</v>
      </c>
      <c r="X5" s="115" t="s">
        <v>96</v>
      </c>
      <c r="Y5" s="115" t="s">
        <v>96</v>
      </c>
      <c r="Z5" s="115" t="s">
        <v>96</v>
      </c>
      <c r="AA5" s="115" t="s">
        <v>97</v>
      </c>
      <c r="AB5" s="29" t="s">
        <v>168</v>
      </c>
      <c r="AC5" s="29" t="s">
        <v>169</v>
      </c>
      <c r="AD5" s="29" t="s">
        <v>170</v>
      </c>
      <c r="AE5" s="29" t="s">
        <v>165</v>
      </c>
      <c r="AF5" s="29" t="s">
        <v>171</v>
      </c>
      <c r="AG5" s="29" t="s">
        <v>167</v>
      </c>
      <c r="AH5" s="29" t="s">
        <v>162</v>
      </c>
      <c r="AI5" s="29" t="s">
        <v>163</v>
      </c>
      <c r="AJ5" s="29" t="s">
        <v>164</v>
      </c>
      <c r="AK5" s="115" t="s">
        <v>2</v>
      </c>
    </row>
    <row r="6" spans="1:37" s="115" customFormat="1" x14ac:dyDescent="0.25">
      <c r="A6" s="29">
        <v>1</v>
      </c>
      <c r="B6" s="29" t="s">
        <v>3</v>
      </c>
      <c r="C6" s="29"/>
      <c r="D6" s="120">
        <f>'Response #3a'!D5</f>
        <v>84979</v>
      </c>
      <c r="E6" s="18">
        <f>ROUND(D6*ROUND(4.25%*118.23,2)/1000,6)</f>
        <v>426.59458000000001</v>
      </c>
      <c r="F6" s="124">
        <f>AK6</f>
        <v>281.0155460858565</v>
      </c>
      <c r="G6" s="124"/>
      <c r="H6" s="123">
        <f>E6-F6</f>
        <v>145.57903391414351</v>
      </c>
      <c r="I6" s="125"/>
      <c r="J6" s="123">
        <f>J5</f>
        <v>25.374656000000002</v>
      </c>
      <c r="K6" s="126"/>
      <c r="M6" s="127"/>
      <c r="N6" s="18"/>
      <c r="O6" s="18"/>
      <c r="P6" s="36">
        <v>5.6043570470279169</v>
      </c>
      <c r="Q6" s="36">
        <f>[1]Summary!F5/1000000</f>
        <v>2.42500954</v>
      </c>
      <c r="R6" s="36">
        <f>[1]Summary!F39/1000000</f>
        <v>2.97727963</v>
      </c>
      <c r="S6" s="36">
        <v>0</v>
      </c>
      <c r="T6" s="36">
        <v>0</v>
      </c>
      <c r="U6" s="36">
        <v>0</v>
      </c>
      <c r="V6" s="37">
        <v>4.5210746471410275</v>
      </c>
      <c r="W6" s="36">
        <f>[1]Summary!L5/1000000</f>
        <v>1.033998</v>
      </c>
      <c r="X6" s="37">
        <f>[1]Summary!F21/1000000</f>
        <v>1.7079965999999998</v>
      </c>
      <c r="Y6" s="37">
        <f>[1]Summary!L21/1000000</f>
        <v>1.2748515</v>
      </c>
      <c r="Z6" s="37">
        <f>[1]Summary!L39/1000000</f>
        <v>4.2535492499999998</v>
      </c>
      <c r="AA6" s="37">
        <f>[1]Summary!F60/1000000</f>
        <v>2.2205940000000002</v>
      </c>
      <c r="AB6" s="37">
        <f>[1]Summary!L60/1000000</f>
        <v>0.30728270000000002</v>
      </c>
      <c r="AC6" s="37">
        <v>0</v>
      </c>
      <c r="AD6" s="37">
        <v>0</v>
      </c>
      <c r="AE6" s="37">
        <v>0</v>
      </c>
      <c r="AF6" s="37">
        <v>0</v>
      </c>
      <c r="AG6" s="37">
        <v>0</v>
      </c>
      <c r="AH6" s="37">
        <f>'[2]IPA DR support'!G5</f>
        <v>67.069988590000008</v>
      </c>
      <c r="AI6" s="37">
        <f>'[2]IPA DR support'!H5</f>
        <v>65.294445991562498</v>
      </c>
      <c r="AJ6" s="37">
        <f>'[2]IPA DR support'!I5</f>
        <v>122.32511859012503</v>
      </c>
      <c r="AK6" s="37">
        <f>SUM(P6:AJ6)</f>
        <v>281.0155460858565</v>
      </c>
    </row>
    <row r="7" spans="1:37" s="115" customFormat="1" x14ac:dyDescent="0.25">
      <c r="A7" s="29">
        <v>2</v>
      </c>
      <c r="B7" s="29" t="s">
        <v>4</v>
      </c>
      <c r="C7" s="29"/>
      <c r="D7" s="120">
        <f>SUMIFS('Response #1'!$B$9:$S$9,'Response #1'!$B$3:$S$3,$B6)</f>
        <v>83718.451158000011</v>
      </c>
      <c r="E7" s="18">
        <f>ROUND(D7*ROUND(4.25%*118.23,2)/1000,6)</f>
        <v>420.26662499999998</v>
      </c>
      <c r="F7" s="124">
        <f t="shared" ref="F7:F25" si="0">AK7</f>
        <v>285.00333150874712</v>
      </c>
      <c r="G7" s="124"/>
      <c r="H7" s="123">
        <f>E7-F7</f>
        <v>135.26329349125285</v>
      </c>
      <c r="I7" s="125"/>
      <c r="J7" s="123">
        <f t="shared" ref="J7:J25" si="1">J6</f>
        <v>25.374656000000002</v>
      </c>
      <c r="K7" s="126"/>
      <c r="M7" s="127"/>
      <c r="N7" s="18"/>
      <c r="O7" s="18"/>
      <c r="P7" s="36">
        <v>3.4632931333524799</v>
      </c>
      <c r="Q7" s="36">
        <f>[1]Summary!F6/1000000</f>
        <v>2.42500954</v>
      </c>
      <c r="R7" s="36">
        <f>[1]Summary!F40/1000000</f>
        <v>2.97727963</v>
      </c>
      <c r="S7" s="36">
        <v>0</v>
      </c>
      <c r="T7" s="36">
        <v>0</v>
      </c>
      <c r="U7" s="36">
        <v>0</v>
      </c>
      <c r="V7" s="37">
        <v>4.5491385771238484</v>
      </c>
      <c r="W7" s="36">
        <f>[1]Summary!L6/1000000</f>
        <v>1.033998</v>
      </c>
      <c r="X7" s="37">
        <f>[1]Summary!F22/1000000</f>
        <v>1.7079965999999998</v>
      </c>
      <c r="Y7" s="37">
        <f>[1]Summary!L22/1000000</f>
        <v>1.2748515</v>
      </c>
      <c r="Z7" s="37">
        <f>[1]Summary!L40/1000000</f>
        <v>4.2535492499999998</v>
      </c>
      <c r="AA7" s="37">
        <f>[1]Summary!F61/1000000</f>
        <v>2.2205940000000002</v>
      </c>
      <c r="AB7" s="37">
        <f>[1]Summary!L61/1000000</f>
        <v>0.30483909999999997</v>
      </c>
      <c r="AC7" s="37">
        <v>0</v>
      </c>
      <c r="AD7" s="37">
        <v>0</v>
      </c>
      <c r="AE7" s="37">
        <v>0</v>
      </c>
      <c r="AF7" s="37">
        <v>0</v>
      </c>
      <c r="AG7" s="37">
        <v>0</v>
      </c>
      <c r="AH7" s="37">
        <f>'[2]IPA DR support'!G6</f>
        <v>60.149889630000004</v>
      </c>
      <c r="AI7" s="37">
        <f>'[2]IPA DR support'!H6</f>
        <v>68.915038720520826</v>
      </c>
      <c r="AJ7" s="37">
        <f>'[2]IPA DR support'!I6</f>
        <v>131.72785382775001</v>
      </c>
      <c r="AK7" s="37">
        <f t="shared" ref="AK7:AK25" si="2">SUM(P7:AJ7)</f>
        <v>285.00333150874712</v>
      </c>
    </row>
    <row r="8" spans="1:37" s="115" customFormat="1" x14ac:dyDescent="0.25">
      <c r="A8" s="29">
        <v>3</v>
      </c>
      <c r="B8" s="29" t="s">
        <v>5</v>
      </c>
      <c r="C8" s="29"/>
      <c r="D8" s="120">
        <f>SUMIFS('Response #1'!$B$9:$S$9,'Response #1'!$B$3:$S$3,$B7)</f>
        <v>84378.123927000008</v>
      </c>
      <c r="E8" s="18">
        <f t="shared" ref="E8:E25" si="3">ROUND(D8*ROUND(4.25%*118.23,2)/1000,6)</f>
        <v>423.57818200000003</v>
      </c>
      <c r="F8" s="124">
        <f t="shared" si="0"/>
        <v>237.89555013531731</v>
      </c>
      <c r="G8" s="124"/>
      <c r="H8" s="123">
        <f t="shared" ref="H8:H11" si="4">E8-F8</f>
        <v>185.68263186468272</v>
      </c>
      <c r="I8" s="125"/>
      <c r="J8" s="123">
        <f t="shared" si="1"/>
        <v>25.374656000000002</v>
      </c>
      <c r="K8" s="126"/>
      <c r="M8" s="127"/>
      <c r="N8" s="18"/>
      <c r="O8" s="18"/>
      <c r="P8" s="36">
        <v>-2.2356237832764787</v>
      </c>
      <c r="Q8" s="36">
        <f>[1]Summary!F7/1000000</f>
        <v>2.42500954</v>
      </c>
      <c r="R8" s="36">
        <f>[1]Summary!F41/1000000</f>
        <v>2.97727963</v>
      </c>
      <c r="S8" s="36">
        <v>0</v>
      </c>
      <c r="T8" s="36">
        <v>0</v>
      </c>
      <c r="U8" s="36">
        <v>0</v>
      </c>
      <c r="V8" s="37">
        <v>4.4804827749063234</v>
      </c>
      <c r="W8" s="36">
        <f>[1]Summary!L7/1000000</f>
        <v>1.033998</v>
      </c>
      <c r="X8" s="37">
        <f>[1]Summary!F23/1000000</f>
        <v>1.7079965999999998</v>
      </c>
      <c r="Y8" s="37">
        <f>[1]Summary!L23/1000000</f>
        <v>1.2748515</v>
      </c>
      <c r="Z8" s="37">
        <f>[1]Summary!L41/1000000</f>
        <v>4.2535492499999998</v>
      </c>
      <c r="AA8" s="37">
        <f>[1]Summary!F62/1000000</f>
        <v>2.2205940000000002</v>
      </c>
      <c r="AB8" s="37">
        <f>[1]Summary!L62/1000000</f>
        <v>0.32255519999999999</v>
      </c>
      <c r="AC8" s="37">
        <f>[1]Summary!F85/1000000</f>
        <v>22.364326350000002</v>
      </c>
      <c r="AD8" s="37">
        <f>[1]Summary!L85/1000000</f>
        <v>22.692696629999997</v>
      </c>
      <c r="AE8" s="37">
        <v>0</v>
      </c>
      <c r="AF8" s="37">
        <v>0</v>
      </c>
      <c r="AG8" s="37">
        <v>0</v>
      </c>
      <c r="AH8" s="37">
        <f>'[2]IPA DR support'!G7</f>
        <v>0</v>
      </c>
      <c r="AI8" s="37">
        <f>'[2]IPA DR support'!H7</f>
        <v>56.570152592854157</v>
      </c>
      <c r="AJ8" s="37">
        <f>'[2]IPA DR support'!I7</f>
        <v>117.8076818508333</v>
      </c>
      <c r="AK8" s="37">
        <f t="shared" si="2"/>
        <v>237.89555013531731</v>
      </c>
    </row>
    <row r="9" spans="1:37" s="115" customFormat="1" x14ac:dyDescent="0.25">
      <c r="A9" s="29">
        <v>4</v>
      </c>
      <c r="B9" s="29" t="s">
        <v>6</v>
      </c>
      <c r="C9" s="29"/>
      <c r="D9" s="120">
        <f>SUMIFS('Response #1'!$B$9:$S$9,'Response #1'!$B$3:$S$3,$B8)</f>
        <v>86873.047181999995</v>
      </c>
      <c r="E9" s="18">
        <f>ROUND(D9*ROUND(4.25%*118.23,2)/1000,6)</f>
        <v>436.10269699999998</v>
      </c>
      <c r="F9" s="124">
        <f t="shared" si="0"/>
        <v>283.63154691157575</v>
      </c>
      <c r="G9" s="124"/>
      <c r="H9" s="123">
        <f t="shared" si="4"/>
        <v>152.47115008842422</v>
      </c>
      <c r="I9" s="125"/>
      <c r="J9" s="123">
        <f t="shared" si="1"/>
        <v>25.374656000000002</v>
      </c>
      <c r="K9" s="126"/>
      <c r="M9" s="127"/>
      <c r="N9" s="18"/>
      <c r="O9" s="18"/>
      <c r="P9" s="36">
        <v>-5.6031113464620024</v>
      </c>
      <c r="Q9" s="36">
        <f>[1]Summary!F8/1000000</f>
        <v>2.42500954</v>
      </c>
      <c r="R9" s="36">
        <f>[1]Summary!F42/1000000</f>
        <v>2.97727963</v>
      </c>
      <c r="S9" s="36">
        <f>[1]Summary!L110/1000000</f>
        <v>18.223047000000001</v>
      </c>
      <c r="T9" s="36">
        <v>0</v>
      </c>
      <c r="U9" s="36">
        <v>0</v>
      </c>
      <c r="V9" s="37">
        <v>4.4781322592044512</v>
      </c>
      <c r="W9" s="36">
        <f>[1]Summary!L8/1000000</f>
        <v>1.033998</v>
      </c>
      <c r="X9" s="37">
        <f>[1]Summary!F24/1000000</f>
        <v>1.7079965999999998</v>
      </c>
      <c r="Y9" s="37">
        <f>[1]Summary!L24/1000000</f>
        <v>1.2748515</v>
      </c>
      <c r="Z9" s="37">
        <f>[1]Summary!L42/1000000</f>
        <v>4.2535492499999998</v>
      </c>
      <c r="AA9" s="37">
        <f>[1]Summary!F63/1000000</f>
        <v>2.2205940000000002</v>
      </c>
      <c r="AB9" s="37">
        <f>[1]Summary!L63/1000000</f>
        <v>0.3323296</v>
      </c>
      <c r="AC9" s="37">
        <f>[1]Summary!F86/1000000</f>
        <v>23.507342349999998</v>
      </c>
      <c r="AD9" s="37">
        <f>[1]Summary!L86/1000000</f>
        <v>23.960994229999997</v>
      </c>
      <c r="AE9" s="37">
        <f>[1]Summary!F110/1000000</f>
        <v>34.033190449999992</v>
      </c>
      <c r="AF9" s="37">
        <v>0</v>
      </c>
      <c r="AG9" s="37">
        <v>0</v>
      </c>
      <c r="AH9" s="37">
        <f>'[2]IPA DR support'!G8</f>
        <v>0</v>
      </c>
      <c r="AI9" s="37">
        <f>'[2]IPA DR support'!H8</f>
        <v>53.263123503000003</v>
      </c>
      <c r="AJ9" s="37">
        <f>'[2]IPA DR support'!I8</f>
        <v>115.54322034583332</v>
      </c>
      <c r="AK9" s="37">
        <f t="shared" si="2"/>
        <v>283.63154691157575</v>
      </c>
    </row>
    <row r="10" spans="1:37" s="115" customFormat="1" x14ac:dyDescent="0.25">
      <c r="A10" s="29">
        <v>5</v>
      </c>
      <c r="B10" s="29" t="s">
        <v>7</v>
      </c>
      <c r="C10" s="29"/>
      <c r="D10" s="120">
        <f>SUMIFS('Response #1'!$B$9:$S$9,'Response #1'!$B$3:$S$3,$B9)</f>
        <v>92010.320211999991</v>
      </c>
      <c r="E10" s="18">
        <f>ROUND(D10*ROUND(4.25%*118.23,2)/1000,6)</f>
        <v>461.89180699999997</v>
      </c>
      <c r="F10" s="124">
        <f t="shared" si="0"/>
        <v>401.77693975725168</v>
      </c>
      <c r="G10" s="124"/>
      <c r="H10" s="123">
        <f t="shared" si="4"/>
        <v>60.114867242748289</v>
      </c>
      <c r="I10" s="125"/>
      <c r="J10" s="123">
        <f t="shared" si="1"/>
        <v>25.374656000000002</v>
      </c>
      <c r="K10" s="126"/>
      <c r="M10" s="127"/>
      <c r="N10" s="18"/>
      <c r="O10" s="18"/>
      <c r="P10" s="36">
        <v>-14.014372660255216</v>
      </c>
      <c r="Q10" s="36">
        <f>[1]Summary!F9/1000000</f>
        <v>2.42500954</v>
      </c>
      <c r="R10" s="36">
        <f>[1]Summary!F43/1000000</f>
        <v>2.97727963</v>
      </c>
      <c r="S10" s="36">
        <f>[1]Summary!L111/1000000</f>
        <v>18.703191</v>
      </c>
      <c r="T10" s="36">
        <f>[1]Summary!L135/1000000</f>
        <v>8.389227</v>
      </c>
      <c r="U10" s="36">
        <f>[1]Summary!L160/1000000</f>
        <v>69.551202150000009</v>
      </c>
      <c r="V10" s="37">
        <v>4.3380086485485405</v>
      </c>
      <c r="W10" s="36">
        <f>[1]Summary!L9/1000000</f>
        <v>1.033998</v>
      </c>
      <c r="X10" s="37">
        <f>[1]Summary!F25/1000000</f>
        <v>1.7079965999999998</v>
      </c>
      <c r="Y10" s="37">
        <f>[1]Summary!L25/1000000</f>
        <v>1.2748515</v>
      </c>
      <c r="Z10" s="37">
        <f>[1]Summary!L43/1000000</f>
        <v>4.2535492499999998</v>
      </c>
      <c r="AA10" s="37">
        <f>[1]Summary!F64/1000000</f>
        <v>2.2205940000000002</v>
      </c>
      <c r="AB10" s="37">
        <f>[1]Summary!L64/1000000</f>
        <v>0.33721679999999998</v>
      </c>
      <c r="AC10" s="37">
        <f>[1]Summary!F87/1000000</f>
        <v>24.078850350000007</v>
      </c>
      <c r="AD10" s="37">
        <f>[1]Summary!L87/1000000</f>
        <v>24.59514303000001</v>
      </c>
      <c r="AE10" s="37">
        <f>[1]Summary!F111/1000000</f>
        <v>34.764917650000008</v>
      </c>
      <c r="AF10" s="37">
        <f>[1]Summary!F135/1000000</f>
        <v>21.907341840000004</v>
      </c>
      <c r="AG10" s="37">
        <f>[1]Summary!F160/1000000</f>
        <v>26.473025660000005</v>
      </c>
      <c r="AH10" s="37">
        <f>'[2]IPA DR support'!G9</f>
        <v>0</v>
      </c>
      <c r="AI10" s="37">
        <f>'[2]IPA DR support'!H9</f>
        <v>51.216689423124997</v>
      </c>
      <c r="AJ10" s="37">
        <f>'[2]IPA DR support'!I9</f>
        <v>115.54322034583332</v>
      </c>
      <c r="AK10" s="37">
        <f t="shared" si="2"/>
        <v>401.77693975725168</v>
      </c>
    </row>
    <row r="11" spans="1:37" s="115" customFormat="1" x14ac:dyDescent="0.25">
      <c r="A11" s="29">
        <v>6</v>
      </c>
      <c r="B11" s="29" t="s">
        <v>8</v>
      </c>
      <c r="C11" s="29"/>
      <c r="D11" s="120">
        <f>SUMIFS('Response #1'!$B$9:$S$9,'Response #1'!$B$3:$S$3,$B10)</f>
        <v>100962.20425200001</v>
      </c>
      <c r="E11" s="18">
        <f t="shared" si="3"/>
        <v>506.830265</v>
      </c>
      <c r="F11" s="124">
        <f t="shared" si="0"/>
        <v>392.65941287961869</v>
      </c>
      <c r="G11" s="124"/>
      <c r="H11" s="123">
        <f t="shared" si="4"/>
        <v>114.17085212038131</v>
      </c>
      <c r="I11" s="125"/>
      <c r="J11" s="123">
        <f t="shared" si="1"/>
        <v>25.374656000000002</v>
      </c>
      <c r="K11" s="128"/>
      <c r="M11" s="127"/>
      <c r="N11" s="18"/>
      <c r="O11" s="18"/>
      <c r="P11" s="36">
        <v>-18.678111440708346</v>
      </c>
      <c r="Q11" s="36">
        <f>[1]Summary!F10/1000000</f>
        <v>2.42500954</v>
      </c>
      <c r="R11" s="36">
        <f>[1]Summary!F44/1000000</f>
        <v>2.97727963</v>
      </c>
      <c r="S11" s="36">
        <f>[1]Summary!L112/1000000</f>
        <v>18.883244999999999</v>
      </c>
      <c r="T11" s="36">
        <f>[1]Summary!L136/1000000</f>
        <v>8.4673874999999992</v>
      </c>
      <c r="U11" s="36">
        <f>[1]Summary!L161/1000000</f>
        <v>70.095747150000008</v>
      </c>
      <c r="V11" s="37">
        <v>4.3034536786395101</v>
      </c>
      <c r="W11" s="36">
        <f>[1]Summary!L10/1000000</f>
        <v>1.033998</v>
      </c>
      <c r="X11" s="37">
        <f>[1]Summary!F26/1000000</f>
        <v>1.7079965999999998</v>
      </c>
      <c r="Y11" s="37">
        <f>[1]Summary!L26/1000000</f>
        <v>1.2748515</v>
      </c>
      <c r="Z11" s="37">
        <f>[1]Summary!L44/1000000</f>
        <v>4.2535492499999998</v>
      </c>
      <c r="AA11" s="37">
        <f>[1]Summary!F65/1000000</f>
        <v>2.2205940000000002</v>
      </c>
      <c r="AB11" s="37">
        <f>[1]Summary!L65/1000000</f>
        <v>0.3390495</v>
      </c>
      <c r="AC11" s="37">
        <f>[1]Summary!F88/1000000</f>
        <v>24.293165850000001</v>
      </c>
      <c r="AD11" s="37">
        <f>[1]Summary!L88/1000000</f>
        <v>24.832948830000003</v>
      </c>
      <c r="AE11" s="37">
        <f>[1]Summary!F112/1000000</f>
        <v>35.03931535000001</v>
      </c>
      <c r="AF11" s="37">
        <f>[1]Summary!F136/1000000</f>
        <v>22.094441940000003</v>
      </c>
      <c r="AG11" s="37">
        <f>[1]Summary!F161/1000000</f>
        <v>26.68296926</v>
      </c>
      <c r="AH11" s="37">
        <f>'[2]IPA DR support'!G10</f>
        <v>0</v>
      </c>
      <c r="AI11" s="37">
        <f>'[2]IPA DR support'!H10</f>
        <v>44.869301395854166</v>
      </c>
      <c r="AJ11" s="37">
        <f>'[2]IPA DR support'!I10</f>
        <v>115.54322034583332</v>
      </c>
      <c r="AK11" s="37">
        <f t="shared" si="2"/>
        <v>392.65941287961869</v>
      </c>
    </row>
    <row r="12" spans="1:37" s="115" customFormat="1" x14ac:dyDescent="0.25">
      <c r="A12" s="29">
        <v>7</v>
      </c>
      <c r="B12" s="29" t="s">
        <v>9</v>
      </c>
      <c r="C12" s="29"/>
      <c r="D12" s="120">
        <f>SUMIFS('Response #1'!$B$9:$S$9,'Response #1'!$B$3:$S$3,$B11)</f>
        <v>112515.04332</v>
      </c>
      <c r="E12" s="18">
        <f t="shared" si="3"/>
        <v>564.82551699999999</v>
      </c>
      <c r="F12" s="124">
        <f t="shared" si="0"/>
        <v>366.04792206057505</v>
      </c>
      <c r="G12" s="124"/>
      <c r="H12" s="123">
        <f t="shared" ref="H12:H24" si="5">E12-F12</f>
        <v>198.77759493942494</v>
      </c>
      <c r="I12" s="125"/>
      <c r="J12" s="123">
        <f t="shared" si="1"/>
        <v>25.374656000000002</v>
      </c>
      <c r="K12" s="126"/>
      <c r="M12" s="127"/>
      <c r="N12" s="18"/>
      <c r="O12" s="18"/>
      <c r="P12" s="36">
        <v>-23.692676340890525</v>
      </c>
      <c r="Q12" s="36">
        <f>[1]Summary!F11/1000000</f>
        <v>2.42500954</v>
      </c>
      <c r="R12" s="36">
        <f>[1]Summary!F45/1000000</f>
        <v>2.97727963</v>
      </c>
      <c r="S12" s="36">
        <f>[1]Summary!L113/1000000</f>
        <v>19.063299000000001</v>
      </c>
      <c r="T12" s="36">
        <f>[1]Summary!L137/1000000</f>
        <v>8.5455480000000001</v>
      </c>
      <c r="U12" s="36">
        <f>[1]Summary!L162/1000000</f>
        <v>70.640292150000008</v>
      </c>
      <c r="V12" s="37">
        <v>4.2610796921323004</v>
      </c>
      <c r="W12" s="36">
        <f>[1]Summary!L11/1000000</f>
        <v>1.033998</v>
      </c>
      <c r="X12" s="37">
        <f>[1]Summary!F27/1000000</f>
        <v>1.7079965999999998</v>
      </c>
      <c r="Y12" s="37">
        <f>[1]Summary!L27/1000000</f>
        <v>1.2748515</v>
      </c>
      <c r="Z12" s="37">
        <f>[1]Summary!L45/1000000</f>
        <v>4.2535492499999998</v>
      </c>
      <c r="AA12" s="37">
        <f>[1]Summary!F66/1000000</f>
        <v>2.2205940000000002</v>
      </c>
      <c r="AB12" s="37">
        <f>[1]Summary!L66/1000000</f>
        <v>0.34088220000000002</v>
      </c>
      <c r="AC12" s="37">
        <f>[1]Summary!F89/1000000</f>
        <v>24.507481350000003</v>
      </c>
      <c r="AD12" s="37">
        <f>[1]Summary!L89/1000000</f>
        <v>25.070754629999996</v>
      </c>
      <c r="AE12" s="37">
        <f>[1]Summary!F113/1000000</f>
        <v>35.313713049999997</v>
      </c>
      <c r="AF12" s="37">
        <f>[1]Summary!F137/1000000</f>
        <v>22.281542039999998</v>
      </c>
      <c r="AG12" s="37">
        <f>[1]Summary!F162/1000000</f>
        <v>26.892912859999999</v>
      </c>
      <c r="AH12" s="37">
        <f>'[2]IPA DR support'!G11</f>
        <v>0</v>
      </c>
      <c r="AI12" s="37">
        <f>'[2]IPA DR support'!H11</f>
        <v>27.964514226249999</v>
      </c>
      <c r="AJ12" s="37">
        <f>'[2]IPA DR support'!I11</f>
        <v>108.96530068308331</v>
      </c>
      <c r="AK12" s="37">
        <f t="shared" si="2"/>
        <v>366.04792206057505</v>
      </c>
    </row>
    <row r="13" spans="1:37" s="115" customFormat="1" x14ac:dyDescent="0.25">
      <c r="A13" s="29">
        <v>8</v>
      </c>
      <c r="B13" s="29" t="s">
        <v>10</v>
      </c>
      <c r="C13" s="29"/>
      <c r="D13" s="120">
        <f>SUMIFS('Response #1'!$B$9:$S$9,'Response #1'!$B$3:$S$3,$B12)</f>
        <v>126106.17034900001</v>
      </c>
      <c r="E13" s="18">
        <f t="shared" si="3"/>
        <v>633.05297499999995</v>
      </c>
      <c r="F13" s="124">
        <f t="shared" si="0"/>
        <v>352.87695815420841</v>
      </c>
      <c r="G13" s="124"/>
      <c r="H13" s="123">
        <f t="shared" si="5"/>
        <v>280.17601684579154</v>
      </c>
      <c r="I13" s="125"/>
      <c r="J13" s="123">
        <f t="shared" si="1"/>
        <v>25.374656000000002</v>
      </c>
      <c r="K13" s="126"/>
      <c r="M13" s="127"/>
      <c r="N13" s="18"/>
      <c r="O13" s="18"/>
      <c r="P13" s="36"/>
      <c r="Q13" s="36">
        <f>[1]Summary!F12/1000000</f>
        <v>2.42500954</v>
      </c>
      <c r="R13" s="36">
        <f>[1]Summary!F46/1000000</f>
        <v>2.97727963</v>
      </c>
      <c r="S13" s="36">
        <f>[1]Summary!L114/1000000</f>
        <v>19.603460999999999</v>
      </c>
      <c r="T13" s="36">
        <f>[1]Summary!L138/1000000</f>
        <v>8.7800294999999995</v>
      </c>
      <c r="U13" s="36">
        <f>[1]Summary!L163/1000000</f>
        <v>72.273927150000006</v>
      </c>
      <c r="V13" s="37"/>
      <c r="W13" s="36">
        <f>[1]Summary!L12/1000000</f>
        <v>1.033998</v>
      </c>
      <c r="X13" s="37">
        <f>[1]Summary!F28/1000000</f>
        <v>1.7079965999999998</v>
      </c>
      <c r="Y13" s="37">
        <f>[1]Summary!L28/1000000</f>
        <v>1.2748515</v>
      </c>
      <c r="Z13" s="37">
        <f>[1]Summary!L46/1000000</f>
        <v>4.2535492499999998</v>
      </c>
      <c r="AA13" s="37">
        <f>[1]Summary!F67/1000000</f>
        <v>2.2205940000000002</v>
      </c>
      <c r="AB13" s="37">
        <f>[1]Summary!L67/1000000</f>
        <v>0.34638029999999997</v>
      </c>
      <c r="AC13" s="37">
        <f>[1]Summary!F90/1000000</f>
        <v>25.150427850000007</v>
      </c>
      <c r="AD13" s="37">
        <f>[1]Summary!L90/1000000</f>
        <v>25.784172030000008</v>
      </c>
      <c r="AE13" s="37">
        <f>[1]Summary!F114/1000000</f>
        <v>36.136906150000009</v>
      </c>
      <c r="AF13" s="37">
        <f>[1]Summary!F138/1000000</f>
        <v>22.842842340000004</v>
      </c>
      <c r="AG13" s="37">
        <f>[1]Summary!F163/1000000</f>
        <v>27.522743660000003</v>
      </c>
      <c r="AH13" s="37">
        <f>'[2]IPA DR support'!G12</f>
        <v>0</v>
      </c>
      <c r="AI13" s="37">
        <f>'[2]IPA DR support'!H12</f>
        <v>4.2281463822500003</v>
      </c>
      <c r="AJ13" s="37">
        <f>'[2]IPA DR support'!I12</f>
        <v>94.314643271958346</v>
      </c>
      <c r="AK13" s="37">
        <f t="shared" si="2"/>
        <v>352.87695815420841</v>
      </c>
    </row>
    <row r="14" spans="1:37" s="115" customFormat="1" x14ac:dyDescent="0.25">
      <c r="A14" s="29">
        <v>9</v>
      </c>
      <c r="B14" s="29" t="s">
        <v>11</v>
      </c>
      <c r="C14" s="29"/>
      <c r="D14" s="120">
        <f>SUMIFS('Response #1'!$B$9:$S$9,'Response #1'!$B$3:$S$3,$B13)</f>
        <v>137493.03862599999</v>
      </c>
      <c r="E14" s="18">
        <f t="shared" si="3"/>
        <v>690.21505400000001</v>
      </c>
      <c r="F14" s="124">
        <f t="shared" si="0"/>
        <v>348.07756558156257</v>
      </c>
      <c r="G14" s="124"/>
      <c r="H14" s="123">
        <f t="shared" si="5"/>
        <v>342.13748841843744</v>
      </c>
      <c r="I14" s="125"/>
      <c r="J14" s="123">
        <f t="shared" si="1"/>
        <v>25.374656000000002</v>
      </c>
      <c r="K14" s="126"/>
      <c r="M14" s="127"/>
      <c r="N14" s="18"/>
      <c r="O14" s="18"/>
      <c r="P14" s="36"/>
      <c r="Q14" s="36">
        <f>[1]Summary!F13/1000000</f>
        <v>2.42500954</v>
      </c>
      <c r="R14" s="36">
        <f>[1]Summary!F47/1000000</f>
        <v>2.29976475</v>
      </c>
      <c r="S14" s="36">
        <f>[1]Summary!L115/1000000</f>
        <v>19.843533000000001</v>
      </c>
      <c r="T14" s="36">
        <f>[1]Summary!L139/1000000</f>
        <v>8.8842435000000002</v>
      </c>
      <c r="U14" s="36">
        <f>[1]Summary!L164/1000000</f>
        <v>72.99998715000001</v>
      </c>
      <c r="V14" s="37"/>
      <c r="W14" s="36">
        <f>[1]Summary!L13/1000000</f>
        <v>1.033998</v>
      </c>
      <c r="X14" s="37">
        <f>[1]Summary!F29/1000000</f>
        <v>1.7079965999999998</v>
      </c>
      <c r="Y14" s="37">
        <f>[1]Summary!L29/1000000</f>
        <v>1.2748515</v>
      </c>
      <c r="Z14" s="37">
        <f>[1]Summary!L47/1000000</f>
        <v>4.2535492499999998</v>
      </c>
      <c r="AA14" s="37">
        <f>[1]Summary!F68/1000000</f>
        <v>2.2205940000000002</v>
      </c>
      <c r="AB14" s="37">
        <f>[1]Summary!L68/1000000</f>
        <v>0.34882390000000002</v>
      </c>
      <c r="AC14" s="37">
        <f>[1]Summary!F91/1000000</f>
        <v>25.436181850000001</v>
      </c>
      <c r="AD14" s="37">
        <f>[1]Summary!L91/1000000</f>
        <v>26.101246430000003</v>
      </c>
      <c r="AE14" s="37">
        <f>[1]Summary!F115/1000000</f>
        <v>36.502769749999999</v>
      </c>
      <c r="AF14" s="37">
        <f>[1]Summary!F139/1000000</f>
        <v>23.092309140000001</v>
      </c>
      <c r="AG14" s="37">
        <f>[1]Summary!F164/1000000</f>
        <v>27.80266846</v>
      </c>
      <c r="AH14" s="37">
        <f>'[2]IPA DR support'!G13</f>
        <v>0</v>
      </c>
      <c r="AI14" s="37">
        <f>'[2]IPA DR support'!H13</f>
        <v>0.56677885056249999</v>
      </c>
      <c r="AJ14" s="37">
        <f>'[2]IPA DR support'!I13</f>
        <v>91.283259911000016</v>
      </c>
      <c r="AK14" s="37">
        <f t="shared" si="2"/>
        <v>348.07756558156257</v>
      </c>
    </row>
    <row r="15" spans="1:37" s="115" customFormat="1" x14ac:dyDescent="0.25">
      <c r="A15" s="29">
        <v>10</v>
      </c>
      <c r="B15" s="29" t="s">
        <v>12</v>
      </c>
      <c r="C15" s="29"/>
      <c r="D15" s="120">
        <f>SUMIFS('Response #1'!$B$9:$S$9,'Response #1'!$B$3:$S$3,$B14)</f>
        <v>148649.66215600001</v>
      </c>
      <c r="E15" s="18">
        <f t="shared" si="3"/>
        <v>746.22130400000003</v>
      </c>
      <c r="F15" s="124">
        <f t="shared" si="0"/>
        <v>339.08404635850002</v>
      </c>
      <c r="G15" s="124"/>
      <c r="H15" s="123">
        <f t="shared" si="5"/>
        <v>407.13725764150001</v>
      </c>
      <c r="I15" s="125"/>
      <c r="J15" s="123">
        <f t="shared" si="1"/>
        <v>25.374656000000002</v>
      </c>
      <c r="K15" s="126"/>
      <c r="M15" s="127"/>
      <c r="N15" s="18"/>
      <c r="O15" s="18"/>
      <c r="P15" s="36"/>
      <c r="Q15" s="36">
        <f>[1]Summary!F14/1000000</f>
        <v>2.42500954</v>
      </c>
      <c r="R15" s="36">
        <f>[1]Summary!F48/1000000</f>
        <v>1.81582555</v>
      </c>
      <c r="S15" s="36">
        <f>[1]Summary!L116/1000000</f>
        <v>19.063299000000001</v>
      </c>
      <c r="T15" s="36">
        <f>[1]Summary!L140/1000000</f>
        <v>8.5455480000000001</v>
      </c>
      <c r="U15" s="36">
        <f>[1]Summary!L165/1000000</f>
        <v>70.640292150000008</v>
      </c>
      <c r="V15" s="37"/>
      <c r="W15" s="36">
        <f>[1]Summary!L14/1000000</f>
        <v>1.033998</v>
      </c>
      <c r="X15" s="37">
        <f>[1]Summary!F30/1000000</f>
        <v>1.7079965999999998</v>
      </c>
      <c r="Y15" s="37">
        <f>[1]Summary!L30/1000000</f>
        <v>1.2748515</v>
      </c>
      <c r="Z15" s="37">
        <f>[1]Summary!L48/1000000</f>
        <v>4.2535492499999998</v>
      </c>
      <c r="AA15" s="37">
        <f>[1]Summary!F69/1000000</f>
        <v>2.2205940000000002</v>
      </c>
      <c r="AB15" s="37">
        <f>[1]Summary!L69/1000000</f>
        <v>0.34088220000000002</v>
      </c>
      <c r="AC15" s="37">
        <f>[1]Summary!F92/1000000</f>
        <v>24.507481350000003</v>
      </c>
      <c r="AD15" s="37">
        <f>[1]Summary!L92/1000000</f>
        <v>25.070754629999996</v>
      </c>
      <c r="AE15" s="37">
        <f>[1]Summary!F116/1000000</f>
        <v>35.313713049999997</v>
      </c>
      <c r="AF15" s="37">
        <f>[1]Summary!F140/1000000</f>
        <v>22.281542039999998</v>
      </c>
      <c r="AG15" s="37">
        <f>[1]Summary!F165/1000000</f>
        <v>26.892912859999999</v>
      </c>
      <c r="AH15" s="37">
        <f>'[2]IPA DR support'!G14</f>
        <v>0</v>
      </c>
      <c r="AI15" s="37">
        <f>'[2]IPA DR support'!H14</f>
        <v>0.41253672749999992</v>
      </c>
      <c r="AJ15" s="37">
        <f>'[2]IPA DR support'!I14</f>
        <v>91.283259911000016</v>
      </c>
      <c r="AK15" s="37">
        <f t="shared" si="2"/>
        <v>339.08404635850002</v>
      </c>
    </row>
    <row r="16" spans="1:37" s="115" customFormat="1" x14ac:dyDescent="0.25">
      <c r="A16" s="29">
        <v>11</v>
      </c>
      <c r="B16" s="29" t="s">
        <v>13</v>
      </c>
      <c r="C16" s="29"/>
      <c r="D16" s="120">
        <f>SUMIFS('Response #1'!$B$9:$S$9,'Response #1'!$B$3:$S$3,$B15)</f>
        <v>158982.13235600002</v>
      </c>
      <c r="E16" s="18">
        <f t="shared" si="3"/>
        <v>798.09030399999995</v>
      </c>
      <c r="F16" s="124">
        <f t="shared" si="0"/>
        <v>327.39375355850007</v>
      </c>
      <c r="G16" s="124"/>
      <c r="H16" s="123">
        <f t="shared" si="5"/>
        <v>470.69655044149988</v>
      </c>
      <c r="I16" s="125"/>
      <c r="J16" s="123">
        <f t="shared" si="1"/>
        <v>25.374656000000002</v>
      </c>
      <c r="K16" s="126"/>
      <c r="M16" s="127"/>
      <c r="N16" s="18"/>
      <c r="O16" s="18"/>
      <c r="P16" s="36"/>
      <c r="Q16" s="36">
        <f>[1]Summary!F15/1000000</f>
        <v>1.01820954</v>
      </c>
      <c r="R16" s="36">
        <f>[1]Summary!F49/1000000</f>
        <v>1.81582555</v>
      </c>
      <c r="S16" s="36">
        <f>[1]Summary!L117/1000000</f>
        <v>18.103010999999999</v>
      </c>
      <c r="T16" s="36">
        <f>[1]Summary!L141/1000000</f>
        <v>8.1286920000000009</v>
      </c>
      <c r="U16" s="36">
        <f>[1]Summary!L166/1000000</f>
        <v>67.736052150000006</v>
      </c>
      <c r="V16" s="37"/>
      <c r="W16" s="36">
        <f>[1]Summary!L15/1000000</f>
        <v>1.033998</v>
      </c>
      <c r="X16" s="37">
        <f>[1]Summary!F31/1000000</f>
        <v>1.7079965999999998</v>
      </c>
      <c r="Y16" s="37">
        <f>[1]Summary!L31/1000000</f>
        <v>1.2748515</v>
      </c>
      <c r="Z16" s="37">
        <f>[1]Summary!L49/1000000</f>
        <v>4.2535492499999998</v>
      </c>
      <c r="AA16" s="37">
        <f>[1]Summary!F70/1000000</f>
        <v>2.2205940000000002</v>
      </c>
      <c r="AB16" s="37">
        <f>[1]Summary!L70/1000000</f>
        <v>0.33110780000000001</v>
      </c>
      <c r="AC16" s="37">
        <f>[1]Summary!F93/1000000</f>
        <v>23.364465350000007</v>
      </c>
      <c r="AD16" s="37">
        <f>[1]Summary!L93/1000000</f>
        <v>23.80245703000001</v>
      </c>
      <c r="AE16" s="37">
        <f>[1]Summary!F117/1000000</f>
        <v>33.850258650000008</v>
      </c>
      <c r="AF16" s="37">
        <f>[1]Summary!F141/1000000</f>
        <v>21.283674840000003</v>
      </c>
      <c r="AG16" s="37">
        <f>[1]Summary!F166/1000000</f>
        <v>25.773213660000003</v>
      </c>
      <c r="AH16" s="37">
        <f>'[2]IPA DR support'!G15</f>
        <v>0</v>
      </c>
      <c r="AI16" s="37">
        <f>'[2]IPA DR support'!H15</f>
        <v>0.41253672749999992</v>
      </c>
      <c r="AJ16" s="37">
        <f>'[2]IPA DR support'!I15</f>
        <v>91.283259911000016</v>
      </c>
      <c r="AK16" s="37">
        <f t="shared" si="2"/>
        <v>327.39375355850007</v>
      </c>
    </row>
    <row r="17" spans="1:37" s="115" customFormat="1" x14ac:dyDescent="0.25">
      <c r="A17" s="29">
        <v>12</v>
      </c>
      <c r="B17" s="29" t="s">
        <v>14</v>
      </c>
      <c r="C17" s="29"/>
      <c r="D17" s="120">
        <f>SUMIFS('Response #1'!$B$9:$S$9,'Response #1'!$B$3:$S$3,$B16)</f>
        <v>167281.51379400003</v>
      </c>
      <c r="E17" s="18">
        <f t="shared" si="3"/>
        <v>839.753199</v>
      </c>
      <c r="F17" s="124">
        <f t="shared" si="0"/>
        <v>313.16023633933332</v>
      </c>
      <c r="G17" s="124"/>
      <c r="H17" s="123">
        <f t="shared" si="5"/>
        <v>526.59296266066667</v>
      </c>
      <c r="I17" s="125"/>
      <c r="J17" s="123">
        <f t="shared" si="1"/>
        <v>25.374656000000002</v>
      </c>
      <c r="K17" s="126"/>
      <c r="M17" s="127"/>
      <c r="N17" s="18"/>
      <c r="O17" s="18"/>
      <c r="P17" s="36"/>
      <c r="Q17" s="36">
        <v>0</v>
      </c>
      <c r="R17" s="36">
        <v>0</v>
      </c>
      <c r="S17" s="36">
        <f>[1]Summary!L118/1000000</f>
        <v>17.382795000000002</v>
      </c>
      <c r="T17" s="36">
        <f>[1]Summary!L142/1000000</f>
        <v>7.8160499999999997</v>
      </c>
      <c r="U17" s="36">
        <f>[1]Summary!L167/1000000</f>
        <v>65.557872150000009</v>
      </c>
      <c r="V17" s="37"/>
      <c r="W17" s="36">
        <v>0</v>
      </c>
      <c r="X17" s="37">
        <f>[1]Summary!F32/1000000</f>
        <v>0.40099222499999998</v>
      </c>
      <c r="Y17" s="37">
        <f>[1]Summary!L32/1000000</f>
        <v>0.53118812500000012</v>
      </c>
      <c r="Z17" s="37">
        <f>[1]Summary!L50/1000000</f>
        <v>3.7190740125000001</v>
      </c>
      <c r="AA17" s="37">
        <f>[1]Summary!F71/1000000</f>
        <v>2.1528724583333334</v>
      </c>
      <c r="AB17" s="37">
        <f>[1]Summary!L71/1000000</f>
        <v>0.32377699999999998</v>
      </c>
      <c r="AC17" s="37">
        <f>[1]Summary!F94/1000000</f>
        <v>22.507203350000001</v>
      </c>
      <c r="AD17" s="37">
        <f>[1]Summary!L94/1000000</f>
        <v>22.851233830000002</v>
      </c>
      <c r="AE17" s="37">
        <f>[1]Summary!F118/1000000</f>
        <v>32.752667850000002</v>
      </c>
      <c r="AF17" s="37">
        <f>[1]Summary!F142/1000000</f>
        <v>20.535274440000002</v>
      </c>
      <c r="AG17" s="37">
        <f>[1]Summary!F167/1000000</f>
        <v>24.93343926</v>
      </c>
      <c r="AH17" s="37">
        <f>'[2]IPA DR support'!G16</f>
        <v>0</v>
      </c>
      <c r="AI17" s="37">
        <f>'[2]IPA DR support'!H16</f>
        <v>0.41253672749999992</v>
      </c>
      <c r="AJ17" s="37">
        <f>'[2]IPA DR support'!I16</f>
        <v>91.283259911000016</v>
      </c>
      <c r="AK17" s="37">
        <f t="shared" si="2"/>
        <v>313.16023633933332</v>
      </c>
    </row>
    <row r="18" spans="1:37" s="115" customFormat="1" x14ac:dyDescent="0.25">
      <c r="A18" s="29">
        <v>13</v>
      </c>
      <c r="B18" s="29" t="s">
        <v>33</v>
      </c>
      <c r="C18" s="29"/>
      <c r="D18" s="120">
        <f>SUMIFS('Response #1'!$B$9:$S$9,'Response #1'!$B$3:$S$3,$B17)</f>
        <v>172337.43052200001</v>
      </c>
      <c r="E18" s="18">
        <f t="shared" si="3"/>
        <v>865.13390100000004</v>
      </c>
      <c r="F18" s="124">
        <f t="shared" si="0"/>
        <v>316.64569286016666</v>
      </c>
      <c r="G18" s="124"/>
      <c r="H18" s="123">
        <f t="shared" si="5"/>
        <v>548.48820813983343</v>
      </c>
      <c r="I18" s="125"/>
      <c r="J18" s="123">
        <f t="shared" si="1"/>
        <v>25.374656000000002</v>
      </c>
      <c r="K18" s="126"/>
      <c r="M18" s="127"/>
      <c r="N18" s="18"/>
      <c r="O18" s="18"/>
      <c r="P18" s="36"/>
      <c r="Q18" s="36">
        <v>0</v>
      </c>
      <c r="R18" s="36">
        <v>0</v>
      </c>
      <c r="S18" s="36">
        <f>[1]Summary!L119/1000000</f>
        <v>18.042992999999999</v>
      </c>
      <c r="T18" s="36">
        <f>[1]Summary!L143/1000000</f>
        <v>8.1026384999999994</v>
      </c>
      <c r="U18" s="36">
        <f>[1]Summary!L168/1000000</f>
        <v>67.554537150000002</v>
      </c>
      <c r="V18" s="37"/>
      <c r="W18" s="36">
        <v>0</v>
      </c>
      <c r="X18" s="37">
        <v>0</v>
      </c>
      <c r="Y18" s="37">
        <v>0</v>
      </c>
      <c r="Z18" s="37">
        <f>[1]Summary!L51/1000000</f>
        <v>1.9290744999999998</v>
      </c>
      <c r="AA18" s="37">
        <f>[1]Summary!F72/1000000</f>
        <v>1.2906075416666667</v>
      </c>
      <c r="AB18" s="37">
        <f>[1]Summary!L72/1000000</f>
        <v>0.33049690000000004</v>
      </c>
      <c r="AC18" s="37">
        <f>[1]Summary!F95/1000000</f>
        <v>23.29302685</v>
      </c>
      <c r="AD18" s="37">
        <f>[1]Summary!L95/1000000</f>
        <v>23.723188430000004</v>
      </c>
      <c r="AE18" s="37">
        <f>[1]Summary!F119/1000000</f>
        <v>33.758792749999998</v>
      </c>
      <c r="AF18" s="37">
        <f>[1]Summary!F143/1000000</f>
        <v>21.221308140000001</v>
      </c>
      <c r="AG18" s="37">
        <f>[1]Summary!F168/1000000</f>
        <v>25.703232460000002</v>
      </c>
      <c r="AH18" s="37">
        <f>'[2]IPA DR support'!G17</f>
        <v>0</v>
      </c>
      <c r="AI18" s="37">
        <f>'[2]IPA DR support'!H17</f>
        <v>0.41253672749999992</v>
      </c>
      <c r="AJ18" s="37">
        <f>'[2]IPA DR support'!I17</f>
        <v>91.283259911000002</v>
      </c>
      <c r="AK18" s="37">
        <f t="shared" si="2"/>
        <v>316.64569286016666</v>
      </c>
    </row>
    <row r="19" spans="1:37" s="115" customFormat="1" x14ac:dyDescent="0.25">
      <c r="A19" s="29">
        <v>14</v>
      </c>
      <c r="B19" s="29" t="s">
        <v>34</v>
      </c>
      <c r="C19" s="29"/>
      <c r="D19" s="120">
        <f>SUMIFS('Response #1'!$B$9:$S$9,'Response #1'!$B$3:$S$3,$B18)</f>
        <v>175083.63645399999</v>
      </c>
      <c r="E19" s="18">
        <f t="shared" si="3"/>
        <v>878.91985499999998</v>
      </c>
      <c r="F19" s="124">
        <f t="shared" si="0"/>
        <v>310.12857921850002</v>
      </c>
      <c r="G19" s="124"/>
      <c r="H19" s="123">
        <f t="shared" si="5"/>
        <v>568.79127578149996</v>
      </c>
      <c r="I19" s="125"/>
      <c r="J19" s="123">
        <f t="shared" si="1"/>
        <v>25.374656000000002</v>
      </c>
      <c r="K19" s="126"/>
      <c r="M19" s="127"/>
      <c r="N19" s="18"/>
      <c r="O19" s="18"/>
      <c r="P19" s="36"/>
      <c r="Q19" s="36"/>
      <c r="R19" s="36"/>
      <c r="S19" s="36">
        <f>[1]Summary!L120/1000000</f>
        <v>17.562849</v>
      </c>
      <c r="T19" s="36">
        <f>[1]Summary!L144/1000000</f>
        <v>7.8942104999999989</v>
      </c>
      <c r="U19" s="36">
        <f>[1]Summary!L169/1000000</f>
        <v>66.102417149999994</v>
      </c>
      <c r="V19" s="37"/>
      <c r="W19" s="36"/>
      <c r="X19" s="37">
        <v>0</v>
      </c>
      <c r="Y19" s="37">
        <v>0</v>
      </c>
      <c r="Z19" s="37">
        <f>[1]Summary!L52/1000000</f>
        <v>1.8443147999999998</v>
      </c>
      <c r="AA19" s="37">
        <v>0</v>
      </c>
      <c r="AB19" s="37">
        <f>[1]Summary!L73/1000000</f>
        <v>0.3256097</v>
      </c>
      <c r="AC19" s="37">
        <f>[1]Summary!F96/1000000</f>
        <v>22.721518850000002</v>
      </c>
      <c r="AD19" s="37">
        <f>[1]Summary!L96/1000000</f>
        <v>23.089039629999995</v>
      </c>
      <c r="AE19" s="37">
        <f>[1]Summary!F120/1000000</f>
        <v>33.027065549999996</v>
      </c>
      <c r="AF19" s="37">
        <f>[1]Summary!F144/1000000</f>
        <v>20.722374540000001</v>
      </c>
      <c r="AG19" s="37">
        <f>[1]Summary!F169/1000000</f>
        <v>25.143382859999999</v>
      </c>
      <c r="AH19" s="37">
        <f>'[2]IPA DR support'!G18</f>
        <v>0</v>
      </c>
      <c r="AI19" s="37">
        <f>'[2]IPA DR support'!H18</f>
        <v>0.41253672749999992</v>
      </c>
      <c r="AJ19" s="37">
        <f>'[2]IPA DR support'!I18</f>
        <v>91.283259911000002</v>
      </c>
      <c r="AK19" s="37">
        <f t="shared" si="2"/>
        <v>310.12857921850002</v>
      </c>
    </row>
    <row r="20" spans="1:37" s="115" customFormat="1" x14ac:dyDescent="0.25">
      <c r="A20" s="29">
        <v>15</v>
      </c>
      <c r="B20" s="29" t="s">
        <v>47</v>
      </c>
      <c r="C20" s="29"/>
      <c r="D20" s="120">
        <f>SUMIFS('Response #1'!$B$9:$S$9,'Response #1'!$B$3:$S$3,$B19)</f>
        <v>175817.44573500002</v>
      </c>
      <c r="E20" s="18">
        <f t="shared" si="3"/>
        <v>882.60357799999997</v>
      </c>
      <c r="F20" s="124">
        <f t="shared" si="0"/>
        <v>308.28426441850002</v>
      </c>
      <c r="G20" s="124"/>
      <c r="H20" s="123">
        <f t="shared" si="5"/>
        <v>574.31931358149996</v>
      </c>
      <c r="I20" s="125"/>
      <c r="J20" s="123">
        <f t="shared" si="1"/>
        <v>25.374656000000002</v>
      </c>
      <c r="K20" s="126"/>
      <c r="M20" s="127"/>
      <c r="N20" s="18"/>
      <c r="O20" s="18"/>
      <c r="P20" s="36"/>
      <c r="Q20" s="36"/>
      <c r="R20" s="36"/>
      <c r="S20" s="36">
        <f>[1]Summary!L121/1000000</f>
        <v>17.562849</v>
      </c>
      <c r="T20" s="36">
        <f>[1]Summary!L145/1000000</f>
        <v>7.8942104999999989</v>
      </c>
      <c r="U20" s="36">
        <f>[1]Summary!L170/1000000</f>
        <v>66.102417149999994</v>
      </c>
      <c r="V20" s="37"/>
      <c r="W20" s="36"/>
      <c r="X20" s="37"/>
      <c r="Y20" s="37"/>
      <c r="Z20" s="37">
        <v>0</v>
      </c>
      <c r="AA20" s="37">
        <v>0</v>
      </c>
      <c r="AB20" s="37">
        <f>[1]Summary!L74/1000000</f>
        <v>0.3256097</v>
      </c>
      <c r="AC20" s="37">
        <f>[1]Summary!F97/1000000</f>
        <v>22.721518850000002</v>
      </c>
      <c r="AD20" s="37">
        <f>[1]Summary!L97/1000000</f>
        <v>23.089039629999995</v>
      </c>
      <c r="AE20" s="37">
        <f>[1]Summary!F121/1000000</f>
        <v>33.027065549999996</v>
      </c>
      <c r="AF20" s="37">
        <f>[1]Summary!F145/1000000</f>
        <v>20.722374540000001</v>
      </c>
      <c r="AG20" s="37">
        <f>[1]Summary!F170/1000000</f>
        <v>25.143382859999999</v>
      </c>
      <c r="AH20" s="37">
        <f>'[2]IPA DR support'!G19</f>
        <v>0</v>
      </c>
      <c r="AI20" s="37">
        <f>'[2]IPA DR support'!H19</f>
        <v>0.41253672749999992</v>
      </c>
      <c r="AJ20" s="37">
        <f>'[2]IPA DR support'!I19</f>
        <v>91.283259911000002</v>
      </c>
      <c r="AK20" s="37">
        <f t="shared" si="2"/>
        <v>308.28426441850002</v>
      </c>
    </row>
    <row r="21" spans="1:37" s="115" customFormat="1" x14ac:dyDescent="0.25">
      <c r="A21" s="29">
        <v>16</v>
      </c>
      <c r="B21" s="29" t="s">
        <v>48</v>
      </c>
      <c r="C21" s="29"/>
      <c r="D21" s="120">
        <f>SUMIFS('Response #1'!$B$9:$S$9,'Response #1'!$B$3:$S$3,$B20)</f>
        <v>176715.19253599999</v>
      </c>
      <c r="E21" s="18">
        <f t="shared" si="3"/>
        <v>887.11026700000002</v>
      </c>
      <c r="F21" s="124">
        <f t="shared" si="0"/>
        <v>307.6415461185</v>
      </c>
      <c r="G21" s="124"/>
      <c r="H21" s="123">
        <f t="shared" si="5"/>
        <v>579.46872088150008</v>
      </c>
      <c r="I21" s="125"/>
      <c r="J21" s="123">
        <f t="shared" si="1"/>
        <v>25.374656000000002</v>
      </c>
      <c r="K21" s="126"/>
      <c r="M21" s="127"/>
      <c r="N21" s="18"/>
      <c r="O21" s="18"/>
      <c r="P21" s="36"/>
      <c r="Q21" s="36"/>
      <c r="R21" s="36"/>
      <c r="S21" s="36">
        <f>[1]Summary!L122/1000000</f>
        <v>17.502831</v>
      </c>
      <c r="T21" s="36">
        <f>[1]Summary!L146/1000000</f>
        <v>7.868157000000001</v>
      </c>
      <c r="U21" s="36">
        <f>[1]Summary!L171/1000000</f>
        <v>65.920902150000003</v>
      </c>
      <c r="V21" s="37"/>
      <c r="W21" s="36"/>
      <c r="X21" s="37"/>
      <c r="Y21" s="37"/>
      <c r="Z21" s="37"/>
      <c r="AA21" s="37"/>
      <c r="AB21" s="37">
        <f>[1]Summary!L75/1000000</f>
        <v>0.32499879999999998</v>
      </c>
      <c r="AC21" s="37">
        <f>[1]Summary!F98/1000000</f>
        <v>22.650080350000007</v>
      </c>
      <c r="AD21" s="37">
        <f>[1]Summary!L98/1000000</f>
        <v>23.00977103000001</v>
      </c>
      <c r="AE21" s="37">
        <f>[1]Summary!F122/1000000</f>
        <v>32.935599650000007</v>
      </c>
      <c r="AF21" s="37">
        <f>[1]Summary!F146/1000000</f>
        <v>20.660007840000002</v>
      </c>
      <c r="AG21" s="37">
        <f>[1]Summary!F171/1000000</f>
        <v>25.073401660000005</v>
      </c>
      <c r="AH21" s="37">
        <f>'[2]IPA DR support'!G20</f>
        <v>0</v>
      </c>
      <c r="AI21" s="37">
        <f>'[2]IPA DR support'!H20</f>
        <v>0.41253672749999992</v>
      </c>
      <c r="AJ21" s="37">
        <f>'[2]IPA DR support'!I20</f>
        <v>91.283259911000002</v>
      </c>
      <c r="AK21" s="37">
        <f t="shared" si="2"/>
        <v>307.6415461185</v>
      </c>
    </row>
    <row r="22" spans="1:37" s="115" customFormat="1" x14ac:dyDescent="0.25">
      <c r="A22" s="29">
        <v>17</v>
      </c>
      <c r="B22" s="29" t="s">
        <v>77</v>
      </c>
      <c r="D22" s="120">
        <f>SUMIFS('Response #1'!$B$9:$S$9,'Response #1'!$B$3:$S$3,$B21)</f>
        <v>177204.91448499999</v>
      </c>
      <c r="E22" s="18">
        <f t="shared" si="3"/>
        <v>889.56867099999999</v>
      </c>
      <c r="F22" s="124">
        <f t="shared" si="0"/>
        <v>305.07067291849995</v>
      </c>
      <c r="G22" s="124"/>
      <c r="H22" s="123">
        <f t="shared" si="5"/>
        <v>584.4979980815001</v>
      </c>
      <c r="I22" s="125"/>
      <c r="J22" s="123">
        <f t="shared" si="1"/>
        <v>25.374656000000002</v>
      </c>
      <c r="K22" s="126"/>
      <c r="M22" s="127"/>
      <c r="N22" s="18"/>
      <c r="O22" s="18"/>
      <c r="P22" s="36"/>
      <c r="Q22" s="36"/>
      <c r="R22" s="36"/>
      <c r="S22" s="36">
        <f>[1]Summary!L123/1000000</f>
        <v>17.262758999999999</v>
      </c>
      <c r="T22" s="36">
        <f>[1]Summary!L147/1000000</f>
        <v>7.7639429999999994</v>
      </c>
      <c r="U22" s="36">
        <f>[1]Summary!L172/1000000</f>
        <v>65.194842149999999</v>
      </c>
      <c r="V22" s="37"/>
      <c r="W22" s="36"/>
      <c r="X22" s="37"/>
      <c r="Y22" s="37"/>
      <c r="Z22" s="37"/>
      <c r="AA22" s="37"/>
      <c r="AB22" s="37">
        <f>[1]Summary!L76/1000000</f>
        <v>0.32255519999999999</v>
      </c>
      <c r="AC22" s="37">
        <f>[1]Summary!F99/1000000</f>
        <v>22.364326350000002</v>
      </c>
      <c r="AD22" s="37">
        <f>[1]Summary!L99/1000000</f>
        <v>22.692696629999997</v>
      </c>
      <c r="AE22" s="37">
        <f>[1]Summary!F123/1000000</f>
        <v>32.569736049999996</v>
      </c>
      <c r="AF22" s="37">
        <f>[1]Summary!F147/1000000</f>
        <v>20.410541039999998</v>
      </c>
      <c r="AG22" s="37">
        <f>[1]Summary!F172/1000000</f>
        <v>24.793476859999998</v>
      </c>
      <c r="AH22" s="37">
        <f>'[2]IPA DR support'!G21</f>
        <v>0</v>
      </c>
      <c r="AI22" s="37">
        <f>'[2]IPA DR support'!H21</f>
        <v>0.41253672749999992</v>
      </c>
      <c r="AJ22" s="37">
        <f>'[2]IPA DR support'!I21</f>
        <v>91.283259911000002</v>
      </c>
      <c r="AK22" s="37">
        <f t="shared" si="2"/>
        <v>305.07067291849995</v>
      </c>
    </row>
    <row r="23" spans="1:37" s="115" customFormat="1" x14ac:dyDescent="0.25">
      <c r="A23" s="29">
        <v>18</v>
      </c>
      <c r="B23" s="29" t="s">
        <v>78</v>
      </c>
      <c r="D23" s="120">
        <f>SUMIFS('Response #1'!$B$9:$S$9,'Response #1'!$B$3:$S$3,$B22)</f>
        <v>177699.94578799998</v>
      </c>
      <c r="E23" s="18">
        <f t="shared" si="3"/>
        <v>892.05372799999998</v>
      </c>
      <c r="F23" s="124">
        <f t="shared" si="0"/>
        <v>303.78523631850004</v>
      </c>
      <c r="G23" s="124"/>
      <c r="H23" s="123">
        <f t="shared" si="5"/>
        <v>588.26849168149988</v>
      </c>
      <c r="I23" s="125"/>
      <c r="J23" s="123">
        <f t="shared" si="1"/>
        <v>25.374656000000002</v>
      </c>
      <c r="K23" s="126"/>
      <c r="M23" s="127"/>
      <c r="N23" s="18"/>
      <c r="O23" s="18"/>
      <c r="P23" s="36"/>
      <c r="Q23" s="36"/>
      <c r="R23" s="36"/>
      <c r="S23" s="36">
        <f>[1]Summary!L124/1000000</f>
        <v>17.142723</v>
      </c>
      <c r="T23" s="36">
        <f>[1]Summary!L148/1000000</f>
        <v>7.7118359999999999</v>
      </c>
      <c r="U23" s="36">
        <f>[1]Summary!L173/1000000</f>
        <v>64.831812150000005</v>
      </c>
      <c r="V23" s="37"/>
      <c r="W23" s="36"/>
      <c r="X23" s="37"/>
      <c r="Y23" s="36"/>
      <c r="Z23" s="36"/>
      <c r="AA23" s="37"/>
      <c r="AB23" s="37">
        <f>[1]Summary!L77/1000000</f>
        <v>0.32133340000000005</v>
      </c>
      <c r="AC23" s="37">
        <f>[1]Summary!F100/1000000</f>
        <v>22.22144935</v>
      </c>
      <c r="AD23" s="37">
        <f>[1]Summary!L100/1000000</f>
        <v>22.534159430000003</v>
      </c>
      <c r="AE23" s="37">
        <f>[1]Summary!F124/1000000</f>
        <v>32.386804249999997</v>
      </c>
      <c r="AF23" s="37">
        <f>[1]Summary!F148/1000000</f>
        <v>20.285807640000002</v>
      </c>
      <c r="AG23" s="37">
        <f>[1]Summary!F173/1000000</f>
        <v>24.65351446</v>
      </c>
      <c r="AH23" s="37">
        <f>'[2]IPA DR support'!G22</f>
        <v>0</v>
      </c>
      <c r="AI23" s="37">
        <f>'[2]IPA DR support'!H22</f>
        <v>0.41253672749999987</v>
      </c>
      <c r="AJ23" s="37">
        <f>'[2]IPA DR support'!I22</f>
        <v>91.283259911000002</v>
      </c>
      <c r="AK23" s="37">
        <f t="shared" si="2"/>
        <v>303.78523631850004</v>
      </c>
    </row>
    <row r="24" spans="1:37" s="115" customFormat="1" x14ac:dyDescent="0.25">
      <c r="A24" s="29">
        <v>19</v>
      </c>
      <c r="B24" s="29" t="s">
        <v>115</v>
      </c>
      <c r="D24" s="120">
        <f>SUMIFS('Response #1'!$B$9:$S$9,'Response #1'!$B$3:$S$3,$B23)</f>
        <v>178200.35241900003</v>
      </c>
      <c r="E24" s="18">
        <f t="shared" si="3"/>
        <v>894.56576900000005</v>
      </c>
      <c r="F24" s="124">
        <f t="shared" si="0"/>
        <v>301.04641645624997</v>
      </c>
      <c r="H24" s="123">
        <f t="shared" si="5"/>
        <v>593.51935254375007</v>
      </c>
      <c r="I24" s="125"/>
      <c r="J24" s="123">
        <f t="shared" si="1"/>
        <v>25.374656000000002</v>
      </c>
      <c r="N24" s="18"/>
      <c r="O24" s="18"/>
      <c r="P24" s="36"/>
      <c r="Q24" s="36"/>
      <c r="R24" s="36"/>
      <c r="S24" s="36">
        <f>[1]Summary!L125/1000000</f>
        <v>16.962669000000002</v>
      </c>
      <c r="T24" s="36">
        <f>[1]Summary!L149/1000000</f>
        <v>7.6336754999999989</v>
      </c>
      <c r="U24" s="36">
        <f>[1]Summary!L174/1000000</f>
        <v>64.287267150000005</v>
      </c>
      <c r="V24" s="37"/>
      <c r="W24" s="36"/>
      <c r="X24" s="37"/>
      <c r="Y24" s="36"/>
      <c r="Z24" s="36"/>
      <c r="AA24" s="37"/>
      <c r="AB24" s="37">
        <f>[1]Summary!L78/1000000</f>
        <v>0.31950070000000003</v>
      </c>
      <c r="AC24" s="37">
        <f>[1]Summary!F101/1000000</f>
        <v>22.007133850000002</v>
      </c>
      <c r="AD24" s="37">
        <f>[1]Summary!L101/1000000</f>
        <v>22.296353629999995</v>
      </c>
      <c r="AE24" s="37">
        <f>[1]Summary!F125/1000000</f>
        <v>32.112406549999996</v>
      </c>
      <c r="AF24" s="37">
        <f>[1]Summary!F149/1000000</f>
        <v>20.098707539999999</v>
      </c>
      <c r="AG24" s="37">
        <f>[1]Summary!F174/1000000</f>
        <v>24.443570859999998</v>
      </c>
      <c r="AH24" s="37">
        <f>'[2]IPA DR support'!G23</f>
        <v>0</v>
      </c>
      <c r="AI24" s="37">
        <f>'[2]IPA DR support'!H23</f>
        <v>0.41253672749999987</v>
      </c>
      <c r="AJ24" s="37">
        <f>'[2]IPA DR support'!I23</f>
        <v>90.47259494875</v>
      </c>
      <c r="AK24" s="37">
        <f t="shared" si="2"/>
        <v>301.04641645624997</v>
      </c>
    </row>
    <row r="25" spans="1:37" s="115" customFormat="1" x14ac:dyDescent="0.25">
      <c r="A25" s="29">
        <v>20</v>
      </c>
      <c r="B25" s="29" t="s">
        <v>116</v>
      </c>
      <c r="D25" s="120">
        <f>SUMIFS('Response #1'!$B$9:$U$9,'Response #1'!$B$3:$U$3,$B24)</f>
        <v>179096.85631599999</v>
      </c>
      <c r="E25" s="18">
        <f t="shared" si="3"/>
        <v>899.06621900000005</v>
      </c>
      <c r="F25" s="124">
        <f t="shared" si="0"/>
        <v>286.25100555525</v>
      </c>
      <c r="H25" s="123">
        <f>E25-F25</f>
        <v>612.81521344475004</v>
      </c>
      <c r="I25" s="125"/>
      <c r="J25" s="123">
        <f t="shared" si="1"/>
        <v>25.374656000000002</v>
      </c>
      <c r="N25" s="18"/>
      <c r="O25" s="18"/>
      <c r="P25" s="36"/>
      <c r="Q25" s="36"/>
      <c r="R25" s="36"/>
      <c r="S25" s="36">
        <f>[1]Summary!L126/1000000</f>
        <v>16.462118879999995</v>
      </c>
      <c r="T25" s="36">
        <f>[1]Summary!L150/1000000</f>
        <v>7.4163893099999987</v>
      </c>
      <c r="U25" s="36">
        <f>[1]Summary!L175/1000000</f>
        <v>62.773432049999997</v>
      </c>
      <c r="V25" s="37"/>
      <c r="W25" s="36"/>
      <c r="X25" s="37"/>
      <c r="Y25" s="37"/>
      <c r="Z25" s="37"/>
      <c r="AA25" s="37"/>
      <c r="AB25" s="37">
        <f>[1]Summary!L79/1000000</f>
        <v>0.31440579399999996</v>
      </c>
      <c r="AC25" s="37">
        <f>[1]Summary!F102/1000000</f>
        <v>21.41133675999999</v>
      </c>
      <c r="AD25" s="37">
        <f>[1]Summary!L102/1000000</f>
        <v>21.635253505999994</v>
      </c>
      <c r="AE25" s="37">
        <f>[1]Summary!F126/1000000</f>
        <v>31.349580943999992</v>
      </c>
      <c r="AF25" s="37">
        <f>[1]Summary!F150/1000000</f>
        <v>19.578569261999998</v>
      </c>
      <c r="AG25" s="37">
        <f>[1]Summary!F175/1000000</f>
        <v>23.859927651999996</v>
      </c>
      <c r="AH25" s="37">
        <f>'[2]IPA DR support'!G24</f>
        <v>0</v>
      </c>
      <c r="AI25" s="37">
        <f>'[2]IPA DR support'!H24</f>
        <v>0.38896112374999992</v>
      </c>
      <c r="AJ25" s="37">
        <f>'[2]IPA DR support'!I24</f>
        <v>81.061030273499995</v>
      </c>
      <c r="AK25" s="37">
        <f t="shared" si="2"/>
        <v>286.25100555525</v>
      </c>
    </row>
    <row r="26" spans="1:37" s="115" customFormat="1" x14ac:dyDescent="0.25">
      <c r="M26" s="126"/>
      <c r="AB26" s="37"/>
      <c r="AC26" s="37"/>
    </row>
    <row r="27" spans="1:37" s="115" customFormat="1" x14ac:dyDescent="0.25">
      <c r="A27" s="129" t="s">
        <v>45</v>
      </c>
    </row>
    <row r="28" spans="1:37" s="115" customFormat="1" x14ac:dyDescent="0.25">
      <c r="A28" s="129" t="s">
        <v>62</v>
      </c>
    </row>
    <row r="29" spans="1:37" s="115" customFormat="1" x14ac:dyDescent="0.25">
      <c r="A29" s="115" t="s">
        <v>155</v>
      </c>
    </row>
    <row r="30" spans="1:37" s="115" customFormat="1" x14ac:dyDescent="0.25">
      <c r="A30" s="115" t="s">
        <v>156</v>
      </c>
    </row>
    <row r="31" spans="1:37" s="115" customFormat="1" x14ac:dyDescent="0.25">
      <c r="A31" s="115" t="s">
        <v>157</v>
      </c>
      <c r="F31" s="130"/>
      <c r="H31" s="131"/>
      <c r="I31" s="131"/>
    </row>
    <row r="32" spans="1:37" s="115" customFormat="1" x14ac:dyDescent="0.25">
      <c r="A32" s="115" t="s">
        <v>158</v>
      </c>
      <c r="F32" s="130"/>
      <c r="H32" s="131"/>
      <c r="I32" s="131"/>
    </row>
    <row r="33" spans="1:9" s="115" customFormat="1" x14ac:dyDescent="0.25">
      <c r="A33" s="115" t="s">
        <v>159</v>
      </c>
      <c r="F33" s="130"/>
      <c r="H33" s="131"/>
      <c r="I33" s="131"/>
    </row>
    <row r="34" spans="1:9" s="115" customFormat="1" x14ac:dyDescent="0.25">
      <c r="F34" s="130"/>
      <c r="H34" s="131"/>
      <c r="I34" s="131"/>
    </row>
    <row r="35" spans="1:9" s="115" customFormat="1" x14ac:dyDescent="0.25">
      <c r="F35" s="130"/>
      <c r="H35" s="131"/>
      <c r="I35" s="131"/>
    </row>
    <row r="36" spans="1:9" s="115" customFormat="1" x14ac:dyDescent="0.25">
      <c r="F36" s="130"/>
      <c r="H36" s="131"/>
      <c r="I36" s="131"/>
    </row>
    <row r="37" spans="1:9" s="115" customFormat="1" x14ac:dyDescent="0.25">
      <c r="F37" s="130"/>
      <c r="H37" s="131"/>
      <c r="I37" s="131"/>
    </row>
    <row r="38" spans="1:9" x14ac:dyDescent="0.25">
      <c r="F38" s="16"/>
      <c r="H38" s="15"/>
      <c r="I38" s="15"/>
    </row>
    <row r="39" spans="1:9" x14ac:dyDescent="0.25">
      <c r="F39" s="16"/>
      <c r="H39" s="15"/>
      <c r="I39" s="15"/>
    </row>
    <row r="40" spans="1:9" x14ac:dyDescent="0.25">
      <c r="F40" s="16"/>
      <c r="H40" s="15"/>
      <c r="I40" s="15"/>
    </row>
    <row r="41" spans="1:9" x14ac:dyDescent="0.25">
      <c r="F41" s="16"/>
      <c r="H41" s="15"/>
      <c r="I41" s="15"/>
    </row>
    <row r="42" spans="1:9" x14ac:dyDescent="0.25">
      <c r="F42" s="16"/>
      <c r="H42" s="15"/>
      <c r="I42" s="15"/>
    </row>
    <row r="43" spans="1:9" x14ac:dyDescent="0.25">
      <c r="F43" s="16"/>
      <c r="H43" s="15"/>
      <c r="I43" s="15"/>
    </row>
    <row r="44" spans="1:9" x14ac:dyDescent="0.25">
      <c r="F44" s="16"/>
      <c r="H44" s="15"/>
      <c r="I44" s="15"/>
    </row>
    <row r="45" spans="1:9" x14ac:dyDescent="0.25">
      <c r="F45" s="16"/>
      <c r="H45" s="15"/>
      <c r="I45" s="15"/>
    </row>
    <row r="46" spans="1:9" x14ac:dyDescent="0.25">
      <c r="F46" s="16"/>
      <c r="H46" s="15"/>
      <c r="I46" s="15"/>
    </row>
    <row r="47" spans="1:9" x14ac:dyDescent="0.25">
      <c r="F47" s="16"/>
      <c r="H47" s="15"/>
      <c r="I47" s="15"/>
    </row>
    <row r="48" spans="1:9" x14ac:dyDescent="0.25">
      <c r="F48" s="16"/>
      <c r="H48" s="15"/>
      <c r="I48" s="15"/>
    </row>
    <row r="49" spans="6:9" x14ac:dyDescent="0.25">
      <c r="F49" s="16"/>
      <c r="H49" s="15"/>
      <c r="I49" s="15"/>
    </row>
    <row r="50" spans="6:9" x14ac:dyDescent="0.25">
      <c r="F50" s="16"/>
      <c r="H50" s="15"/>
      <c r="I50" s="15"/>
    </row>
    <row r="51" spans="6:9" x14ac:dyDescent="0.25">
      <c r="F51" s="16"/>
      <c r="H51" s="15"/>
    </row>
  </sheetData>
  <mergeCells count="3">
    <mergeCell ref="A1:V1"/>
    <mergeCell ref="P4:U4"/>
    <mergeCell ref="V4:AJ4"/>
  </mergeCells>
  <phoneticPr fontId="8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EF533-C2F1-465D-B095-3FB402E8A022}">
  <dimension ref="B1:Q75"/>
  <sheetViews>
    <sheetView workbookViewId="0">
      <selection activeCell="E24" sqref="E24"/>
    </sheetView>
  </sheetViews>
  <sheetFormatPr defaultRowHeight="12.75" x14ac:dyDescent="0.2"/>
  <cols>
    <col min="1" max="2" width="9.140625" style="76"/>
    <col min="3" max="3" width="9.5703125" style="76" bestFit="1" customWidth="1"/>
    <col min="4" max="4" width="18.140625" style="77" bestFit="1" customWidth="1"/>
    <col min="5" max="5" width="20.7109375" style="78" bestFit="1" customWidth="1"/>
    <col min="6" max="6" width="19.28515625" style="78" bestFit="1" customWidth="1"/>
    <col min="7" max="7" width="17.7109375" style="76" customWidth="1"/>
    <col min="8" max="8" width="9.140625" style="76"/>
    <col min="9" max="9" width="9.5703125" style="76" bestFit="1" customWidth="1"/>
    <col min="10" max="10" width="18.140625" style="77" bestFit="1" customWidth="1"/>
    <col min="11" max="11" width="20.7109375" style="78" bestFit="1" customWidth="1"/>
    <col min="12" max="12" width="19.28515625" style="78" bestFit="1" customWidth="1"/>
    <col min="13" max="14" width="9.140625" style="76"/>
    <col min="15" max="15" width="12.28515625" style="76" bestFit="1" customWidth="1"/>
    <col min="16" max="16" width="25.140625" style="76" customWidth="1"/>
    <col min="17" max="17" width="35.42578125" style="76" customWidth="1"/>
    <col min="18" max="16384" width="9.140625" style="76"/>
  </cols>
  <sheetData>
    <row r="1" spans="2:17" ht="15" x14ac:dyDescent="0.25">
      <c r="B1" s="132" t="s">
        <v>103</v>
      </c>
      <c r="C1" s="141"/>
      <c r="D1" s="141"/>
      <c r="E1" s="141"/>
      <c r="F1" s="142"/>
      <c r="G1" s="142"/>
      <c r="H1" s="142"/>
      <c r="I1" s="142"/>
      <c r="J1" s="142"/>
      <c r="K1" s="142"/>
      <c r="L1" s="142"/>
    </row>
    <row r="3" spans="2:17" x14ac:dyDescent="0.2">
      <c r="B3" s="39" t="s">
        <v>104</v>
      </c>
      <c r="C3" s="47"/>
      <c r="D3" s="79"/>
      <c r="E3" s="80"/>
      <c r="F3" s="80"/>
      <c r="G3" s="38"/>
      <c r="H3" s="39" t="s">
        <v>105</v>
      </c>
      <c r="I3" s="47"/>
      <c r="J3" s="79"/>
      <c r="K3" s="80"/>
      <c r="L3" s="80"/>
    </row>
    <row r="4" spans="2:17" x14ac:dyDescent="0.2">
      <c r="B4" s="40" t="s">
        <v>0</v>
      </c>
      <c r="C4" s="41"/>
      <c r="D4" s="81" t="s">
        <v>109</v>
      </c>
      <c r="E4" s="82" t="s">
        <v>99</v>
      </c>
      <c r="F4" s="83" t="s">
        <v>100</v>
      </c>
      <c r="G4" s="48"/>
      <c r="H4" s="40" t="s">
        <v>0</v>
      </c>
      <c r="I4" s="41"/>
      <c r="J4" s="81" t="s">
        <v>109</v>
      </c>
      <c r="K4" s="82" t="s">
        <v>99</v>
      </c>
      <c r="L4" s="83" t="s">
        <v>100</v>
      </c>
      <c r="O4" s="84" t="s">
        <v>106</v>
      </c>
    </row>
    <row r="5" spans="2:17" x14ac:dyDescent="0.2">
      <c r="B5" s="42" t="s">
        <v>101</v>
      </c>
      <c r="C5" s="63" t="s">
        <v>102</v>
      </c>
      <c r="D5" s="85" t="s">
        <v>91</v>
      </c>
      <c r="E5" s="86" t="s">
        <v>91</v>
      </c>
      <c r="F5" s="87" t="s">
        <v>91</v>
      </c>
      <c r="G5" s="48"/>
      <c r="H5" s="42" t="s">
        <v>101</v>
      </c>
      <c r="I5" s="43" t="s">
        <v>102</v>
      </c>
      <c r="J5" s="85" t="s">
        <v>92</v>
      </c>
      <c r="K5" s="86" t="s">
        <v>92</v>
      </c>
      <c r="L5" s="87" t="s">
        <v>92</v>
      </c>
      <c r="O5" s="88"/>
      <c r="P5" s="89" t="s">
        <v>107</v>
      </c>
      <c r="Q5" s="89" t="s">
        <v>108</v>
      </c>
    </row>
    <row r="6" spans="2:17" x14ac:dyDescent="0.2">
      <c r="B6" s="75">
        <v>1</v>
      </c>
      <c r="C6" s="61" t="s">
        <v>3</v>
      </c>
      <c r="D6" s="90">
        <v>3.5725896384995477</v>
      </c>
      <c r="E6" s="91">
        <v>678782</v>
      </c>
      <c r="F6" s="92">
        <v>2425009.54</v>
      </c>
      <c r="G6" s="51"/>
      <c r="H6" s="49">
        <v>1</v>
      </c>
      <c r="I6" s="61" t="s">
        <v>3</v>
      </c>
      <c r="J6" s="93">
        <v>7.35</v>
      </c>
      <c r="K6" s="52">
        <v>140680</v>
      </c>
      <c r="L6" s="53">
        <v>1033998</v>
      </c>
      <c r="O6" s="88" t="s">
        <v>92</v>
      </c>
      <c r="P6" s="94">
        <v>17108092.166666668</v>
      </c>
      <c r="Q6" s="94">
        <v>127269006.5125</v>
      </c>
    </row>
    <row r="7" spans="2:17" x14ac:dyDescent="0.2">
      <c r="B7" s="48">
        <v>2</v>
      </c>
      <c r="C7" s="50" t="s">
        <v>4</v>
      </c>
      <c r="D7" s="95">
        <v>3.5725896384995477</v>
      </c>
      <c r="E7" s="96">
        <v>678782</v>
      </c>
      <c r="F7" s="53">
        <v>2425009.54</v>
      </c>
      <c r="G7" s="51"/>
      <c r="H7" s="49">
        <v>2</v>
      </c>
      <c r="I7" s="50" t="s">
        <v>4</v>
      </c>
      <c r="J7" s="93">
        <v>7.35</v>
      </c>
      <c r="K7" s="52">
        <v>140680</v>
      </c>
      <c r="L7" s="53">
        <v>1033998</v>
      </c>
      <c r="O7" s="88" t="s">
        <v>91</v>
      </c>
      <c r="P7" s="97">
        <v>14848696.833333332</v>
      </c>
      <c r="Q7" s="97">
        <v>55017957.829999991</v>
      </c>
    </row>
    <row r="8" spans="2:17" x14ac:dyDescent="0.2">
      <c r="B8" s="48">
        <v>3</v>
      </c>
      <c r="C8" s="50" t="s">
        <v>5</v>
      </c>
      <c r="D8" s="95">
        <v>3.5725896384995477</v>
      </c>
      <c r="E8" s="96">
        <v>678782</v>
      </c>
      <c r="F8" s="53">
        <v>2425009.54</v>
      </c>
      <c r="G8" s="51"/>
      <c r="H8" s="49">
        <v>3</v>
      </c>
      <c r="I8" s="50" t="s">
        <v>5</v>
      </c>
      <c r="J8" s="93">
        <v>7.35</v>
      </c>
      <c r="K8" s="52">
        <v>140680</v>
      </c>
      <c r="L8" s="53">
        <v>1033998</v>
      </c>
      <c r="P8" s="94">
        <v>31956789</v>
      </c>
      <c r="Q8" s="94">
        <v>182286964.3425</v>
      </c>
    </row>
    <row r="9" spans="2:17" x14ac:dyDescent="0.2">
      <c r="B9" s="48">
        <v>4</v>
      </c>
      <c r="C9" s="50" t="s">
        <v>6</v>
      </c>
      <c r="D9" s="95">
        <v>3.5725896384995477</v>
      </c>
      <c r="E9" s="96">
        <v>678782</v>
      </c>
      <c r="F9" s="53">
        <v>2425009.54</v>
      </c>
      <c r="G9" s="51"/>
      <c r="H9" s="49">
        <v>4</v>
      </c>
      <c r="I9" s="50" t="s">
        <v>6</v>
      </c>
      <c r="J9" s="93">
        <v>7.35</v>
      </c>
      <c r="K9" s="52">
        <v>140680</v>
      </c>
      <c r="L9" s="53">
        <v>1033998</v>
      </c>
    </row>
    <row r="10" spans="2:17" x14ac:dyDescent="0.2">
      <c r="B10" s="48">
        <v>5</v>
      </c>
      <c r="C10" s="50" t="s">
        <v>7</v>
      </c>
      <c r="D10" s="95">
        <v>3.5725896384995477</v>
      </c>
      <c r="E10" s="96">
        <v>678782</v>
      </c>
      <c r="F10" s="53">
        <v>2425009.54</v>
      </c>
      <c r="G10" s="51"/>
      <c r="H10" s="49">
        <v>5</v>
      </c>
      <c r="I10" s="50" t="s">
        <v>7</v>
      </c>
      <c r="J10" s="93">
        <v>7.35</v>
      </c>
      <c r="K10" s="52">
        <v>140680</v>
      </c>
      <c r="L10" s="53">
        <v>1033998</v>
      </c>
    </row>
    <row r="11" spans="2:17" x14ac:dyDescent="0.2">
      <c r="B11" s="48">
        <v>6</v>
      </c>
      <c r="C11" s="50" t="s">
        <v>8</v>
      </c>
      <c r="D11" s="95">
        <v>3.5725896384995477</v>
      </c>
      <c r="E11" s="96">
        <v>678782</v>
      </c>
      <c r="F11" s="53">
        <v>2425009.54</v>
      </c>
      <c r="G11" s="51"/>
      <c r="H11" s="49">
        <v>6</v>
      </c>
      <c r="I11" s="50" t="s">
        <v>8</v>
      </c>
      <c r="J11" s="93">
        <v>7.35</v>
      </c>
      <c r="K11" s="52">
        <v>140680</v>
      </c>
      <c r="L11" s="53">
        <v>1033998</v>
      </c>
    </row>
    <row r="12" spans="2:17" x14ac:dyDescent="0.2">
      <c r="B12" s="48">
        <v>7</v>
      </c>
      <c r="C12" s="50" t="s">
        <v>9</v>
      </c>
      <c r="D12" s="95">
        <v>3.5725896384995477</v>
      </c>
      <c r="E12" s="96">
        <v>678782</v>
      </c>
      <c r="F12" s="53">
        <v>2425009.54</v>
      </c>
      <c r="G12" s="51"/>
      <c r="H12" s="49">
        <v>7</v>
      </c>
      <c r="I12" s="50" t="s">
        <v>9</v>
      </c>
      <c r="J12" s="93">
        <v>7.35</v>
      </c>
      <c r="K12" s="52">
        <v>140680</v>
      </c>
      <c r="L12" s="53">
        <v>1033998</v>
      </c>
    </row>
    <row r="13" spans="2:17" x14ac:dyDescent="0.2">
      <c r="B13" s="48">
        <v>8</v>
      </c>
      <c r="C13" s="50" t="s">
        <v>10</v>
      </c>
      <c r="D13" s="95">
        <v>3.5725896384995477</v>
      </c>
      <c r="E13" s="96">
        <v>678782</v>
      </c>
      <c r="F13" s="53">
        <v>2425009.54</v>
      </c>
      <c r="G13" s="51"/>
      <c r="H13" s="49">
        <v>8</v>
      </c>
      <c r="I13" s="50" t="s">
        <v>10</v>
      </c>
      <c r="J13" s="93">
        <v>7.35</v>
      </c>
      <c r="K13" s="52">
        <v>140680</v>
      </c>
      <c r="L13" s="53">
        <v>1033998</v>
      </c>
    </row>
    <row r="14" spans="2:17" x14ac:dyDescent="0.2">
      <c r="B14" s="48">
        <v>9</v>
      </c>
      <c r="C14" s="50" t="s">
        <v>11</v>
      </c>
      <c r="D14" s="95">
        <v>3.5725896384995477</v>
      </c>
      <c r="E14" s="96">
        <v>678782</v>
      </c>
      <c r="F14" s="53">
        <v>2425009.54</v>
      </c>
      <c r="G14" s="51"/>
      <c r="H14" s="49">
        <v>9</v>
      </c>
      <c r="I14" s="50" t="s">
        <v>11</v>
      </c>
      <c r="J14" s="93">
        <v>7.35</v>
      </c>
      <c r="K14" s="52">
        <v>140680</v>
      </c>
      <c r="L14" s="53">
        <v>1033998</v>
      </c>
    </row>
    <row r="15" spans="2:17" x14ac:dyDescent="0.2">
      <c r="B15" s="48">
        <v>10</v>
      </c>
      <c r="C15" s="50" t="s">
        <v>12</v>
      </c>
      <c r="D15" s="95">
        <v>3.5725896384995477</v>
      </c>
      <c r="E15" s="96">
        <v>678782</v>
      </c>
      <c r="F15" s="53">
        <v>2425009.54</v>
      </c>
      <c r="G15" s="51"/>
      <c r="H15" s="49">
        <v>10</v>
      </c>
      <c r="I15" s="50" t="s">
        <v>12</v>
      </c>
      <c r="J15" s="93">
        <v>7.35</v>
      </c>
      <c r="K15" s="52">
        <v>140680</v>
      </c>
      <c r="L15" s="53">
        <v>1033998</v>
      </c>
    </row>
    <row r="16" spans="2:17" x14ac:dyDescent="0.2">
      <c r="B16" s="42">
        <v>11</v>
      </c>
      <c r="C16" s="46" t="s">
        <v>13</v>
      </c>
      <c r="D16" s="98">
        <v>3.1130100097223328</v>
      </c>
      <c r="E16" s="99">
        <v>327082</v>
      </c>
      <c r="F16" s="65">
        <v>1018209.54</v>
      </c>
      <c r="G16" s="51"/>
      <c r="H16" s="49">
        <v>11</v>
      </c>
      <c r="I16" s="50" t="s">
        <v>13</v>
      </c>
      <c r="J16" s="93">
        <v>7.35</v>
      </c>
      <c r="K16" s="52">
        <v>140680</v>
      </c>
      <c r="L16" s="53">
        <v>1033998</v>
      </c>
    </row>
    <row r="17" spans="2:12" x14ac:dyDescent="0.2">
      <c r="B17" s="100"/>
      <c r="C17" s="44" t="s">
        <v>2</v>
      </c>
      <c r="D17" s="101">
        <v>3.5514621199280039</v>
      </c>
      <c r="E17" s="102">
        <v>7114902</v>
      </c>
      <c r="F17" s="102">
        <v>25268304.939999994</v>
      </c>
      <c r="G17" s="51"/>
      <c r="H17" s="54"/>
      <c r="I17" s="103" t="s">
        <v>2</v>
      </c>
      <c r="J17" s="104">
        <v>7.35</v>
      </c>
      <c r="K17" s="56">
        <v>1547480</v>
      </c>
      <c r="L17" s="58">
        <v>11373978</v>
      </c>
    </row>
    <row r="18" spans="2:12" x14ac:dyDescent="0.2">
      <c r="B18" s="38"/>
      <c r="C18" s="38"/>
      <c r="D18" s="79"/>
      <c r="E18" s="80"/>
      <c r="F18" s="80"/>
      <c r="G18" s="62"/>
      <c r="H18" s="38"/>
      <c r="I18" s="38"/>
      <c r="J18" s="79"/>
      <c r="K18" s="80"/>
      <c r="L18" s="80"/>
    </row>
    <row r="19" spans="2:12" x14ac:dyDescent="0.2">
      <c r="B19" s="39" t="s">
        <v>110</v>
      </c>
      <c r="C19" s="38"/>
      <c r="D19" s="79"/>
      <c r="E19" s="80"/>
      <c r="F19" s="80"/>
      <c r="G19" s="51"/>
      <c r="H19" s="39" t="s">
        <v>111</v>
      </c>
      <c r="I19" s="38"/>
      <c r="J19" s="79"/>
      <c r="K19" s="80"/>
      <c r="L19" s="80"/>
    </row>
    <row r="20" spans="2:12" x14ac:dyDescent="0.2">
      <c r="B20" s="40" t="s">
        <v>0</v>
      </c>
      <c r="C20" s="41"/>
      <c r="D20" s="81" t="s">
        <v>109</v>
      </c>
      <c r="E20" s="82" t="s">
        <v>99</v>
      </c>
      <c r="F20" s="105" t="s">
        <v>100</v>
      </c>
      <c r="G20" s="51"/>
      <c r="H20" s="40" t="s">
        <v>0</v>
      </c>
      <c r="I20" s="41"/>
      <c r="J20" s="81" t="s">
        <v>109</v>
      </c>
      <c r="K20" s="82" t="s">
        <v>99</v>
      </c>
      <c r="L20" s="83" t="s">
        <v>100</v>
      </c>
    </row>
    <row r="21" spans="2:12" x14ac:dyDescent="0.2">
      <c r="B21" s="42" t="s">
        <v>101</v>
      </c>
      <c r="C21" s="43" t="s">
        <v>102</v>
      </c>
      <c r="D21" s="85" t="s">
        <v>92</v>
      </c>
      <c r="E21" s="86" t="s">
        <v>92</v>
      </c>
      <c r="F21" s="87" t="s">
        <v>92</v>
      </c>
      <c r="G21" s="51"/>
      <c r="H21" s="42" t="s">
        <v>101</v>
      </c>
      <c r="I21" s="43" t="s">
        <v>102</v>
      </c>
      <c r="J21" s="85" t="s">
        <v>92</v>
      </c>
      <c r="K21" s="86" t="s">
        <v>92</v>
      </c>
      <c r="L21" s="87" t="s">
        <v>92</v>
      </c>
    </row>
    <row r="22" spans="2:12" x14ac:dyDescent="0.2">
      <c r="B22" s="49">
        <v>1</v>
      </c>
      <c r="C22" s="61" t="s">
        <v>3</v>
      </c>
      <c r="D22" s="93">
        <v>6.0705025589991468</v>
      </c>
      <c r="E22" s="52">
        <v>281360</v>
      </c>
      <c r="F22" s="53">
        <v>1707996.5999999999</v>
      </c>
      <c r="G22" s="51"/>
      <c r="H22" s="49">
        <v>1</v>
      </c>
      <c r="I22" s="61" t="s">
        <v>3</v>
      </c>
      <c r="J22" s="93">
        <v>5.07</v>
      </c>
      <c r="K22" s="52">
        <v>251450</v>
      </c>
      <c r="L22" s="53">
        <v>1274851.5</v>
      </c>
    </row>
    <row r="23" spans="2:12" x14ac:dyDescent="0.2">
      <c r="B23" s="49">
        <v>2</v>
      </c>
      <c r="C23" s="50" t="s">
        <v>4</v>
      </c>
      <c r="D23" s="93">
        <v>6.0705025589991468</v>
      </c>
      <c r="E23" s="52">
        <v>281360</v>
      </c>
      <c r="F23" s="53">
        <v>1707996.5999999999</v>
      </c>
      <c r="G23" s="51"/>
      <c r="H23" s="49">
        <v>2</v>
      </c>
      <c r="I23" s="50" t="s">
        <v>4</v>
      </c>
      <c r="J23" s="93">
        <v>5.07</v>
      </c>
      <c r="K23" s="52">
        <v>251450</v>
      </c>
      <c r="L23" s="53">
        <v>1274851.5</v>
      </c>
    </row>
    <row r="24" spans="2:12" x14ac:dyDescent="0.2">
      <c r="B24" s="49">
        <v>3</v>
      </c>
      <c r="C24" s="50" t="s">
        <v>5</v>
      </c>
      <c r="D24" s="93">
        <v>6.0705025589991468</v>
      </c>
      <c r="E24" s="52">
        <v>281360</v>
      </c>
      <c r="F24" s="53">
        <v>1707996.5999999999</v>
      </c>
      <c r="G24" s="51"/>
      <c r="H24" s="49">
        <v>3</v>
      </c>
      <c r="I24" s="50" t="s">
        <v>5</v>
      </c>
      <c r="J24" s="93">
        <v>5.07</v>
      </c>
      <c r="K24" s="52">
        <v>251450</v>
      </c>
      <c r="L24" s="53">
        <v>1274851.5</v>
      </c>
    </row>
    <row r="25" spans="2:12" x14ac:dyDescent="0.2">
      <c r="B25" s="49">
        <v>4</v>
      </c>
      <c r="C25" s="50" t="s">
        <v>6</v>
      </c>
      <c r="D25" s="93">
        <v>6.0705025589991468</v>
      </c>
      <c r="E25" s="52">
        <v>281360</v>
      </c>
      <c r="F25" s="53">
        <v>1707996.5999999999</v>
      </c>
      <c r="G25" s="51"/>
      <c r="H25" s="49">
        <v>4</v>
      </c>
      <c r="I25" s="50" t="s">
        <v>6</v>
      </c>
      <c r="J25" s="93">
        <v>5.07</v>
      </c>
      <c r="K25" s="52">
        <v>251450</v>
      </c>
      <c r="L25" s="53">
        <v>1274851.5</v>
      </c>
    </row>
    <row r="26" spans="2:12" x14ac:dyDescent="0.2">
      <c r="B26" s="49">
        <v>5</v>
      </c>
      <c r="C26" s="50" t="s">
        <v>7</v>
      </c>
      <c r="D26" s="93">
        <v>6.0705025589991468</v>
      </c>
      <c r="E26" s="52">
        <v>281360</v>
      </c>
      <c r="F26" s="53">
        <v>1707996.5999999999</v>
      </c>
      <c r="G26" s="51"/>
      <c r="H26" s="49">
        <v>5</v>
      </c>
      <c r="I26" s="50" t="s">
        <v>7</v>
      </c>
      <c r="J26" s="93">
        <v>5.07</v>
      </c>
      <c r="K26" s="52">
        <v>251450</v>
      </c>
      <c r="L26" s="53">
        <v>1274851.5</v>
      </c>
    </row>
    <row r="27" spans="2:12" x14ac:dyDescent="0.2">
      <c r="B27" s="49">
        <v>6</v>
      </c>
      <c r="C27" s="50" t="s">
        <v>8</v>
      </c>
      <c r="D27" s="93">
        <v>6.0705025589991468</v>
      </c>
      <c r="E27" s="52">
        <v>281360</v>
      </c>
      <c r="F27" s="53">
        <v>1707996.5999999999</v>
      </c>
      <c r="G27" s="51"/>
      <c r="H27" s="49">
        <v>6</v>
      </c>
      <c r="I27" s="50" t="s">
        <v>8</v>
      </c>
      <c r="J27" s="93">
        <v>5.07</v>
      </c>
      <c r="K27" s="52">
        <v>251450</v>
      </c>
      <c r="L27" s="53">
        <v>1274851.5</v>
      </c>
    </row>
    <row r="28" spans="2:12" x14ac:dyDescent="0.2">
      <c r="B28" s="49">
        <v>7</v>
      </c>
      <c r="C28" s="50" t="s">
        <v>9</v>
      </c>
      <c r="D28" s="93">
        <v>6.0705025589991468</v>
      </c>
      <c r="E28" s="52">
        <v>281360</v>
      </c>
      <c r="F28" s="53">
        <v>1707996.5999999999</v>
      </c>
      <c r="G28" s="51"/>
      <c r="H28" s="49">
        <v>7</v>
      </c>
      <c r="I28" s="50" t="s">
        <v>9</v>
      </c>
      <c r="J28" s="93">
        <v>5.07</v>
      </c>
      <c r="K28" s="52">
        <v>251450</v>
      </c>
      <c r="L28" s="53">
        <v>1274851.5</v>
      </c>
    </row>
    <row r="29" spans="2:12" x14ac:dyDescent="0.2">
      <c r="B29" s="49">
        <v>8</v>
      </c>
      <c r="C29" s="50" t="s">
        <v>10</v>
      </c>
      <c r="D29" s="93">
        <v>6.0705025589991468</v>
      </c>
      <c r="E29" s="52">
        <v>281360</v>
      </c>
      <c r="F29" s="53">
        <v>1707996.5999999999</v>
      </c>
      <c r="G29" s="51"/>
      <c r="H29" s="49">
        <v>8</v>
      </c>
      <c r="I29" s="50" t="s">
        <v>10</v>
      </c>
      <c r="J29" s="93">
        <v>5.07</v>
      </c>
      <c r="K29" s="52">
        <v>251450</v>
      </c>
      <c r="L29" s="53">
        <v>1274851.5</v>
      </c>
    </row>
    <row r="30" spans="2:12" x14ac:dyDescent="0.2">
      <c r="B30" s="49">
        <v>9</v>
      </c>
      <c r="C30" s="50" t="s">
        <v>11</v>
      </c>
      <c r="D30" s="93">
        <v>6.0705025589991468</v>
      </c>
      <c r="E30" s="52">
        <v>281360</v>
      </c>
      <c r="F30" s="53">
        <v>1707996.5999999999</v>
      </c>
      <c r="G30" s="57"/>
      <c r="H30" s="49">
        <v>9</v>
      </c>
      <c r="I30" s="50" t="s">
        <v>11</v>
      </c>
      <c r="J30" s="93">
        <v>5.07</v>
      </c>
      <c r="K30" s="52">
        <v>251450</v>
      </c>
      <c r="L30" s="53">
        <v>1274851.5</v>
      </c>
    </row>
    <row r="31" spans="2:12" x14ac:dyDescent="0.2">
      <c r="B31" s="49">
        <v>10</v>
      </c>
      <c r="C31" s="50" t="s">
        <v>12</v>
      </c>
      <c r="D31" s="93">
        <v>6.0705025589991468</v>
      </c>
      <c r="E31" s="52">
        <v>281360</v>
      </c>
      <c r="F31" s="53">
        <v>1707996.5999999999</v>
      </c>
      <c r="G31" s="38"/>
      <c r="H31" s="49">
        <v>10</v>
      </c>
      <c r="I31" s="50" t="s">
        <v>12</v>
      </c>
      <c r="J31" s="93">
        <v>5.07</v>
      </c>
      <c r="K31" s="52">
        <v>251450</v>
      </c>
      <c r="L31" s="53">
        <v>1274851.5</v>
      </c>
    </row>
    <row r="32" spans="2:12" x14ac:dyDescent="0.2">
      <c r="B32" s="49">
        <v>11</v>
      </c>
      <c r="C32" s="50" t="s">
        <v>13</v>
      </c>
      <c r="D32" s="93">
        <v>6.0705025589991468</v>
      </c>
      <c r="E32" s="52">
        <v>281360</v>
      </c>
      <c r="F32" s="53">
        <v>1707996.5999999999</v>
      </c>
      <c r="G32" s="38"/>
      <c r="H32" s="49">
        <v>11</v>
      </c>
      <c r="I32" s="50" t="s">
        <v>13</v>
      </c>
      <c r="J32" s="93">
        <v>5.07</v>
      </c>
      <c r="K32" s="52">
        <v>251450</v>
      </c>
      <c r="L32" s="53">
        <v>1274851.5</v>
      </c>
    </row>
    <row r="33" spans="2:12" x14ac:dyDescent="0.2">
      <c r="B33" s="49">
        <v>12</v>
      </c>
      <c r="C33" s="50" t="s">
        <v>14</v>
      </c>
      <c r="D33" s="93">
        <v>6.2531112820686081</v>
      </c>
      <c r="E33" s="52">
        <v>64126.833333333336</v>
      </c>
      <c r="F33" s="53">
        <v>400992.22499999998</v>
      </c>
      <c r="G33" s="48"/>
      <c r="H33" s="49">
        <v>12</v>
      </c>
      <c r="I33" s="50" t="s">
        <v>14</v>
      </c>
      <c r="J33" s="93">
        <v>5.07</v>
      </c>
      <c r="K33" s="52">
        <v>104770.83333333334</v>
      </c>
      <c r="L33" s="53">
        <v>531188.12500000012</v>
      </c>
    </row>
    <row r="34" spans="2:12" x14ac:dyDescent="0.2">
      <c r="B34" s="54"/>
      <c r="C34" s="55" t="s">
        <v>2</v>
      </c>
      <c r="D34" s="104">
        <v>6.07</v>
      </c>
      <c r="E34" s="56">
        <v>3159086.8333333335</v>
      </c>
      <c r="F34" s="58">
        <v>19188954.825000003</v>
      </c>
      <c r="G34" s="51"/>
      <c r="H34" s="54"/>
      <c r="I34" s="55" t="s">
        <v>2</v>
      </c>
      <c r="J34" s="104">
        <v>5.0699999999999994</v>
      </c>
      <c r="K34" s="56">
        <v>2870720.8333333335</v>
      </c>
      <c r="L34" s="58">
        <v>14554554.625</v>
      </c>
    </row>
    <row r="35" spans="2:12" x14ac:dyDescent="0.2">
      <c r="B35" s="38"/>
      <c r="C35" s="38"/>
      <c r="D35" s="79"/>
      <c r="E35" s="80"/>
      <c r="F35" s="80"/>
      <c r="G35" s="62"/>
      <c r="H35" s="38"/>
      <c r="I35" s="38"/>
      <c r="J35" s="79"/>
      <c r="K35" s="80"/>
      <c r="L35" s="80"/>
    </row>
    <row r="36" spans="2:12" x14ac:dyDescent="0.2">
      <c r="B36" s="38"/>
      <c r="C36" s="38"/>
      <c r="D36" s="79"/>
      <c r="E36" s="80"/>
      <c r="F36" s="80"/>
      <c r="G36" s="62"/>
      <c r="H36" s="38"/>
      <c r="I36" s="38"/>
      <c r="J36" s="79"/>
      <c r="K36" s="80"/>
      <c r="L36" s="80"/>
    </row>
    <row r="37" spans="2:12" x14ac:dyDescent="0.2">
      <c r="B37" s="39" t="s">
        <v>112</v>
      </c>
      <c r="C37" s="38"/>
      <c r="D37" s="79"/>
      <c r="E37" s="80"/>
      <c r="F37" s="80"/>
      <c r="G37" s="62"/>
      <c r="H37" s="39" t="s">
        <v>113</v>
      </c>
      <c r="I37" s="38"/>
      <c r="J37" s="79"/>
      <c r="K37" s="80"/>
      <c r="L37" s="80"/>
    </row>
    <row r="38" spans="2:12" x14ac:dyDescent="0.2">
      <c r="B38" s="40" t="s">
        <v>0</v>
      </c>
      <c r="C38" s="41"/>
      <c r="D38" s="81" t="s">
        <v>109</v>
      </c>
      <c r="E38" s="82" t="s">
        <v>99</v>
      </c>
      <c r="F38" s="83" t="s">
        <v>100</v>
      </c>
      <c r="G38" s="51"/>
      <c r="H38" s="40" t="s">
        <v>0</v>
      </c>
      <c r="I38" s="41"/>
      <c r="J38" s="81" t="s">
        <v>109</v>
      </c>
      <c r="K38" s="82" t="s">
        <v>99</v>
      </c>
      <c r="L38" s="83" t="s">
        <v>100</v>
      </c>
    </row>
    <row r="39" spans="2:12" x14ac:dyDescent="0.2">
      <c r="B39" s="42" t="s">
        <v>101</v>
      </c>
      <c r="C39" s="43" t="s">
        <v>102</v>
      </c>
      <c r="D39" s="85" t="s">
        <v>91</v>
      </c>
      <c r="E39" s="86" t="s">
        <v>91</v>
      </c>
      <c r="F39" s="87" t="s">
        <v>91</v>
      </c>
      <c r="G39" s="51"/>
      <c r="H39" s="42" t="s">
        <v>101</v>
      </c>
      <c r="I39" s="43" t="s">
        <v>102</v>
      </c>
      <c r="J39" s="85" t="s">
        <v>92</v>
      </c>
      <c r="K39" s="86" t="s">
        <v>92</v>
      </c>
      <c r="L39" s="87" t="s">
        <v>92</v>
      </c>
    </row>
    <row r="40" spans="2:12" x14ac:dyDescent="0.2">
      <c r="B40" s="49">
        <v>1</v>
      </c>
      <c r="C40" s="61" t="s">
        <v>3</v>
      </c>
      <c r="D40" s="93">
        <v>3.846092752275208</v>
      </c>
      <c r="E40" s="52">
        <v>774105</v>
      </c>
      <c r="F40" s="53">
        <v>2977279.63</v>
      </c>
      <c r="G40" s="51"/>
      <c r="H40" s="60">
        <v>1</v>
      </c>
      <c r="I40" s="61" t="s">
        <v>3</v>
      </c>
      <c r="J40" s="81">
        <v>6.1465787066540081</v>
      </c>
      <c r="K40" s="106">
        <v>692019</v>
      </c>
      <c r="L40" s="107">
        <v>4253549.25</v>
      </c>
    </row>
    <row r="41" spans="2:12" x14ac:dyDescent="0.2">
      <c r="B41" s="49">
        <v>2</v>
      </c>
      <c r="C41" s="50" t="s">
        <v>4</v>
      </c>
      <c r="D41" s="93">
        <v>3.846092752275208</v>
      </c>
      <c r="E41" s="52">
        <v>774105</v>
      </c>
      <c r="F41" s="53">
        <v>2977279.63</v>
      </c>
      <c r="G41" s="51"/>
      <c r="H41" s="49">
        <v>2</v>
      </c>
      <c r="I41" s="50" t="s">
        <v>4</v>
      </c>
      <c r="J41" s="93">
        <v>6.1465787066540081</v>
      </c>
      <c r="K41" s="52">
        <v>692019</v>
      </c>
      <c r="L41" s="108">
        <v>4253549.25</v>
      </c>
    </row>
    <row r="42" spans="2:12" x14ac:dyDescent="0.2">
      <c r="B42" s="49">
        <v>3</v>
      </c>
      <c r="C42" s="50" t="s">
        <v>5</v>
      </c>
      <c r="D42" s="93">
        <v>3.846092752275208</v>
      </c>
      <c r="E42" s="52">
        <v>774105</v>
      </c>
      <c r="F42" s="53">
        <v>2977279.63</v>
      </c>
      <c r="G42" s="51"/>
      <c r="H42" s="49">
        <v>3</v>
      </c>
      <c r="I42" s="50" t="s">
        <v>5</v>
      </c>
      <c r="J42" s="93">
        <v>6.1465787066540081</v>
      </c>
      <c r="K42" s="52">
        <v>692019</v>
      </c>
      <c r="L42" s="108">
        <v>4253549.25</v>
      </c>
    </row>
    <row r="43" spans="2:12" x14ac:dyDescent="0.2">
      <c r="B43" s="49">
        <v>4</v>
      </c>
      <c r="C43" s="50" t="s">
        <v>6</v>
      </c>
      <c r="D43" s="93">
        <v>3.846092752275208</v>
      </c>
      <c r="E43" s="52">
        <v>774105</v>
      </c>
      <c r="F43" s="53">
        <v>2977279.63</v>
      </c>
      <c r="G43" s="51"/>
      <c r="H43" s="49">
        <v>4</v>
      </c>
      <c r="I43" s="50" t="s">
        <v>6</v>
      </c>
      <c r="J43" s="93">
        <v>6.1465787066540081</v>
      </c>
      <c r="K43" s="52">
        <v>692019</v>
      </c>
      <c r="L43" s="108">
        <v>4253549.25</v>
      </c>
    </row>
    <row r="44" spans="2:12" x14ac:dyDescent="0.2">
      <c r="B44" s="49">
        <v>5</v>
      </c>
      <c r="C44" s="50" t="s">
        <v>7</v>
      </c>
      <c r="D44" s="93">
        <v>3.846092752275208</v>
      </c>
      <c r="E44" s="52">
        <v>774105</v>
      </c>
      <c r="F44" s="53">
        <v>2977279.63</v>
      </c>
      <c r="G44" s="51"/>
      <c r="H44" s="49">
        <v>5</v>
      </c>
      <c r="I44" s="50" t="s">
        <v>7</v>
      </c>
      <c r="J44" s="93">
        <v>6.1465787066540081</v>
      </c>
      <c r="K44" s="52">
        <v>692019</v>
      </c>
      <c r="L44" s="108">
        <v>4253549.25</v>
      </c>
    </row>
    <row r="45" spans="2:12" x14ac:dyDescent="0.2">
      <c r="B45" s="49">
        <v>6</v>
      </c>
      <c r="C45" s="50" t="s">
        <v>8</v>
      </c>
      <c r="D45" s="93">
        <v>3.846092752275208</v>
      </c>
      <c r="E45" s="52">
        <v>774105</v>
      </c>
      <c r="F45" s="53">
        <v>2977279.63</v>
      </c>
      <c r="G45" s="51"/>
      <c r="H45" s="49">
        <v>6</v>
      </c>
      <c r="I45" s="50" t="s">
        <v>8</v>
      </c>
      <c r="J45" s="93">
        <v>6.1465787066540081</v>
      </c>
      <c r="K45" s="52">
        <v>692019</v>
      </c>
      <c r="L45" s="108">
        <v>4253549.25</v>
      </c>
    </row>
    <row r="46" spans="2:12" x14ac:dyDescent="0.2">
      <c r="B46" s="49">
        <v>7</v>
      </c>
      <c r="C46" s="50" t="s">
        <v>9</v>
      </c>
      <c r="D46" s="93">
        <v>3.846092752275208</v>
      </c>
      <c r="E46" s="52">
        <v>774105</v>
      </c>
      <c r="F46" s="53">
        <v>2977279.63</v>
      </c>
      <c r="G46" s="57"/>
      <c r="H46" s="49">
        <v>7</v>
      </c>
      <c r="I46" s="50" t="s">
        <v>9</v>
      </c>
      <c r="J46" s="93">
        <v>6.1465787066540081</v>
      </c>
      <c r="K46" s="52">
        <v>692019</v>
      </c>
      <c r="L46" s="108">
        <v>4253549.25</v>
      </c>
    </row>
    <row r="47" spans="2:12" x14ac:dyDescent="0.2">
      <c r="B47" s="49">
        <v>8</v>
      </c>
      <c r="C47" s="50" t="s">
        <v>10</v>
      </c>
      <c r="D47" s="93">
        <v>3.846092752275208</v>
      </c>
      <c r="E47" s="52">
        <v>774105</v>
      </c>
      <c r="F47" s="53">
        <v>2977279.63</v>
      </c>
      <c r="G47" s="38"/>
      <c r="H47" s="49">
        <v>8</v>
      </c>
      <c r="I47" s="50" t="s">
        <v>10</v>
      </c>
      <c r="J47" s="93">
        <v>6.1465787066540081</v>
      </c>
      <c r="K47" s="52">
        <v>692019</v>
      </c>
      <c r="L47" s="108">
        <v>4253549.25</v>
      </c>
    </row>
    <row r="48" spans="2:12" x14ac:dyDescent="0.2">
      <c r="B48" s="49">
        <v>9</v>
      </c>
      <c r="C48" s="50" t="s">
        <v>11</v>
      </c>
      <c r="D48" s="93">
        <v>3.8478913768578082</v>
      </c>
      <c r="E48" s="52">
        <v>597668.83333333337</v>
      </c>
      <c r="F48" s="53">
        <v>2299764.75</v>
      </c>
      <c r="G48" s="38"/>
      <c r="H48" s="49">
        <v>9</v>
      </c>
      <c r="I48" s="50" t="s">
        <v>11</v>
      </c>
      <c r="J48" s="93">
        <v>6.1465787066540081</v>
      </c>
      <c r="K48" s="52">
        <v>692019</v>
      </c>
      <c r="L48" s="108">
        <v>4253549.25</v>
      </c>
    </row>
    <row r="49" spans="2:12" x14ac:dyDescent="0.2">
      <c r="B49" s="49">
        <v>10</v>
      </c>
      <c r="C49" s="50" t="s">
        <v>12</v>
      </c>
      <c r="D49" s="93">
        <v>3.85</v>
      </c>
      <c r="E49" s="52">
        <v>471643</v>
      </c>
      <c r="F49" s="53">
        <v>1815825.55</v>
      </c>
      <c r="G49" s="38"/>
      <c r="H49" s="49">
        <v>10</v>
      </c>
      <c r="I49" s="50" t="s">
        <v>12</v>
      </c>
      <c r="J49" s="93">
        <v>6.1465787066540081</v>
      </c>
      <c r="K49" s="52">
        <v>692019</v>
      </c>
      <c r="L49" s="108">
        <v>4253549.25</v>
      </c>
    </row>
    <row r="50" spans="2:12" x14ac:dyDescent="0.2">
      <c r="B50" s="49">
        <v>11</v>
      </c>
      <c r="C50" s="50" t="s">
        <v>13</v>
      </c>
      <c r="D50" s="93">
        <v>3.85</v>
      </c>
      <c r="E50" s="52">
        <v>471643</v>
      </c>
      <c r="F50" s="53">
        <v>1815825.55</v>
      </c>
      <c r="G50" s="38"/>
      <c r="H50" s="49">
        <v>11</v>
      </c>
      <c r="I50" s="50" t="s">
        <v>13</v>
      </c>
      <c r="J50" s="93">
        <v>6.1465787066540081</v>
      </c>
      <c r="K50" s="52">
        <v>692019</v>
      </c>
      <c r="L50" s="108">
        <v>4253549.25</v>
      </c>
    </row>
    <row r="51" spans="2:12" x14ac:dyDescent="0.2">
      <c r="B51" s="54"/>
      <c r="C51" s="55" t="s">
        <v>2</v>
      </c>
      <c r="D51" s="104">
        <v>3.8467083147559573</v>
      </c>
      <c r="E51" s="56">
        <v>7733794.833333333</v>
      </c>
      <c r="F51" s="58">
        <v>29749652.889999997</v>
      </c>
      <c r="G51" s="59"/>
      <c r="H51" s="49">
        <v>12</v>
      </c>
      <c r="I51" s="50" t="s">
        <v>14</v>
      </c>
      <c r="J51" s="93">
        <v>5.934398220673363</v>
      </c>
      <c r="K51" s="52">
        <v>626697.75</v>
      </c>
      <c r="L51" s="108">
        <v>3719074.0125000002</v>
      </c>
    </row>
    <row r="52" spans="2:12" x14ac:dyDescent="0.2">
      <c r="B52" s="38"/>
      <c r="C52" s="64"/>
      <c r="D52" s="79"/>
      <c r="E52" s="80"/>
      <c r="F52" s="80"/>
      <c r="G52" s="62"/>
      <c r="H52" s="49">
        <v>13</v>
      </c>
      <c r="I52" s="50" t="s">
        <v>33</v>
      </c>
      <c r="J52" s="93">
        <v>4.7081545064377677</v>
      </c>
      <c r="K52" s="52">
        <v>409730.5</v>
      </c>
      <c r="L52" s="108">
        <v>1929074.4999999998</v>
      </c>
    </row>
    <row r="53" spans="2:12" x14ac:dyDescent="0.2">
      <c r="B53" s="38"/>
      <c r="C53" s="64"/>
      <c r="D53" s="79"/>
      <c r="E53" s="80"/>
      <c r="F53" s="80"/>
      <c r="G53" s="62"/>
      <c r="H53" s="45">
        <v>14</v>
      </c>
      <c r="I53" s="46" t="s">
        <v>34</v>
      </c>
      <c r="J53" s="85">
        <v>4.5999999999999996</v>
      </c>
      <c r="K53" s="109">
        <v>400938</v>
      </c>
      <c r="L53" s="110">
        <v>1844314.7999999998</v>
      </c>
    </row>
    <row r="54" spans="2:12" x14ac:dyDescent="0.2">
      <c r="B54" s="38"/>
      <c r="C54" s="64"/>
      <c r="D54" s="79"/>
      <c r="E54" s="80"/>
      <c r="F54" s="80"/>
      <c r="G54" s="62"/>
      <c r="H54" s="54"/>
      <c r="I54" s="55" t="s">
        <v>2</v>
      </c>
      <c r="J54" s="104">
        <v>5.9982378800043685</v>
      </c>
      <c r="K54" s="56">
        <v>9049575.25</v>
      </c>
      <c r="L54" s="58">
        <v>54281505.0625</v>
      </c>
    </row>
    <row r="55" spans="2:12" x14ac:dyDescent="0.2">
      <c r="B55" s="38"/>
      <c r="C55" s="38"/>
      <c r="D55" s="79"/>
      <c r="E55" s="80"/>
      <c r="F55" s="80"/>
      <c r="G55" s="62"/>
      <c r="H55" s="38"/>
      <c r="I55" s="38"/>
      <c r="J55" s="79"/>
      <c r="K55" s="80"/>
      <c r="L55" s="80"/>
    </row>
    <row r="56" spans="2:12" x14ac:dyDescent="0.2">
      <c r="B56" s="38"/>
      <c r="C56" s="38"/>
      <c r="D56" s="79"/>
      <c r="E56" s="80"/>
      <c r="F56" s="80"/>
      <c r="G56" s="62"/>
    </row>
    <row r="57" spans="2:12" x14ac:dyDescent="0.2">
      <c r="B57" s="38"/>
      <c r="C57" s="38"/>
      <c r="D57" s="79"/>
      <c r="E57" s="80"/>
      <c r="F57" s="80"/>
      <c r="G57" s="62"/>
    </row>
    <row r="58" spans="2:12" x14ac:dyDescent="0.2">
      <c r="B58" s="39" t="s">
        <v>114</v>
      </c>
      <c r="C58" s="38"/>
      <c r="D58" s="79"/>
      <c r="E58" s="80"/>
      <c r="F58" s="80"/>
      <c r="G58" s="62"/>
    </row>
    <row r="59" spans="2:12" x14ac:dyDescent="0.2">
      <c r="B59" s="40" t="s">
        <v>0</v>
      </c>
      <c r="C59" s="41"/>
      <c r="D59" s="81" t="s">
        <v>109</v>
      </c>
      <c r="E59" s="82" t="s">
        <v>99</v>
      </c>
      <c r="F59" s="83" t="s">
        <v>100</v>
      </c>
      <c r="G59" s="51"/>
    </row>
    <row r="60" spans="2:12" x14ac:dyDescent="0.2">
      <c r="B60" s="42" t="s">
        <v>101</v>
      </c>
      <c r="C60" s="43" t="s">
        <v>102</v>
      </c>
      <c r="D60" s="85" t="s">
        <v>92</v>
      </c>
      <c r="E60" s="86" t="s">
        <v>92</v>
      </c>
      <c r="F60" s="87" t="s">
        <v>92</v>
      </c>
      <c r="G60" s="51"/>
    </row>
    <row r="61" spans="2:12" x14ac:dyDescent="0.2">
      <c r="B61" s="49">
        <v>1</v>
      </c>
      <c r="C61" s="61" t="s">
        <v>3</v>
      </c>
      <c r="D61" s="93">
        <v>58.104874793939871</v>
      </c>
      <c r="E61" s="52">
        <v>38217</v>
      </c>
      <c r="F61" s="53">
        <v>2220594</v>
      </c>
      <c r="G61" s="51"/>
    </row>
    <row r="62" spans="2:12" x14ac:dyDescent="0.2">
      <c r="B62" s="49">
        <v>2</v>
      </c>
      <c r="C62" s="50" t="s">
        <v>4</v>
      </c>
      <c r="D62" s="93">
        <v>58.104874793939871</v>
      </c>
      <c r="E62" s="52">
        <v>38217</v>
      </c>
      <c r="F62" s="53">
        <v>2220594</v>
      </c>
      <c r="G62" s="51"/>
    </row>
    <row r="63" spans="2:12" x14ac:dyDescent="0.2">
      <c r="B63" s="49">
        <v>3</v>
      </c>
      <c r="C63" s="50" t="s">
        <v>5</v>
      </c>
      <c r="D63" s="93">
        <v>58.104874793939871</v>
      </c>
      <c r="E63" s="52">
        <v>38217</v>
      </c>
      <c r="F63" s="53">
        <v>2220594</v>
      </c>
      <c r="G63" s="51"/>
    </row>
    <row r="64" spans="2:12" x14ac:dyDescent="0.2">
      <c r="B64" s="49">
        <v>4</v>
      </c>
      <c r="C64" s="50" t="s">
        <v>6</v>
      </c>
      <c r="D64" s="93">
        <v>58.104874793939871</v>
      </c>
      <c r="E64" s="52">
        <v>38217</v>
      </c>
      <c r="F64" s="53">
        <v>2220594</v>
      </c>
      <c r="G64" s="51"/>
    </row>
    <row r="65" spans="2:7" x14ac:dyDescent="0.2">
      <c r="B65" s="49">
        <v>5</v>
      </c>
      <c r="C65" s="50" t="s">
        <v>7</v>
      </c>
      <c r="D65" s="93">
        <v>58.104874793939871</v>
      </c>
      <c r="E65" s="52">
        <v>38217</v>
      </c>
      <c r="F65" s="53">
        <v>2220594</v>
      </c>
      <c r="G65" s="51"/>
    </row>
    <row r="66" spans="2:7" x14ac:dyDescent="0.2">
      <c r="B66" s="49">
        <v>6</v>
      </c>
      <c r="C66" s="50" t="s">
        <v>8</v>
      </c>
      <c r="D66" s="93">
        <v>58.104874793939871</v>
      </c>
      <c r="E66" s="52">
        <v>38217</v>
      </c>
      <c r="F66" s="53">
        <v>2220594</v>
      </c>
      <c r="G66" s="66"/>
    </row>
    <row r="67" spans="2:7" x14ac:dyDescent="0.2">
      <c r="B67" s="49">
        <v>7</v>
      </c>
      <c r="C67" s="50" t="s">
        <v>9</v>
      </c>
      <c r="D67" s="93">
        <v>58.104874793939871</v>
      </c>
      <c r="E67" s="52">
        <v>38217</v>
      </c>
      <c r="F67" s="53">
        <v>2220594</v>
      </c>
      <c r="G67" s="66"/>
    </row>
    <row r="68" spans="2:7" x14ac:dyDescent="0.2">
      <c r="B68" s="49">
        <v>8</v>
      </c>
      <c r="C68" s="50" t="s">
        <v>10</v>
      </c>
      <c r="D68" s="93">
        <v>58.104874793939871</v>
      </c>
      <c r="E68" s="52">
        <v>38217</v>
      </c>
      <c r="F68" s="53">
        <v>2220594</v>
      </c>
      <c r="G68" s="38"/>
    </row>
    <row r="69" spans="2:7" x14ac:dyDescent="0.2">
      <c r="B69" s="49">
        <v>9</v>
      </c>
      <c r="C69" s="50" t="s">
        <v>11</v>
      </c>
      <c r="D69" s="93">
        <v>58.104874793939871</v>
      </c>
      <c r="E69" s="52">
        <v>38217</v>
      </c>
      <c r="F69" s="53">
        <v>2220594</v>
      </c>
      <c r="G69" s="38"/>
    </row>
    <row r="70" spans="2:7" x14ac:dyDescent="0.2">
      <c r="B70" s="49">
        <v>10</v>
      </c>
      <c r="C70" s="50" t="s">
        <v>12</v>
      </c>
      <c r="D70" s="93">
        <v>58.104874793939871</v>
      </c>
      <c r="E70" s="52">
        <v>38217</v>
      </c>
      <c r="F70" s="53">
        <v>2220594</v>
      </c>
      <c r="G70" s="38"/>
    </row>
    <row r="71" spans="2:7" x14ac:dyDescent="0.2">
      <c r="B71" s="49">
        <v>11</v>
      </c>
      <c r="C71" s="50" t="s">
        <v>13</v>
      </c>
      <c r="D71" s="93">
        <v>58.104874793939871</v>
      </c>
      <c r="E71" s="52">
        <v>38217</v>
      </c>
      <c r="F71" s="53">
        <v>2220594</v>
      </c>
      <c r="G71" s="38"/>
    </row>
    <row r="72" spans="2:7" x14ac:dyDescent="0.2">
      <c r="B72" s="49">
        <v>12</v>
      </c>
      <c r="C72" s="50" t="s">
        <v>14</v>
      </c>
      <c r="D72" s="93">
        <v>57.899245176457931</v>
      </c>
      <c r="E72" s="52">
        <v>37183.083333333336</v>
      </c>
      <c r="F72" s="53">
        <v>2152872.4583333335</v>
      </c>
      <c r="G72" s="38"/>
    </row>
    <row r="73" spans="2:7" x14ac:dyDescent="0.2">
      <c r="B73" s="49">
        <v>13</v>
      </c>
      <c r="C73" s="50" t="s">
        <v>33</v>
      </c>
      <c r="D73" s="93">
        <v>54.55</v>
      </c>
      <c r="E73" s="52">
        <v>23659.166666666668</v>
      </c>
      <c r="F73" s="53">
        <v>1290607.5416666667</v>
      </c>
      <c r="G73" s="38"/>
    </row>
    <row r="74" spans="2:7" x14ac:dyDescent="0.2">
      <c r="B74" s="54"/>
      <c r="C74" s="55" t="s">
        <v>2</v>
      </c>
      <c r="D74" s="104">
        <v>57.914214483014071</v>
      </c>
      <c r="E74" s="56">
        <v>481229.25</v>
      </c>
      <c r="F74" s="58">
        <v>27870014</v>
      </c>
      <c r="G74" s="38"/>
    </row>
    <row r="75" spans="2:7" x14ac:dyDescent="0.2">
      <c r="B75" s="38"/>
      <c r="C75" s="64"/>
      <c r="D75" s="79"/>
      <c r="E75" s="80"/>
      <c r="F75" s="80"/>
      <c r="G75" s="38"/>
    </row>
  </sheetData>
  <mergeCells count="1">
    <mergeCell ref="B1:L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4BB87-AC5F-455B-96B0-881FE77FF134}">
  <dimension ref="A1:J20"/>
  <sheetViews>
    <sheetView workbookViewId="0">
      <selection activeCell="E24" sqref="E24"/>
    </sheetView>
  </sheetViews>
  <sheetFormatPr defaultRowHeight="15" x14ac:dyDescent="0.25"/>
  <cols>
    <col min="1" max="1" width="36.85546875" customWidth="1"/>
    <col min="2" max="2" width="15.42578125" bestFit="1" customWidth="1"/>
    <col min="3" max="4" width="15.28515625" bestFit="1" customWidth="1"/>
    <col min="5" max="5" width="16.28515625" bestFit="1" customWidth="1"/>
    <col min="6" max="7" width="15.28515625" customWidth="1"/>
    <col min="8" max="9" width="16.28515625" bestFit="1" customWidth="1"/>
    <col min="10" max="10" width="18" bestFit="1" customWidth="1"/>
  </cols>
  <sheetData>
    <row r="1" spans="1:10" x14ac:dyDescent="0.25">
      <c r="A1" s="143" t="s">
        <v>74</v>
      </c>
      <c r="B1" s="141"/>
      <c r="C1" s="141"/>
      <c r="D1" s="141"/>
      <c r="E1" s="133"/>
      <c r="F1" s="133"/>
      <c r="G1" s="133"/>
      <c r="H1" s="133"/>
    </row>
    <row r="3" spans="1:10" x14ac:dyDescent="0.25">
      <c r="A3" t="s">
        <v>65</v>
      </c>
    </row>
    <row r="4" spans="1:10" x14ac:dyDescent="0.25">
      <c r="A4" t="s">
        <v>66</v>
      </c>
    </row>
    <row r="5" spans="1:10" x14ac:dyDescent="0.25">
      <c r="A5" t="s">
        <v>87</v>
      </c>
    </row>
    <row r="6" spans="1:10" x14ac:dyDescent="0.25">
      <c r="A6" s="71"/>
      <c r="I6" s="71"/>
    </row>
    <row r="7" spans="1:10" x14ac:dyDescent="0.25">
      <c r="A7" t="s">
        <v>73</v>
      </c>
      <c r="B7" s="22" t="s">
        <v>81</v>
      </c>
      <c r="C7" s="22" t="s">
        <v>82</v>
      </c>
      <c r="D7" s="22" t="s">
        <v>83</v>
      </c>
      <c r="E7" s="22" t="s">
        <v>84</v>
      </c>
      <c r="F7" s="22" t="s">
        <v>85</v>
      </c>
      <c r="G7" s="22" t="s">
        <v>86</v>
      </c>
      <c r="H7" s="67" t="s">
        <v>119</v>
      </c>
      <c r="I7" s="67" t="s">
        <v>120</v>
      </c>
      <c r="J7" t="s">
        <v>67</v>
      </c>
    </row>
    <row r="9" spans="1:10" x14ac:dyDescent="0.25">
      <c r="A9" s="20" t="s">
        <v>68</v>
      </c>
      <c r="B9" s="117">
        <v>22117987.68</v>
      </c>
      <c r="C9" s="117">
        <v>21727751.849999998</v>
      </c>
      <c r="D9" s="117">
        <v>21923647.210000001</v>
      </c>
      <c r="E9" s="117">
        <v>21877717.84</v>
      </c>
      <c r="F9" s="117">
        <v>18167086.170000002</v>
      </c>
      <c r="G9" s="117">
        <v>16498184.720000001</v>
      </c>
      <c r="H9" s="117">
        <v>13600905.420000002</v>
      </c>
      <c r="I9" s="117">
        <v>12877827.690000001</v>
      </c>
      <c r="J9" s="117">
        <f>SUM(B9:I9)</f>
        <v>148791108.57999998</v>
      </c>
    </row>
    <row r="10" spans="1:10" x14ac:dyDescent="0.25">
      <c r="A10" s="20" t="s">
        <v>69</v>
      </c>
      <c r="B10" s="117">
        <v>581033.67000000004</v>
      </c>
      <c r="C10" s="117">
        <v>0</v>
      </c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f t="shared" ref="J10:J19" si="0">SUM(B10:I10)</f>
        <v>581033.67000000004</v>
      </c>
    </row>
    <row r="11" spans="1:10" x14ac:dyDescent="0.25">
      <c r="A11" s="20" t="s">
        <v>70</v>
      </c>
      <c r="B11" s="117">
        <v>41555.11</v>
      </c>
      <c r="C11" s="117">
        <v>8382637.2800000003</v>
      </c>
      <c r="D11" s="117">
        <v>14768386.48</v>
      </c>
      <c r="E11" s="117">
        <v>13730800.419999998</v>
      </c>
      <c r="F11" s="117">
        <v>-867307.68</v>
      </c>
      <c r="G11" s="117">
        <v>35551549.189999998</v>
      </c>
      <c r="H11" s="117">
        <v>38934396.219999999</v>
      </c>
      <c r="I11" s="117">
        <v>39467772.229999997</v>
      </c>
      <c r="J11" s="117">
        <f t="shared" si="0"/>
        <v>150009789.25</v>
      </c>
    </row>
    <row r="12" spans="1:10" x14ac:dyDescent="0.25">
      <c r="A12" s="20" t="s">
        <v>71</v>
      </c>
      <c r="B12" s="117">
        <v>0</v>
      </c>
      <c r="C12" s="117">
        <v>550988.96000000008</v>
      </c>
      <c r="D12" s="117">
        <v>1161905.97</v>
      </c>
      <c r="E12" s="117">
        <v>2520023.5299999998</v>
      </c>
      <c r="F12" s="117">
        <v>9617613.8699999992</v>
      </c>
      <c r="G12" s="117">
        <v>12543555.060000001</v>
      </c>
      <c r="H12" s="117">
        <v>14138585.270000001</v>
      </c>
      <c r="I12" s="117">
        <v>14562158.09</v>
      </c>
      <c r="J12" s="117">
        <f t="shared" si="0"/>
        <v>55094830.75</v>
      </c>
    </row>
    <row r="13" spans="1:10" x14ac:dyDescent="0.25">
      <c r="A13" s="20" t="s">
        <v>148</v>
      </c>
      <c r="B13" s="117">
        <v>0</v>
      </c>
      <c r="C13" s="117">
        <v>0</v>
      </c>
      <c r="D13" s="117">
        <v>0</v>
      </c>
      <c r="E13" s="117">
        <v>0</v>
      </c>
      <c r="F13" s="117">
        <v>0</v>
      </c>
      <c r="G13" s="117">
        <v>0</v>
      </c>
      <c r="H13" s="117">
        <v>932873.75</v>
      </c>
      <c r="I13" s="118">
        <v>12309586.08</v>
      </c>
      <c r="J13" s="117">
        <f t="shared" si="0"/>
        <v>13242459.83</v>
      </c>
    </row>
    <row r="14" spans="1:10" x14ac:dyDescent="0.25">
      <c r="A14" s="20" t="s">
        <v>149</v>
      </c>
      <c r="B14" s="117">
        <v>0</v>
      </c>
      <c r="C14" s="117">
        <v>0</v>
      </c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5508251.04</v>
      </c>
      <c r="J14" s="117">
        <f t="shared" si="0"/>
        <v>5508251.04</v>
      </c>
    </row>
    <row r="15" spans="1:10" x14ac:dyDescent="0.25">
      <c r="A15" s="20" t="s">
        <v>150</v>
      </c>
      <c r="B15" s="117">
        <v>0</v>
      </c>
      <c r="C15" s="117">
        <v>0</v>
      </c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8">
        <v>2021605.9</v>
      </c>
      <c r="J15" s="117">
        <f t="shared" si="0"/>
        <v>2021605.9</v>
      </c>
    </row>
    <row r="16" spans="1:10" x14ac:dyDescent="0.25">
      <c r="A16" s="111" t="s">
        <v>151</v>
      </c>
      <c r="B16" s="117">
        <v>0</v>
      </c>
      <c r="C16" s="117">
        <v>0</v>
      </c>
      <c r="D16" s="117">
        <v>36454030.829999998</v>
      </c>
      <c r="E16" s="117">
        <v>129737100.1865</v>
      </c>
      <c r="F16" s="117">
        <f>170361532.37+9120084.91</f>
        <v>179481617.28</v>
      </c>
      <c r="G16" s="117">
        <f>117657296.8+62361997.36+2058576.15</f>
        <v>182077870.31</v>
      </c>
      <c r="H16" s="117">
        <v>417789405.47000003</v>
      </c>
      <c r="I16" s="118">
        <v>371878975.34100002</v>
      </c>
      <c r="J16" s="117">
        <f t="shared" si="0"/>
        <v>1317418999.4175</v>
      </c>
    </row>
    <row r="17" spans="1:10" x14ac:dyDescent="0.25">
      <c r="A17" s="20" t="s">
        <v>152</v>
      </c>
      <c r="B17" s="117">
        <v>0</v>
      </c>
      <c r="C17" s="117">
        <v>0</v>
      </c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8">
        <v>-1026850.4300000009</v>
      </c>
      <c r="J17" s="117">
        <f t="shared" si="0"/>
        <v>-1026850.4300000009</v>
      </c>
    </row>
    <row r="18" spans="1:10" x14ac:dyDescent="0.25">
      <c r="A18" s="20" t="s">
        <v>153</v>
      </c>
      <c r="B18" s="117">
        <v>0</v>
      </c>
      <c r="C18" s="117">
        <v>0</v>
      </c>
      <c r="D18" s="117">
        <v>0</v>
      </c>
      <c r="E18" s="117">
        <v>0</v>
      </c>
      <c r="F18" s="117">
        <v>0</v>
      </c>
      <c r="G18" s="117">
        <v>0</v>
      </c>
      <c r="H18" s="117">
        <v>-423678.28</v>
      </c>
      <c r="I18" s="118">
        <v>-1360456.8800000001</v>
      </c>
      <c r="J18" s="117">
        <f t="shared" si="0"/>
        <v>-1784135.1600000001</v>
      </c>
    </row>
    <row r="19" spans="1:10" x14ac:dyDescent="0.25">
      <c r="A19" s="111" t="s">
        <v>154</v>
      </c>
      <c r="B19" s="119">
        <v>0</v>
      </c>
      <c r="C19" s="119">
        <v>0</v>
      </c>
      <c r="D19" s="119">
        <v>0</v>
      </c>
      <c r="E19" s="119">
        <v>164074.88</v>
      </c>
      <c r="F19" s="119">
        <f>1882048.34+42927</f>
        <v>1924975.34</v>
      </c>
      <c r="G19" s="119">
        <f>5636312.38+1494166.13</f>
        <v>7130478.5099999998</v>
      </c>
      <c r="H19" s="119">
        <v>16672353.98</v>
      </c>
      <c r="I19" s="119">
        <v>44384608.589999996</v>
      </c>
      <c r="J19" s="119">
        <f t="shared" si="0"/>
        <v>70276491.299999997</v>
      </c>
    </row>
    <row r="20" spans="1:10" x14ac:dyDescent="0.25">
      <c r="A20" s="20" t="s">
        <v>72</v>
      </c>
      <c r="B20" s="117">
        <f>SUM(B9:B19)</f>
        <v>22740576.460000001</v>
      </c>
      <c r="C20" s="117">
        <f t="shared" ref="C20:I20" si="1">SUM(C9:C19)</f>
        <v>30661378.09</v>
      </c>
      <c r="D20" s="117">
        <f>SUM(D9:D19)</f>
        <v>74307970.489999995</v>
      </c>
      <c r="E20" s="117">
        <f t="shared" si="1"/>
        <v>168029716.8565</v>
      </c>
      <c r="F20" s="117">
        <f t="shared" si="1"/>
        <v>208323984.97999999</v>
      </c>
      <c r="G20" s="117">
        <f t="shared" si="1"/>
        <v>253801637.78999999</v>
      </c>
      <c r="H20" s="117">
        <f t="shared" si="1"/>
        <v>501644841.83000004</v>
      </c>
      <c r="I20" s="117">
        <f t="shared" si="1"/>
        <v>500623477.65100002</v>
      </c>
      <c r="J20" s="117">
        <f>SUM(J9:J19)</f>
        <v>1760133584.1474998</v>
      </c>
    </row>
  </sheetData>
  <mergeCells count="1">
    <mergeCell ref="A1:H1"/>
  </mergeCells>
  <phoneticPr fontId="8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1AE6B-8F9A-41FF-BA2B-10108307122D}">
  <sheetPr>
    <pageSetUpPr fitToPage="1"/>
  </sheetPr>
  <dimension ref="A1:F51"/>
  <sheetViews>
    <sheetView workbookViewId="0">
      <selection activeCell="E24" sqref="E24"/>
    </sheetView>
  </sheetViews>
  <sheetFormatPr defaultRowHeight="15" x14ac:dyDescent="0.25"/>
  <cols>
    <col min="1" max="1" width="23.7109375" bestFit="1" customWidth="1"/>
    <col min="2" max="2" width="24.42578125" bestFit="1" customWidth="1"/>
    <col min="3" max="4" width="11.140625" bestFit="1" customWidth="1"/>
    <col min="5" max="5" width="15.28515625" bestFit="1" customWidth="1"/>
    <col min="6" max="6" width="11.5703125" bestFit="1" customWidth="1"/>
  </cols>
  <sheetData>
    <row r="1" spans="1:6" x14ac:dyDescent="0.25">
      <c r="A1" s="143" t="s">
        <v>137</v>
      </c>
      <c r="B1" s="141"/>
      <c r="C1" s="141"/>
      <c r="D1" s="141"/>
      <c r="E1" s="133"/>
      <c r="F1" s="133"/>
    </row>
    <row r="2" spans="1:6" x14ac:dyDescent="0.25">
      <c r="A2" s="71"/>
    </row>
    <row r="3" spans="1:6" x14ac:dyDescent="0.25">
      <c r="A3" s="68"/>
      <c r="B3" s="144" t="s">
        <v>121</v>
      </c>
      <c r="C3" s="145"/>
      <c r="D3" s="145"/>
      <c r="E3" s="146"/>
    </row>
    <row r="4" spans="1:6" x14ac:dyDescent="0.25">
      <c r="A4" s="72" t="s">
        <v>63</v>
      </c>
      <c r="B4" s="72" t="s">
        <v>38</v>
      </c>
      <c r="C4" s="72" t="s">
        <v>37</v>
      </c>
      <c r="D4" s="72" t="s">
        <v>122</v>
      </c>
      <c r="E4" s="72" t="s">
        <v>2</v>
      </c>
    </row>
    <row r="5" spans="1:6" x14ac:dyDescent="0.25">
      <c r="A5" s="68" t="s">
        <v>123</v>
      </c>
      <c r="B5" s="11">
        <v>26457.142857142899</v>
      </c>
      <c r="C5" s="11">
        <v>13892.857142857043</v>
      </c>
      <c r="D5" s="11">
        <v>43579.883353977057</v>
      </c>
      <c r="E5" s="73">
        <v>83929.883353976998</v>
      </c>
    </row>
    <row r="6" spans="1:6" x14ac:dyDescent="0.25">
      <c r="A6" s="68" t="s">
        <v>124</v>
      </c>
      <c r="B6" s="11">
        <v>26457.142857142899</v>
      </c>
      <c r="C6" s="11">
        <v>13892.857142857043</v>
      </c>
      <c r="D6" s="11">
        <v>43579.883353976998</v>
      </c>
      <c r="E6" s="73">
        <v>83929.88335397694</v>
      </c>
    </row>
    <row r="7" spans="1:6" x14ac:dyDescent="0.25">
      <c r="A7" s="68" t="s">
        <v>125</v>
      </c>
      <c r="B7" s="11">
        <v>25385.714285714319</v>
      </c>
      <c r="C7" s="11">
        <v>12964.285714285739</v>
      </c>
      <c r="D7" s="11">
        <v>44083.744657938834</v>
      </c>
      <c r="E7" s="73">
        <v>82433.744657938892</v>
      </c>
    </row>
    <row r="8" spans="1:6" x14ac:dyDescent="0.25">
      <c r="A8" s="68" t="s">
        <v>126</v>
      </c>
      <c r="B8" s="11">
        <v>24849.999999999884</v>
      </c>
      <c r="C8" s="11">
        <v>12500.000000000058</v>
      </c>
      <c r="D8" s="11">
        <v>44335.675309919927</v>
      </c>
      <c r="E8" s="73">
        <v>81685.675309919869</v>
      </c>
    </row>
    <row r="9" spans="1:6" x14ac:dyDescent="0.25">
      <c r="A9" s="68" t="s">
        <v>127</v>
      </c>
      <c r="B9" s="11">
        <v>24849.999999999884</v>
      </c>
      <c r="C9" s="11">
        <v>12500.000000000058</v>
      </c>
      <c r="D9" s="11">
        <v>44335.675309919869</v>
      </c>
      <c r="E9" s="73">
        <v>81685.67530991981</v>
      </c>
    </row>
    <row r="10" spans="1:6" x14ac:dyDescent="0.25">
      <c r="A10" s="68" t="s">
        <v>128</v>
      </c>
      <c r="B10" s="11">
        <v>24849.999999999884</v>
      </c>
      <c r="C10" s="11">
        <v>12500.000000000058</v>
      </c>
      <c r="D10" s="11">
        <v>44335.675309919985</v>
      </c>
      <c r="E10" s="73">
        <v>81685.675309919927</v>
      </c>
    </row>
    <row r="11" spans="1:6" x14ac:dyDescent="0.25">
      <c r="A11" s="68" t="s">
        <v>129</v>
      </c>
      <c r="B11" s="11">
        <v>24849.999999999884</v>
      </c>
      <c r="C11" s="11">
        <v>12500.000000000058</v>
      </c>
      <c r="D11" s="11">
        <v>47880.15375024057</v>
      </c>
      <c r="E11" s="73">
        <v>85230.153750240512</v>
      </c>
    </row>
    <row r="12" spans="1:6" x14ac:dyDescent="0.25">
      <c r="A12" s="68" t="s">
        <v>130</v>
      </c>
      <c r="B12" s="11">
        <v>24850</v>
      </c>
      <c r="C12" s="11">
        <v>12500.000000000058</v>
      </c>
      <c r="D12" s="11">
        <v>49652.392970401095</v>
      </c>
      <c r="E12" s="73">
        <v>87002.392970401153</v>
      </c>
    </row>
    <row r="13" spans="1:6" x14ac:dyDescent="0.25">
      <c r="A13" s="68" t="s">
        <v>131</v>
      </c>
      <c r="B13" s="11">
        <v>24849.999999999884</v>
      </c>
      <c r="C13" s="11">
        <v>12500.000000000058</v>
      </c>
      <c r="D13" s="11">
        <v>49652.392970400979</v>
      </c>
      <c r="E13" s="73">
        <v>87002.392970400921</v>
      </c>
    </row>
    <row r="14" spans="1:6" x14ac:dyDescent="0.25">
      <c r="A14" s="68" t="s">
        <v>132</v>
      </c>
      <c r="B14" s="11">
        <v>24849.999999999884</v>
      </c>
      <c r="C14" s="11">
        <v>12500.000000000058</v>
      </c>
      <c r="D14" s="11">
        <v>49652.392970401095</v>
      </c>
      <c r="E14" s="73">
        <v>87002.392970401037</v>
      </c>
    </row>
    <row r="15" spans="1:6" x14ac:dyDescent="0.25">
      <c r="A15" s="68" t="s">
        <v>133</v>
      </c>
      <c r="B15" s="11">
        <v>24850.000000000116</v>
      </c>
      <c r="C15" s="11">
        <v>12499.999999999942</v>
      </c>
      <c r="D15" s="11">
        <v>53621.92394435592</v>
      </c>
      <c r="E15" s="73">
        <v>90971.923944355978</v>
      </c>
    </row>
    <row r="16" spans="1:6" x14ac:dyDescent="0.25">
      <c r="A16" s="68" t="s">
        <v>134</v>
      </c>
      <c r="B16" s="11">
        <v>24850.000000000233</v>
      </c>
      <c r="C16" s="11">
        <v>12499.999999999884</v>
      </c>
      <c r="D16" s="11">
        <v>55606.689431333565</v>
      </c>
      <c r="E16" s="73">
        <v>92956.689431333682</v>
      </c>
    </row>
    <row r="17" spans="1:5" ht="15.75" thickBot="1" x14ac:dyDescent="0.3">
      <c r="A17" s="68" t="s">
        <v>2</v>
      </c>
      <c r="B17" s="21">
        <v>301949.99999999977</v>
      </c>
      <c r="C17" s="21">
        <v>153250.00000000006</v>
      </c>
      <c r="D17" s="21">
        <v>570316.48333278589</v>
      </c>
      <c r="E17" s="21">
        <v>1025516.4833327855</v>
      </c>
    </row>
    <row r="18" spans="1:5" ht="15.75" thickTop="1" x14ac:dyDescent="0.25">
      <c r="A18" s="68"/>
      <c r="B18" s="68"/>
      <c r="C18" s="68"/>
      <c r="D18" s="68"/>
      <c r="E18" s="68"/>
    </row>
    <row r="19" spans="1:5" x14ac:dyDescent="0.25">
      <c r="A19" s="68"/>
      <c r="B19" s="68"/>
      <c r="C19" s="68"/>
      <c r="D19" s="68"/>
      <c r="E19" s="68"/>
    </row>
    <row r="20" spans="1:5" x14ac:dyDescent="0.25">
      <c r="A20" s="68"/>
      <c r="B20" s="144" t="s">
        <v>64</v>
      </c>
      <c r="C20" s="145"/>
      <c r="D20" s="145"/>
      <c r="E20" s="146"/>
    </row>
    <row r="21" spans="1:5" x14ac:dyDescent="0.25">
      <c r="A21" s="72" t="s">
        <v>63</v>
      </c>
      <c r="B21" s="72" t="s">
        <v>38</v>
      </c>
      <c r="C21" s="72" t="s">
        <v>37</v>
      </c>
      <c r="D21" s="72" t="s">
        <v>122</v>
      </c>
      <c r="E21" s="72" t="s">
        <v>2</v>
      </c>
    </row>
    <row r="22" spans="1:5" x14ac:dyDescent="0.25">
      <c r="A22" s="68" t="s">
        <v>123</v>
      </c>
      <c r="B22" s="11">
        <v>3616.1665702718392</v>
      </c>
      <c r="C22" s="11">
        <v>78.410978343250036</v>
      </c>
      <c r="D22" s="11">
        <v>21.78994167698853</v>
      </c>
      <c r="E22" s="73">
        <v>3716.3674902920779</v>
      </c>
    </row>
    <row r="23" spans="1:5" x14ac:dyDescent="0.25">
      <c r="A23" s="68" t="s">
        <v>124</v>
      </c>
      <c r="B23" s="11">
        <v>3697.2243566545599</v>
      </c>
      <c r="C23" s="11">
        <v>78.410978343250036</v>
      </c>
      <c r="D23" s="11">
        <v>21.789941676988498</v>
      </c>
      <c r="E23" s="73">
        <v>3797.4252766747982</v>
      </c>
    </row>
    <row r="24" spans="1:5" x14ac:dyDescent="0.25">
      <c r="A24" s="68" t="s">
        <v>125</v>
      </c>
      <c r="B24" s="11">
        <v>3547.4987482587212</v>
      </c>
      <c r="C24" s="11">
        <v>73.170141744473071</v>
      </c>
      <c r="D24" s="11">
        <v>22.041872328969419</v>
      </c>
      <c r="E24" s="73">
        <v>3642.7107623321635</v>
      </c>
    </row>
    <row r="25" spans="1:5" x14ac:dyDescent="0.25">
      <c r="A25" s="68" t="s">
        <v>126</v>
      </c>
      <c r="B25" s="11">
        <v>3472.6359440607812</v>
      </c>
      <c r="C25" s="11">
        <v>70.549723445084425</v>
      </c>
      <c r="D25" s="11">
        <v>22.167837654959964</v>
      </c>
      <c r="E25" s="73">
        <v>3565.3535051608255</v>
      </c>
    </row>
    <row r="26" spans="1:5" x14ac:dyDescent="0.25">
      <c r="A26" s="68" t="s">
        <v>127</v>
      </c>
      <c r="B26" s="11">
        <v>3472.6359440607812</v>
      </c>
      <c r="C26" s="11">
        <v>70.549723445084425</v>
      </c>
      <c r="D26" s="11">
        <v>22.167837654959936</v>
      </c>
      <c r="E26" s="73">
        <v>3565.3535051608255</v>
      </c>
    </row>
    <row r="27" spans="1:5" x14ac:dyDescent="0.25">
      <c r="A27" s="68" t="s">
        <v>128</v>
      </c>
      <c r="B27" s="11">
        <v>3472.6359440607812</v>
      </c>
      <c r="C27" s="11">
        <v>70.549723445084425</v>
      </c>
      <c r="D27" s="11">
        <v>22.167837654959992</v>
      </c>
      <c r="E27" s="73">
        <v>3565.3535051608255</v>
      </c>
    </row>
    <row r="28" spans="1:5" x14ac:dyDescent="0.25">
      <c r="A28" s="68" t="s">
        <v>129</v>
      </c>
      <c r="B28" s="11">
        <v>3472.6359440607812</v>
      </c>
      <c r="C28" s="11">
        <v>70.549723445084425</v>
      </c>
      <c r="D28" s="11">
        <v>23.940076875120283</v>
      </c>
      <c r="E28" s="73">
        <v>3567.1257443809859</v>
      </c>
    </row>
    <row r="29" spans="1:5" x14ac:dyDescent="0.25">
      <c r="A29" s="68" t="s">
        <v>130</v>
      </c>
      <c r="B29" s="11">
        <v>3472.6359440607976</v>
      </c>
      <c r="C29" s="11">
        <v>70.549723445084425</v>
      </c>
      <c r="D29" s="11">
        <v>24.826196485200548</v>
      </c>
      <c r="E29" s="73">
        <v>3568.0118639910825</v>
      </c>
    </row>
    <row r="30" spans="1:5" x14ac:dyDescent="0.25">
      <c r="A30" s="68" t="s">
        <v>131</v>
      </c>
      <c r="B30" s="11">
        <v>3472.6359440607812</v>
      </c>
      <c r="C30" s="11">
        <v>70.549723445084425</v>
      </c>
      <c r="D30" s="11">
        <v>24.826196485200491</v>
      </c>
      <c r="E30" s="73">
        <v>3568.0118639910661</v>
      </c>
    </row>
    <row r="31" spans="1:5" x14ac:dyDescent="0.25">
      <c r="A31" s="68" t="s">
        <v>132</v>
      </c>
      <c r="B31" s="11">
        <v>3472.6359440607812</v>
      </c>
      <c r="C31" s="11">
        <v>70.549723445084425</v>
      </c>
      <c r="D31" s="11">
        <v>24.826196485200548</v>
      </c>
      <c r="E31" s="73">
        <v>3568.0118639910661</v>
      </c>
    </row>
    <row r="32" spans="1:5" x14ac:dyDescent="0.25">
      <c r="A32" s="68" t="s">
        <v>133</v>
      </c>
      <c r="B32" s="11">
        <v>3472.6359440608139</v>
      </c>
      <c r="C32" s="11">
        <v>70.549723445083771</v>
      </c>
      <c r="D32" s="11">
        <v>26.81096197217796</v>
      </c>
      <c r="E32" s="73">
        <v>3569.9966294780756</v>
      </c>
    </row>
    <row r="33" spans="1:5" x14ac:dyDescent="0.25">
      <c r="A33" s="68" t="s">
        <v>134</v>
      </c>
      <c r="B33" s="11">
        <v>3472.6359440608303</v>
      </c>
      <c r="C33" s="11">
        <v>70.54972344508343</v>
      </c>
      <c r="D33" s="11">
        <v>27.803344715666782</v>
      </c>
      <c r="E33" s="73">
        <v>3570.9890122215807</v>
      </c>
    </row>
    <row r="34" spans="1:5" ht="15.75" thickBot="1" x14ac:dyDescent="0.3">
      <c r="A34" s="68" t="s">
        <v>2</v>
      </c>
      <c r="B34" s="21">
        <v>42114.61317173225</v>
      </c>
      <c r="C34" s="21">
        <v>864.93960943673119</v>
      </c>
      <c r="D34" s="21">
        <v>285.158241666393</v>
      </c>
      <c r="E34" s="21">
        <v>43264.71102283537</v>
      </c>
    </row>
    <row r="35" spans="1:5" ht="15.75" thickTop="1" x14ac:dyDescent="0.25">
      <c r="A35" s="68"/>
      <c r="B35" s="68"/>
      <c r="C35" s="68"/>
      <c r="D35" s="68"/>
      <c r="E35" s="68"/>
    </row>
    <row r="36" spans="1:5" x14ac:dyDescent="0.25">
      <c r="A36" s="68"/>
      <c r="B36" s="144" t="s">
        <v>135</v>
      </c>
      <c r="C36" s="145"/>
      <c r="D36" s="145"/>
      <c r="E36" s="146"/>
    </row>
    <row r="37" spans="1:5" x14ac:dyDescent="0.25">
      <c r="A37" s="72" t="s">
        <v>63</v>
      </c>
      <c r="B37" s="72" t="s">
        <v>38</v>
      </c>
      <c r="C37" s="72" t="s">
        <v>37</v>
      </c>
      <c r="D37" s="72" t="s">
        <v>122</v>
      </c>
      <c r="E37" s="72" t="s">
        <v>2</v>
      </c>
    </row>
    <row r="38" spans="1:5" x14ac:dyDescent="0.25">
      <c r="A38" s="68" t="s">
        <v>123</v>
      </c>
      <c r="B38" s="11">
        <v>7.3163507109004735</v>
      </c>
      <c r="C38" s="11">
        <v>177.18</v>
      </c>
      <c r="D38" s="11">
        <v>1999.9999999999998</v>
      </c>
      <c r="E38" s="73">
        <v>2184.4963507109001</v>
      </c>
    </row>
    <row r="39" spans="1:5" x14ac:dyDescent="0.25">
      <c r="A39" s="68" t="s">
        <v>124</v>
      </c>
      <c r="B39" s="11">
        <v>7.1559473553513779</v>
      </c>
      <c r="C39" s="11">
        <v>177.18</v>
      </c>
      <c r="D39" s="11">
        <v>2000.0000000000002</v>
      </c>
      <c r="E39" s="73">
        <v>2184.3359473553514</v>
      </c>
    </row>
    <row r="40" spans="1:5" x14ac:dyDescent="0.25">
      <c r="A40" s="68" t="s">
        <v>125</v>
      </c>
      <c r="B40" s="11">
        <v>7.1559473553513779</v>
      </c>
      <c r="C40" s="11">
        <v>177.18</v>
      </c>
      <c r="D40" s="11">
        <v>1999.9999999999998</v>
      </c>
      <c r="E40" s="73">
        <v>2184.335947355351</v>
      </c>
    </row>
    <row r="41" spans="1:5" x14ac:dyDescent="0.25">
      <c r="A41" s="68" t="s">
        <v>126</v>
      </c>
      <c r="B41" s="11">
        <v>7.1559473553513779</v>
      </c>
      <c r="C41" s="11">
        <v>177.18</v>
      </c>
      <c r="D41" s="11">
        <v>2000</v>
      </c>
      <c r="E41" s="73">
        <v>2184.3359473553514</v>
      </c>
    </row>
    <row r="42" spans="1:5" x14ac:dyDescent="0.25">
      <c r="A42" s="68" t="s">
        <v>127</v>
      </c>
      <c r="B42" s="11">
        <v>7.1559473553513779</v>
      </c>
      <c r="C42" s="11">
        <v>177.18</v>
      </c>
      <c r="D42" s="11">
        <v>1999.9999999999998</v>
      </c>
      <c r="E42" s="73">
        <v>2184.335947355351</v>
      </c>
    </row>
    <row r="43" spans="1:5" x14ac:dyDescent="0.25">
      <c r="A43" s="68" t="s">
        <v>128</v>
      </c>
      <c r="B43" s="11">
        <v>7.1559473553513779</v>
      </c>
      <c r="C43" s="11">
        <v>177.18</v>
      </c>
      <c r="D43" s="11">
        <v>2000</v>
      </c>
      <c r="E43" s="73">
        <v>2184.3359473553514</v>
      </c>
    </row>
    <row r="44" spans="1:5" x14ac:dyDescent="0.25">
      <c r="A44" s="68" t="s">
        <v>129</v>
      </c>
      <c r="B44" s="11">
        <v>7.1559473553513779</v>
      </c>
      <c r="C44" s="11">
        <v>177.18</v>
      </c>
      <c r="D44" s="11">
        <v>2000.0000000000002</v>
      </c>
      <c r="E44" s="73">
        <v>2184.3359473553514</v>
      </c>
    </row>
    <row r="45" spans="1:5" x14ac:dyDescent="0.25">
      <c r="A45" s="68" t="s">
        <v>130</v>
      </c>
      <c r="B45" s="11">
        <v>7.1559473553513779</v>
      </c>
      <c r="C45" s="11">
        <v>177.18</v>
      </c>
      <c r="D45" s="11">
        <v>2000</v>
      </c>
      <c r="E45" s="73">
        <v>2184.3359473553514</v>
      </c>
    </row>
    <row r="46" spans="1:5" x14ac:dyDescent="0.25">
      <c r="A46" s="68" t="s">
        <v>131</v>
      </c>
      <c r="B46" s="11">
        <v>7.1559473553513779</v>
      </c>
      <c r="C46" s="11">
        <v>177.18</v>
      </c>
      <c r="D46" s="11">
        <v>1999.9999999999998</v>
      </c>
      <c r="E46" s="73">
        <v>2184.335947355351</v>
      </c>
    </row>
    <row r="47" spans="1:5" x14ac:dyDescent="0.25">
      <c r="A47" s="68" t="s">
        <v>132</v>
      </c>
      <c r="B47" s="11">
        <v>7.1559473553513779</v>
      </c>
      <c r="C47" s="11">
        <v>177.18</v>
      </c>
      <c r="D47" s="11">
        <v>2000</v>
      </c>
      <c r="E47" s="73">
        <v>2184.3359473553514</v>
      </c>
    </row>
    <row r="48" spans="1:5" x14ac:dyDescent="0.25">
      <c r="A48" s="68" t="s">
        <v>133</v>
      </c>
      <c r="B48" s="74">
        <v>7.1559473553513779</v>
      </c>
      <c r="C48" s="74">
        <v>177.17999999999998</v>
      </c>
      <c r="D48" s="74">
        <v>2000</v>
      </c>
      <c r="E48" s="73">
        <v>2184.3359473553514</v>
      </c>
    </row>
    <row r="49" spans="1:5" x14ac:dyDescent="0.25">
      <c r="A49" s="68" t="s">
        <v>134</v>
      </c>
      <c r="B49" s="73">
        <v>7.1559473553513779</v>
      </c>
      <c r="C49" s="73">
        <v>177.18</v>
      </c>
      <c r="D49" s="73">
        <v>2000</v>
      </c>
      <c r="E49" s="73">
        <v>2184.3359473553514</v>
      </c>
    </row>
    <row r="50" spans="1:5" ht="15.75" thickBot="1" x14ac:dyDescent="0.3">
      <c r="A50" s="68"/>
      <c r="B50" s="21">
        <v>86.031771619765621</v>
      </c>
      <c r="C50" s="21">
        <v>2126.1600000000003</v>
      </c>
      <c r="D50" s="21">
        <v>24000</v>
      </c>
      <c r="E50" s="21">
        <v>26212.19177161976</v>
      </c>
    </row>
    <row r="51" spans="1:5" ht="15.75" thickTop="1" x14ac:dyDescent="0.25"/>
  </sheetData>
  <mergeCells count="4">
    <mergeCell ref="A1:F1"/>
    <mergeCell ref="B3:E3"/>
    <mergeCell ref="B20:E20"/>
    <mergeCell ref="B36:E36"/>
  </mergeCells>
  <pageMargins left="0.25" right="0.25" top="0.75" bottom="0.75" header="0.3" footer="0.3"/>
  <pageSetup scale="88" orientation="landscape" r:id="rId1"/>
  <headerFoot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D974-36BA-419A-A56A-0576B070C72A}">
  <sheetPr>
    <pageSetUpPr fitToPage="1"/>
  </sheetPr>
  <dimension ref="A1:F51"/>
  <sheetViews>
    <sheetView workbookViewId="0">
      <selection activeCell="E24" sqref="E24"/>
    </sheetView>
  </sheetViews>
  <sheetFormatPr defaultRowHeight="15" x14ac:dyDescent="0.25"/>
  <cols>
    <col min="1" max="1" width="23.7109375" style="68" bestFit="1" customWidth="1"/>
    <col min="2" max="2" width="24.42578125" style="68" bestFit="1" customWidth="1"/>
    <col min="3" max="4" width="11.140625" style="68" bestFit="1" customWidth="1"/>
    <col min="5" max="5" width="15.28515625" style="68" bestFit="1" customWidth="1"/>
    <col min="6" max="6" width="11.5703125" style="68" bestFit="1" customWidth="1"/>
    <col min="7" max="16384" width="9.140625" style="68"/>
  </cols>
  <sheetData>
    <row r="1" spans="1:6" x14ac:dyDescent="0.25">
      <c r="A1" s="143" t="s">
        <v>136</v>
      </c>
      <c r="B1" s="141"/>
      <c r="C1" s="141"/>
      <c r="D1" s="141"/>
      <c r="E1" s="133"/>
      <c r="F1" s="133"/>
    </row>
    <row r="2" spans="1:6" x14ac:dyDescent="0.25">
      <c r="A2" s="71"/>
    </row>
    <row r="3" spans="1:6" x14ac:dyDescent="0.25">
      <c r="B3" s="147" t="s">
        <v>121</v>
      </c>
      <c r="C3" s="147"/>
      <c r="D3" s="147"/>
      <c r="E3" s="147"/>
    </row>
    <row r="4" spans="1:6" x14ac:dyDescent="0.25">
      <c r="A4" s="72" t="s">
        <v>63</v>
      </c>
      <c r="B4" s="72" t="s">
        <v>38</v>
      </c>
      <c r="C4" s="72" t="s">
        <v>37</v>
      </c>
      <c r="D4" s="72" t="s">
        <v>122</v>
      </c>
      <c r="E4" s="72" t="s">
        <v>2</v>
      </c>
    </row>
    <row r="5" spans="1:6" x14ac:dyDescent="0.25">
      <c r="A5" s="68" t="s">
        <v>123</v>
      </c>
      <c r="B5" s="11">
        <v>26457.142857142899</v>
      </c>
      <c r="C5" s="11">
        <v>13892.857142857043</v>
      </c>
      <c r="D5" s="11">
        <v>43579.883353977057</v>
      </c>
      <c r="E5" s="73">
        <v>83929.883353976998</v>
      </c>
    </row>
    <row r="6" spans="1:6" x14ac:dyDescent="0.25">
      <c r="A6" s="68" t="s">
        <v>124</v>
      </c>
      <c r="B6" s="11">
        <v>26457.142857142899</v>
      </c>
      <c r="C6" s="11">
        <v>13892.857142857043</v>
      </c>
      <c r="D6" s="11">
        <v>43579.883353976998</v>
      </c>
      <c r="E6" s="73">
        <v>83929.88335397694</v>
      </c>
    </row>
    <row r="7" spans="1:6" x14ac:dyDescent="0.25">
      <c r="A7" s="68" t="s">
        <v>125</v>
      </c>
      <c r="B7" s="11">
        <v>21234.994795732433</v>
      </c>
      <c r="C7" s="11">
        <v>12964.285714285739</v>
      </c>
      <c r="D7" s="11">
        <v>41725.166009153123</v>
      </c>
      <c r="E7" s="73">
        <v>75924.446519171295</v>
      </c>
    </row>
    <row r="8" spans="1:6" x14ac:dyDescent="0.25">
      <c r="A8" s="68" t="s">
        <v>126</v>
      </c>
      <c r="B8" s="19">
        <v>18623.920765027171</v>
      </c>
      <c r="C8" s="19">
        <v>12500.000000000058</v>
      </c>
      <c r="D8" s="19">
        <v>40797.807336741185</v>
      </c>
      <c r="E8" s="73">
        <v>71921.728101768414</v>
      </c>
    </row>
    <row r="9" spans="1:6" x14ac:dyDescent="0.25">
      <c r="A9" s="68" t="s">
        <v>127</v>
      </c>
      <c r="B9" s="11">
        <v>18623.920765027171</v>
      </c>
      <c r="C9" s="11">
        <v>12500.000000000058</v>
      </c>
      <c r="D9" s="11">
        <v>42920.528120648349</v>
      </c>
      <c r="E9" s="73">
        <v>74044.448885675578</v>
      </c>
    </row>
    <row r="10" spans="1:6" x14ac:dyDescent="0.25">
      <c r="A10" s="68" t="s">
        <v>128</v>
      </c>
      <c r="B10" s="11">
        <v>18623.920765027055</v>
      </c>
      <c r="C10" s="11">
        <v>12500.000000000058</v>
      </c>
      <c r="D10" s="11">
        <v>40797.807336741243</v>
      </c>
      <c r="E10" s="73">
        <v>71921.728101768356</v>
      </c>
    </row>
    <row r="11" spans="1:6" x14ac:dyDescent="0.25">
      <c r="A11" s="68" t="s">
        <v>129</v>
      </c>
      <c r="B11" s="11">
        <v>15659.121129326057</v>
      </c>
      <c r="C11" s="11">
        <v>12500.000000000058</v>
      </c>
      <c r="D11" s="11">
        <v>42802.738424861338</v>
      </c>
      <c r="E11" s="73">
        <v>70961.859554187453</v>
      </c>
    </row>
    <row r="12" spans="1:6" x14ac:dyDescent="0.25">
      <c r="A12" s="68" t="s">
        <v>130</v>
      </c>
      <c r="B12" s="19">
        <v>14176.721311475383</v>
      </c>
      <c r="C12" s="19">
        <v>12500.000000000058</v>
      </c>
      <c r="D12" s="19">
        <v>41495.882940620999</v>
      </c>
      <c r="E12" s="73">
        <v>68172.60425209644</v>
      </c>
    </row>
    <row r="13" spans="1:6" x14ac:dyDescent="0.25">
      <c r="A13" s="68" t="s">
        <v>131</v>
      </c>
      <c r="B13" s="11">
        <v>14176.721311475383</v>
      </c>
      <c r="C13" s="11">
        <v>12500.000000000058</v>
      </c>
      <c r="D13" s="11">
        <v>36616.754208898637</v>
      </c>
      <c r="E13" s="73">
        <v>63293.475520374079</v>
      </c>
    </row>
    <row r="14" spans="1:6" x14ac:dyDescent="0.25">
      <c r="A14" s="68" t="s">
        <v>132</v>
      </c>
      <c r="B14" s="11">
        <v>14176.721311475383</v>
      </c>
      <c r="C14" s="11">
        <v>12500.000000000058</v>
      </c>
      <c r="D14" s="11">
        <v>40341.222426470718</v>
      </c>
      <c r="E14" s="73">
        <v>67017.94373794616</v>
      </c>
    </row>
    <row r="15" spans="1:6" x14ac:dyDescent="0.25">
      <c r="A15" s="68" t="s">
        <v>133</v>
      </c>
      <c r="B15" s="11">
        <v>14176.721311475383</v>
      </c>
      <c r="C15" s="11">
        <v>12499.999999999942</v>
      </c>
      <c r="D15" s="11">
        <v>41135.12862126145</v>
      </c>
      <c r="E15" s="73">
        <v>67811.849932736775</v>
      </c>
    </row>
    <row r="16" spans="1:6" x14ac:dyDescent="0.25">
      <c r="A16" s="68" t="s">
        <v>134</v>
      </c>
      <c r="B16" s="11">
        <v>14176.721311475383</v>
      </c>
      <c r="C16" s="11">
        <v>12499.999999999884</v>
      </c>
      <c r="D16" s="11">
        <v>40738.175523866084</v>
      </c>
      <c r="E16" s="73">
        <v>67414.896835341351</v>
      </c>
    </row>
    <row r="17" spans="1:5" ht="15.75" thickBot="1" x14ac:dyDescent="0.3">
      <c r="A17" s="68" t="s">
        <v>2</v>
      </c>
      <c r="B17" s="21">
        <v>216563.7704918026</v>
      </c>
      <c r="C17" s="21">
        <v>153250.00000000006</v>
      </c>
      <c r="D17" s="21">
        <v>496530.97765721718</v>
      </c>
      <c r="E17" s="21">
        <v>866344.7481490199</v>
      </c>
    </row>
    <row r="18" spans="1:5" ht="15.75" thickTop="1" x14ac:dyDescent="0.25"/>
    <row r="20" spans="1:5" x14ac:dyDescent="0.25">
      <c r="B20" s="147" t="s">
        <v>64</v>
      </c>
      <c r="C20" s="147"/>
      <c r="D20" s="147"/>
      <c r="E20" s="147"/>
    </row>
    <row r="21" spans="1:5" x14ac:dyDescent="0.25">
      <c r="A21" s="72" t="s">
        <v>63</v>
      </c>
      <c r="B21" s="72" t="s">
        <v>38</v>
      </c>
      <c r="C21" s="72" t="s">
        <v>37</v>
      </c>
      <c r="D21" s="72" t="s">
        <v>122</v>
      </c>
      <c r="E21" s="72" t="s">
        <v>2</v>
      </c>
    </row>
    <row r="22" spans="1:5" x14ac:dyDescent="0.25">
      <c r="A22" s="68" t="s">
        <v>123</v>
      </c>
      <c r="B22" s="11">
        <v>3616.1665702718392</v>
      </c>
      <c r="C22" s="11">
        <v>78.410978343250036</v>
      </c>
      <c r="D22" s="11">
        <v>21.78994167698853</v>
      </c>
      <c r="E22" s="73">
        <v>3716.3674902920779</v>
      </c>
    </row>
    <row r="23" spans="1:5" x14ac:dyDescent="0.25">
      <c r="A23" s="68" t="s">
        <v>124</v>
      </c>
      <c r="B23" s="11">
        <v>3697.2243566545599</v>
      </c>
      <c r="C23" s="11">
        <v>78.410978343250036</v>
      </c>
      <c r="D23" s="11">
        <v>21.789941676988498</v>
      </c>
      <c r="E23" s="73">
        <v>3797.4252766747982</v>
      </c>
    </row>
    <row r="24" spans="1:5" x14ac:dyDescent="0.25">
      <c r="A24" s="68" t="s">
        <v>125</v>
      </c>
      <c r="B24" s="11">
        <v>2967.4610140685882</v>
      </c>
      <c r="C24" s="11">
        <v>73.170141744473071</v>
      </c>
      <c r="D24" s="11">
        <v>20.86258300457656</v>
      </c>
      <c r="E24" s="73">
        <v>3061.4937388176377</v>
      </c>
    </row>
    <row r="25" spans="1:5" x14ac:dyDescent="0.25">
      <c r="A25" s="68" t="s">
        <v>126</v>
      </c>
      <c r="B25" s="11">
        <v>2602.5793427755984</v>
      </c>
      <c r="C25" s="11">
        <v>70.549723445084425</v>
      </c>
      <c r="D25" s="11">
        <v>20.398903668370593</v>
      </c>
      <c r="E25" s="73">
        <v>2693.5279698890536</v>
      </c>
    </row>
    <row r="26" spans="1:5" x14ac:dyDescent="0.25">
      <c r="A26" s="68" t="s">
        <v>127</v>
      </c>
      <c r="B26" s="11">
        <v>2602.5793427755984</v>
      </c>
      <c r="C26" s="11">
        <v>70.549723445084425</v>
      </c>
      <c r="D26" s="11">
        <v>21.460264060324175</v>
      </c>
      <c r="E26" s="73">
        <v>2694.5893302810073</v>
      </c>
    </row>
    <row r="27" spans="1:5" x14ac:dyDescent="0.25">
      <c r="A27" s="68" t="s">
        <v>128</v>
      </c>
      <c r="B27" s="11">
        <v>2602.5793427755821</v>
      </c>
      <c r="C27" s="11">
        <v>70.549723445084425</v>
      </c>
      <c r="D27" s="11">
        <v>20.398903668370622</v>
      </c>
      <c r="E27" s="73">
        <v>2693.5279698890372</v>
      </c>
    </row>
    <row r="28" spans="1:5" x14ac:dyDescent="0.25">
      <c r="A28" s="68" t="s">
        <v>129</v>
      </c>
      <c r="B28" s="11">
        <v>2188.2666754969646</v>
      </c>
      <c r="C28" s="11">
        <v>70.549723445084425</v>
      </c>
      <c r="D28" s="11">
        <v>21.401369212430669</v>
      </c>
      <c r="E28" s="73">
        <v>2280.2177681544799</v>
      </c>
    </row>
    <row r="29" spans="1:5" x14ac:dyDescent="0.25">
      <c r="A29" s="68" t="s">
        <v>130</v>
      </c>
      <c r="B29" s="11">
        <v>1981.1103418576315</v>
      </c>
      <c r="C29" s="11">
        <v>70.549723445084425</v>
      </c>
      <c r="D29" s="11">
        <v>20.747941470310501</v>
      </c>
      <c r="E29" s="73">
        <v>2072.4080067730265</v>
      </c>
    </row>
    <row r="30" spans="1:5" x14ac:dyDescent="0.25">
      <c r="A30" s="68" t="s">
        <v>131</v>
      </c>
      <c r="B30" s="11">
        <v>1981.1103418576315</v>
      </c>
      <c r="C30" s="11">
        <v>70.549723445084425</v>
      </c>
      <c r="D30" s="11">
        <v>18.30837710444932</v>
      </c>
      <c r="E30" s="73">
        <v>2069.9684424071652</v>
      </c>
    </row>
    <row r="31" spans="1:5" x14ac:dyDescent="0.25">
      <c r="A31" s="68" t="s">
        <v>132</v>
      </c>
      <c r="B31" s="11">
        <v>1981.1103418576315</v>
      </c>
      <c r="C31" s="11">
        <v>70.549723445084425</v>
      </c>
      <c r="D31" s="11">
        <v>20.170611213235357</v>
      </c>
      <c r="E31" s="73">
        <v>2071.8306765159509</v>
      </c>
    </row>
    <row r="32" spans="1:5" x14ac:dyDescent="0.25">
      <c r="A32" s="68" t="s">
        <v>133</v>
      </c>
      <c r="B32" s="11">
        <v>1981.1103418576315</v>
      </c>
      <c r="C32" s="11">
        <v>70.549723445083771</v>
      </c>
      <c r="D32" s="11">
        <v>20.567564310630726</v>
      </c>
      <c r="E32" s="73">
        <v>2072.2276296133459</v>
      </c>
    </row>
    <row r="33" spans="1:5" x14ac:dyDescent="0.25">
      <c r="A33" s="68" t="s">
        <v>134</v>
      </c>
      <c r="B33" s="11">
        <v>1981.1103418576315</v>
      </c>
      <c r="C33" s="11">
        <v>70.54972344508343</v>
      </c>
      <c r="D33" s="11">
        <v>20.369087761933041</v>
      </c>
      <c r="E33" s="73">
        <v>2072.0291530646477</v>
      </c>
    </row>
    <row r="34" spans="1:5" ht="15.75" thickBot="1" x14ac:dyDescent="0.3">
      <c r="A34" s="68" t="s">
        <v>2</v>
      </c>
      <c r="B34" s="21">
        <v>30182.408354106887</v>
      </c>
      <c r="C34" s="21">
        <v>864.93960943673119</v>
      </c>
      <c r="D34" s="21">
        <v>248.2654888286086</v>
      </c>
      <c r="E34" s="21">
        <v>31295.613452372225</v>
      </c>
    </row>
    <row r="35" spans="1:5" ht="15.75" thickTop="1" x14ac:dyDescent="0.25"/>
    <row r="36" spans="1:5" x14ac:dyDescent="0.25">
      <c r="B36" s="147" t="s">
        <v>135</v>
      </c>
      <c r="C36" s="147"/>
      <c r="D36" s="147"/>
      <c r="E36" s="147"/>
    </row>
    <row r="37" spans="1:5" x14ac:dyDescent="0.25">
      <c r="A37" s="72" t="s">
        <v>63</v>
      </c>
      <c r="B37" s="72" t="s">
        <v>38</v>
      </c>
      <c r="C37" s="72" t="s">
        <v>37</v>
      </c>
      <c r="D37" s="72" t="s">
        <v>122</v>
      </c>
      <c r="E37" s="72" t="s">
        <v>2</v>
      </c>
    </row>
    <row r="38" spans="1:5" x14ac:dyDescent="0.25">
      <c r="A38" s="68" t="s">
        <v>123</v>
      </c>
      <c r="B38" s="11">
        <v>7.3163507109004735</v>
      </c>
      <c r="C38" s="11">
        <v>177.18</v>
      </c>
      <c r="D38" s="11">
        <v>1999.9999999999998</v>
      </c>
      <c r="E38" s="73">
        <v>2184.4963507109001</v>
      </c>
    </row>
    <row r="39" spans="1:5" x14ac:dyDescent="0.25">
      <c r="A39" s="68" t="s">
        <v>124</v>
      </c>
      <c r="B39" s="11">
        <v>7.1559473553513779</v>
      </c>
      <c r="C39" s="11">
        <v>177.18</v>
      </c>
      <c r="D39" s="11">
        <v>2000.0000000000002</v>
      </c>
      <c r="E39" s="73">
        <v>2184.3359473553514</v>
      </c>
    </row>
    <row r="40" spans="1:5" x14ac:dyDescent="0.25">
      <c r="A40" s="68" t="s">
        <v>125</v>
      </c>
      <c r="B40" s="11">
        <v>7.1559473553513788</v>
      </c>
      <c r="C40" s="11">
        <v>177.18</v>
      </c>
      <c r="D40" s="11">
        <v>2000</v>
      </c>
      <c r="E40" s="73">
        <v>2184.3359473553514</v>
      </c>
    </row>
    <row r="41" spans="1:5" x14ac:dyDescent="0.25">
      <c r="A41" s="68" t="s">
        <v>126</v>
      </c>
      <c r="B41" s="11">
        <v>7.1559473553513779</v>
      </c>
      <c r="C41" s="11">
        <v>177.18</v>
      </c>
      <c r="D41" s="11">
        <v>2000</v>
      </c>
      <c r="E41" s="73">
        <v>2184.3359473553514</v>
      </c>
    </row>
    <row r="42" spans="1:5" x14ac:dyDescent="0.25">
      <c r="A42" s="68" t="s">
        <v>127</v>
      </c>
      <c r="B42" s="11">
        <v>7.1559473553513779</v>
      </c>
      <c r="C42" s="11">
        <v>177.18</v>
      </c>
      <c r="D42" s="11">
        <v>2000</v>
      </c>
      <c r="E42" s="73">
        <v>2184.3359473553514</v>
      </c>
    </row>
    <row r="43" spans="1:5" x14ac:dyDescent="0.25">
      <c r="A43" s="68" t="s">
        <v>128</v>
      </c>
      <c r="B43" s="11">
        <v>7.1559473553513779</v>
      </c>
      <c r="C43" s="11">
        <v>177.18</v>
      </c>
      <c r="D43" s="11">
        <v>2000</v>
      </c>
      <c r="E43" s="73">
        <v>2184.3359473553514</v>
      </c>
    </row>
    <row r="44" spans="1:5" x14ac:dyDescent="0.25">
      <c r="A44" s="68" t="s">
        <v>129</v>
      </c>
      <c r="B44" s="11">
        <v>7.1559473553513788</v>
      </c>
      <c r="C44" s="11">
        <v>177.18</v>
      </c>
      <c r="D44" s="11">
        <v>2000</v>
      </c>
      <c r="E44" s="73">
        <v>2184.3359473553514</v>
      </c>
    </row>
    <row r="45" spans="1:5" x14ac:dyDescent="0.25">
      <c r="A45" s="68" t="s">
        <v>130</v>
      </c>
      <c r="B45" s="11">
        <v>7.1559473553513779</v>
      </c>
      <c r="C45" s="11">
        <v>177.18</v>
      </c>
      <c r="D45" s="11">
        <v>1999.9999999999998</v>
      </c>
      <c r="E45" s="73">
        <v>2184.335947355351</v>
      </c>
    </row>
    <row r="46" spans="1:5" x14ac:dyDescent="0.25">
      <c r="A46" s="68" t="s">
        <v>131</v>
      </c>
      <c r="B46" s="11">
        <v>7.1559473553513779</v>
      </c>
      <c r="C46" s="11">
        <v>177.18</v>
      </c>
      <c r="D46" s="11">
        <v>1999.9999999999998</v>
      </c>
      <c r="E46" s="73">
        <v>2184.335947355351</v>
      </c>
    </row>
    <row r="47" spans="1:5" x14ac:dyDescent="0.25">
      <c r="A47" s="68" t="s">
        <v>132</v>
      </c>
      <c r="B47" s="11">
        <v>7.1559473553513779</v>
      </c>
      <c r="C47" s="11">
        <v>177.18</v>
      </c>
      <c r="D47" s="11">
        <v>2000.0000000000002</v>
      </c>
      <c r="E47" s="73">
        <v>2184.3359473553514</v>
      </c>
    </row>
    <row r="48" spans="1:5" x14ac:dyDescent="0.25">
      <c r="A48" s="68" t="s">
        <v>133</v>
      </c>
      <c r="B48" s="74">
        <v>7.1559473553513779</v>
      </c>
      <c r="C48" s="74">
        <v>177.17999999999998</v>
      </c>
      <c r="D48" s="74">
        <v>2000</v>
      </c>
      <c r="E48" s="73">
        <v>2184.3359473553514</v>
      </c>
    </row>
    <row r="49" spans="1:5" x14ac:dyDescent="0.25">
      <c r="A49" s="68" t="s">
        <v>134</v>
      </c>
      <c r="B49" s="73">
        <v>7.1559473553513779</v>
      </c>
      <c r="C49" s="73">
        <v>177.18</v>
      </c>
      <c r="D49" s="73">
        <v>2000</v>
      </c>
      <c r="E49" s="73">
        <v>2184.3359473553514</v>
      </c>
    </row>
    <row r="50" spans="1:5" ht="15.75" thickBot="1" x14ac:dyDescent="0.3">
      <c r="B50" s="21">
        <f t="shared" ref="B50:E50" si="0">SUM(B38:B49)</f>
        <v>86.031771619765621</v>
      </c>
      <c r="C50" s="21">
        <f t="shared" si="0"/>
        <v>2126.1600000000003</v>
      </c>
      <c r="D50" s="21">
        <f t="shared" si="0"/>
        <v>24000</v>
      </c>
      <c r="E50" s="21">
        <f t="shared" si="0"/>
        <v>26212.19177161976</v>
      </c>
    </row>
    <row r="51" spans="1:5" ht="15.75" thickTop="1" x14ac:dyDescent="0.25"/>
  </sheetData>
  <mergeCells count="4">
    <mergeCell ref="A1:F1"/>
    <mergeCell ref="B3:E3"/>
    <mergeCell ref="B20:E20"/>
    <mergeCell ref="B36:E36"/>
  </mergeCells>
  <pageMargins left="0.25" right="0.25" top="0.75" bottom="0.75" header="0.3" footer="0.3"/>
  <pageSetup scale="88" orientation="landscape" r:id="rId1"/>
  <headerFoot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D9C6DF2CFA2344B8438EA57D1C19B2" ma:contentTypeVersion="39" ma:contentTypeDescription="Create a new document." ma:contentTypeScope="" ma:versionID="8fa8aeaa16d9bbc20296638f8e47f914">
  <xsd:schema xmlns:xsd="http://www.w3.org/2001/XMLSchema" xmlns:xs="http://www.w3.org/2001/XMLSchema" xmlns:p="http://schemas.microsoft.com/office/2006/metadata/properties" xmlns:ns1="http://schemas.microsoft.com/sharepoint/v3" xmlns:ns2="07eb0168-e38f-4593-8bb7-e13af032c594" xmlns:ns3="449d9eb7-b7cc-4e27-879b-01b4831586a2" targetNamespace="http://schemas.microsoft.com/office/2006/metadata/properties" ma:root="true" ma:fieldsID="14b8f89bcb31b504567966a8511e33cf" ns1:_="" ns2:_="" ns3:_="">
    <xsd:import namespace="http://schemas.microsoft.com/sharepoint/v3"/>
    <xsd:import namespace="07eb0168-e38f-4593-8bb7-e13af032c594"/>
    <xsd:import namespace="449d9eb7-b7cc-4e27-879b-01b4831586a2"/>
    <xsd:element name="properties">
      <xsd:complexType>
        <xsd:sequence>
          <xsd:element name="documentManagement">
            <xsd:complexType>
              <xsd:all>
                <xsd:element ref="ns2:Notes_x0020_to_x0020_consider_x0020_before_x0020_reviewing_x003a_" minOccurs="0"/>
                <xsd:element ref="ns2:MediaServiceMetadata" minOccurs="0"/>
                <xsd:element ref="ns2:MediaServiceFastMetadata" minOccurs="0"/>
                <xsd:element ref="ns2:legal" minOccurs="0"/>
                <xsd:element ref="ns3:SharedWithUsers" minOccurs="0"/>
                <xsd:element ref="ns3:SharedWithDetails" minOccurs="0"/>
                <xsd:element ref="ns2:Finished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TeamStatus" minOccurs="0"/>
                <xsd:element ref="ns2:Goaldatetocompletereview_x003a_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Status" minOccurs="0"/>
                <xsd:element ref="ns2:Roll_x002d_Call" minOccurs="0"/>
                <xsd:element ref="ns2:Completed" minOccurs="0"/>
                <xsd:element ref="ns2:Notes" minOccurs="0"/>
                <xsd:element ref="ns2:ManagerApprova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b0168-e38f-4593-8bb7-e13af032c594" elementFormDefault="qualified">
    <xsd:import namespace="http://schemas.microsoft.com/office/2006/documentManagement/types"/>
    <xsd:import namespace="http://schemas.microsoft.com/office/infopath/2007/PartnerControls"/>
    <xsd:element name="Notes_x0020_to_x0020_consider_x0020_before_x0020_reviewing_x003a_" ma:index="1" nillable="true" ma:displayName="Notes to consider before reviewing:" ma:internalName="Notes_x0020_to_x0020_consider_x0020_before_x0020_reviewing_x003a_" ma:readOnly="false">
      <xsd:simpleType>
        <xsd:restriction base="dms:Note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egal" ma:index="10" nillable="true" ma:displayName="legal" ma:format="Dropdown" ma:hidden="true" ma:list="UserInfo" ma:SharePointGroup="0" ma:internalName="legal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inished" ma:index="13" nillable="true" ma:displayName="Finished" ma:default="2022-08-30T00:00:00Z" ma:format="DateOnly" ma:hidden="true" ma:internalName="Finished" ma:readOnly="false">
      <xsd:simpleType>
        <xsd:restriction base="dms:DateTime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eamStatus" ma:index="22" nillable="true" ma:displayName="Currently Assigned for review to:" ma:description="This column specifies who is currently assigned to review of the document. This is helpful for reviewers to know what documents they should look at." ma:format="Dropdown" ma:hidden="true" ma:internalName="TeamStatus" ma:readOnly="false">
      <xsd:simpleType>
        <xsd:union memberTypes="dms:Text">
          <xsd:simpleType>
            <xsd:restriction base="dms:Choice">
              <xsd:enumeration value="Sarah"/>
              <xsd:enumeration value="Rachael"/>
              <xsd:enumeration value="Rachel"/>
              <xsd:enumeration value="Zoe"/>
              <xsd:enumeration value="Sharon"/>
            </xsd:restriction>
          </xsd:simpleType>
        </xsd:union>
      </xsd:simpleType>
    </xsd:element>
    <xsd:element name="Goaldatetocompletereview_x003a_" ma:index="23" nillable="true" ma:displayName="Goal date to complete review:" ma:format="DateOnly" ma:hidden="true" ma:internalName="Goaldatetocompletereview_x003a_" ma:readOnly="false">
      <xsd:simpleType>
        <xsd:restriction base="dms:DateTime"/>
      </xsd:simpleType>
    </xsd:element>
    <xsd:element name="MediaServiceLocation" ma:index="27" nillable="true" ma:displayName="Location" ma:hidden="true" ma:indexed="true" ma:internalName="MediaServiceLocation" ma:readOnly="true">
      <xsd:simpleType>
        <xsd:restriction base="dms:Text"/>
      </xsd:simpleType>
    </xsd:element>
    <xsd:element name="Status" ma:index="28" nillable="true" ma:displayName="Status" ma:format="Dropdown" ma:internalName="Status">
      <xsd:simpleType>
        <xsd:restriction base="dms:Choice">
          <xsd:enumeration value="in-progress"/>
          <xsd:enumeration value="draft"/>
          <xsd:enumeration value="check for final"/>
          <xsd:enumeration value="complete"/>
          <xsd:enumeration value="Sent for Signatures"/>
          <xsd:enumeration value="Need Signature"/>
        </xsd:restriction>
      </xsd:simpleType>
    </xsd:element>
    <xsd:element name="Roll_x002d_Call" ma:index="29" nillable="true" ma:displayName="Roll-Call" ma:description="when done making edits put your name here" ma:format="Dropdown" ma:list="UserInfo" ma:SharePointGroup="0" ma:internalName="Roll_x002d_Cal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pleted" ma:index="30" nillable="true" ma:displayName="Completed " ma:default="1" ma:format="Dropdown" ma:internalName="Completed">
      <xsd:simpleType>
        <xsd:restriction base="dms:Boolean"/>
      </xsd:simpleType>
    </xsd:element>
    <xsd:element name="Notes" ma:index="31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anagerApproval" ma:index="32" nillable="true" ma:displayName="Manager Approval" ma:description="Please type name of manager who approved the final version of this document" ma:format="Dropdown" ma:list="UserInfo" ma:SharePointGroup="0" ma:internalName="ManagerApprov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d9eb7-b7cc-4e27-879b-01b483158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4" nillable="true" ma:displayName="Taxonomy Catch All Column" ma:hidden="true" ma:list="{d32c7c3e-39b0-4ad2-86af-70b8daaeb2b9}" ma:internalName="TaxCatchAll" ma:readOnly="false" ma:showField="CatchAllData" ma:web="449d9eb7-b7cc-4e27-879b-01b483158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aldatetocompletereview_x003a_ xmlns="07eb0168-e38f-4593-8bb7-e13af032c594" xsi:nil="true"/>
    <ManagerApproval xmlns="07eb0168-e38f-4593-8bb7-e13af032c594">
      <UserInfo>
        <DisplayName/>
        <AccountId xsi:nil="true"/>
        <AccountType/>
      </UserInfo>
    </ManagerApproval>
    <Notes_x0020_to_x0020_consider_x0020_before_x0020_reviewing_x003a_ xmlns="07eb0168-e38f-4593-8bb7-e13af032c594" xsi:nil="true"/>
    <_ip_UnifiedCompliancePolicyUIAction xmlns="http://schemas.microsoft.com/sharepoint/v3" xsi:nil="true"/>
    <Status xmlns="07eb0168-e38f-4593-8bb7-e13af032c594" xsi:nil="true"/>
    <TeamStatus xmlns="07eb0168-e38f-4593-8bb7-e13af032c594" xsi:nil="true"/>
    <TaxCatchAll xmlns="449d9eb7-b7cc-4e27-879b-01b4831586a2" xsi:nil="true"/>
    <lcf76f155ced4ddcb4097134ff3c332f xmlns="07eb0168-e38f-4593-8bb7-e13af032c594">
      <Terms xmlns="http://schemas.microsoft.com/office/infopath/2007/PartnerControls"/>
    </lcf76f155ced4ddcb4097134ff3c332f>
    <_ip_UnifiedCompliancePolicyProperties xmlns="http://schemas.microsoft.com/sharepoint/v3" xsi:nil="true"/>
    <Notes xmlns="07eb0168-e38f-4593-8bb7-e13af032c594" xsi:nil="true"/>
    <Finished xmlns="07eb0168-e38f-4593-8bb7-e13af032c594">2022-08-30T00:00:00+00:00</Finished>
    <Completed xmlns="07eb0168-e38f-4593-8bb7-e13af032c594">true</Completed>
    <legal xmlns="07eb0168-e38f-4593-8bb7-e13af032c594">
      <UserInfo>
        <DisplayName/>
        <AccountId xsi:nil="true"/>
        <AccountType/>
      </UserInfo>
    </legal>
    <Roll_x002d_Call xmlns="07eb0168-e38f-4593-8bb7-e13af032c594">
      <UserInfo>
        <DisplayName/>
        <AccountId xsi:nil="true"/>
        <AccountType/>
      </UserInfo>
    </Roll_x002d_Call>
  </documentManagement>
</p:properties>
</file>

<file path=customXml/itemProps1.xml><?xml version="1.0" encoding="utf-8"?>
<ds:datastoreItem xmlns:ds="http://schemas.openxmlformats.org/officeDocument/2006/customXml" ds:itemID="{FC3C860B-20D9-4C22-9F17-C2B31F1F50FE}"/>
</file>

<file path=customXml/itemProps2.xml><?xml version="1.0" encoding="utf-8"?>
<ds:datastoreItem xmlns:ds="http://schemas.openxmlformats.org/officeDocument/2006/customXml" ds:itemID="{9C313747-3A6F-4CDD-A401-84262F6354D6}"/>
</file>

<file path=customXml/itemProps3.xml><?xml version="1.0" encoding="utf-8"?>
<ds:datastoreItem xmlns:ds="http://schemas.openxmlformats.org/officeDocument/2006/customXml" ds:itemID="{FC185B17-84B8-4EB6-AA60-62EE03CCCB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Response #1</vt:lpstr>
      <vt:lpstr>Response #2</vt:lpstr>
      <vt:lpstr>Response #3a</vt:lpstr>
      <vt:lpstr>Response #3b</vt:lpstr>
      <vt:lpstr>Response #3c</vt:lpstr>
      <vt:lpstr>Response #3d i and ii</vt:lpstr>
      <vt:lpstr>Response #4</vt:lpstr>
      <vt:lpstr>Response #6-Base</vt:lpstr>
      <vt:lpstr>Response #6-No ITC</vt:lpstr>
    </vt:vector>
  </TitlesOfParts>
  <Company>Exelon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Bjerning, Bradley L:(ComEd)</dc:creator>
  <cp:lastModifiedBy>Earl, Maisha J:(ComEd)</cp:lastModifiedBy>
  <dcterms:created xsi:type="dcterms:W3CDTF">2017-07-26T20:24:28Z</dcterms:created>
  <dcterms:modified xsi:type="dcterms:W3CDTF">2025-07-14T21:50:16Z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68b3d1-e05f-4796-9c23-acaf26d588cb_Enabled">
    <vt:lpwstr>true</vt:lpwstr>
  </property>
  <property fmtid="{D5CDD505-2E9C-101B-9397-08002B2CF9AE}" pid="3" name="MSIP_Label_c968b3d1-e05f-4796-9c23-acaf26d588cb_SetDate">
    <vt:lpwstr>2023-06-12T19:48:56Z</vt:lpwstr>
  </property>
  <property fmtid="{D5CDD505-2E9C-101B-9397-08002B2CF9AE}" pid="4" name="MSIP_Label_c968b3d1-e05f-4796-9c23-acaf26d588cb_Method">
    <vt:lpwstr>Standard</vt:lpwstr>
  </property>
  <property fmtid="{D5CDD505-2E9C-101B-9397-08002B2CF9AE}" pid="5" name="MSIP_Label_c968b3d1-e05f-4796-9c23-acaf26d588cb_Name">
    <vt:lpwstr>Company Confidential Information</vt:lpwstr>
  </property>
  <property fmtid="{D5CDD505-2E9C-101B-9397-08002B2CF9AE}" pid="6" name="MSIP_Label_c968b3d1-e05f-4796-9c23-acaf26d588cb_SiteId">
    <vt:lpwstr>600d01fc-055f-49c6-868f-3ecfcc791773</vt:lpwstr>
  </property>
  <property fmtid="{D5CDD505-2E9C-101B-9397-08002B2CF9AE}" pid="7" name="MSIP_Label_c968b3d1-e05f-4796-9c23-acaf26d588cb_ActionId">
    <vt:lpwstr>3ed597e3-b9dd-4919-b1e3-38056174c5cb</vt:lpwstr>
  </property>
  <property fmtid="{D5CDD505-2E9C-101B-9397-08002B2CF9AE}" pid="8" name="MSIP_Label_c968b3d1-e05f-4796-9c23-acaf26d588cb_ContentBits">
    <vt:lpwstr>0</vt:lpwstr>
  </property>
  <property fmtid="{D5CDD505-2E9C-101B-9397-08002B2CF9AE}" pid="9" name="ContentTypeId">
    <vt:lpwstr>0x010100A7D9C6DF2CFA2344B8438EA57D1C19B2</vt:lpwstr>
  </property>
</Properties>
</file>