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ustomProperty3.bin" ContentType="application/vnd.openxmlformats-officedocument.spreadsheetml.customProperty"/>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ustomProperty15.bin" ContentType="application/vnd.openxmlformats-officedocument.spreadsheetml.customProperty"/>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updateLinks="always" defaultThemeVersion="166925"/>
  <mc:AlternateContent xmlns:mc="http://schemas.openxmlformats.org/markup-compatibility/2006">
    <mc:Choice Requires="x15">
      <x15ac:absPath xmlns:x15ac="http://schemas.microsoft.com/office/spreadsheetml/2010/11/ac" url="https://ilgov.sharepoint.com/teams/IPA.Team/Shared Documents/Planning and Procurement/RPS Portfolio/January 2025 RPS Update/"/>
    </mc:Choice>
  </mc:AlternateContent>
  <xr:revisionPtr revIDLastSave="56" documentId="8_{7DC432A1-5EFD-458E-85E6-8C676B9DC90B}" xr6:coauthVersionLast="47" xr6:coauthVersionMax="47" xr10:uidLastSave="{579E263F-B40B-47F5-B7D5-9B6D3EAA238C}"/>
  <bookViews>
    <workbookView xWindow="-120" yWindow="-120" windowWidth="29040" windowHeight="17790" tabRatio="899" xr2:uid="{9DBC5021-4E64-4817-ABB6-936E9A43EEEB}"/>
  </bookViews>
  <sheets>
    <sheet name="Appendix B Annotations" sheetId="23" r:id="rId1"/>
    <sheet name="Collections and ACP" sheetId="8" r:id="rId2"/>
    <sheet name="Indexed REC Calculator" sheetId="1" r:id="rId3"/>
    <sheet name="Forward Price Curves" sheetId="24" r:id="rId4"/>
    <sheet name="Indexed REC Activities" sheetId="2" r:id="rId5"/>
    <sheet name="Indexed REC Spend" sheetId="5" r:id="rId6"/>
    <sheet name="ABP Future Assumptions" sheetId="18" r:id="rId7"/>
    <sheet name="24-25 ABP Activities" sheetId="19" r:id="rId8"/>
    <sheet name="24-25 ABP Summary" sheetId="22" r:id="rId9"/>
    <sheet name="Projected ABP RECs" sheetId="21" r:id="rId10"/>
    <sheet name="Projected ABP Spend" sheetId="20" r:id="rId11"/>
    <sheet name="ABP Under Contract" sheetId="16" r:id="rId12"/>
    <sheet name="Total REC Deliveries" sheetId="9" r:id="rId13"/>
    <sheet name="REC Spend projected" sheetId="10" r:id="rId14"/>
    <sheet name="Ch. 3 Tables and Graphs" sheetId="7" r:id="rId15"/>
    <sheet name="$ Tables and Graphs" sheetId="12" r:id="rId16"/>
  </sheets>
  <definedNames>
    <definedName name="_ftn1" localSheetId="14">'Ch. 3 Tables and Graphs'!#REF!</definedName>
    <definedName name="_ftn2" localSheetId="14">'Ch. 3 Tables and Graphs'!#REF!</definedName>
    <definedName name="_ftn3" localSheetId="14">'Ch. 3 Tables and Graphs'!#REF!</definedName>
    <definedName name="_ftn4" localSheetId="14">'Ch. 3 Tables and Graphs'!#REF!</definedName>
    <definedName name="_ftnref1" localSheetId="14">'Ch. 3 Tables and Graphs'!$D$193</definedName>
    <definedName name="_ftnref2" localSheetId="14">'Ch. 3 Tables and Graphs'!$E$193</definedName>
    <definedName name="_ftnref3" localSheetId="14">'Ch. 3 Tables and Graphs'!$F$193</definedName>
    <definedName name="_ftnref4" localSheetId="14">'Ch. 3 Tables and Graphs'!$C$196</definedName>
    <definedName name="_xlnm.Print_Area" localSheetId="15">'$ Tables and Graphs'!$A$1:$AM$119</definedName>
    <definedName name="_xlnm.Print_Area" localSheetId="7">'24-25 ABP Activities'!$B$3:$X$123</definedName>
    <definedName name="_xlnm.Print_Area" localSheetId="6">'ABP Future Assumptions'!$A$1:$P$94</definedName>
    <definedName name="_xlnm.Print_Area" localSheetId="0">'Appendix B Annotations'!$A$1:$J$118</definedName>
    <definedName name="_xlnm.Print_Area" localSheetId="10">'Projected ABP Spend'!$A$10:$T$175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2" l="1"/>
  <c r="M6" i="2"/>
  <c r="N6" i="2"/>
  <c r="O6" i="2"/>
  <c r="P6" i="2"/>
  <c r="Q6" i="2"/>
  <c r="R6" i="2"/>
  <c r="S6" i="2"/>
  <c r="T6" i="2"/>
  <c r="U6" i="2"/>
  <c r="V6" i="2"/>
  <c r="W6" i="2"/>
  <c r="X6" i="2"/>
  <c r="Y6" i="2"/>
  <c r="Z6" i="2"/>
  <c r="M7" i="2"/>
  <c r="N7" i="2"/>
  <c r="O7" i="2"/>
  <c r="P7" i="2"/>
  <c r="Q7" i="2"/>
  <c r="R7" i="2"/>
  <c r="S7" i="2"/>
  <c r="T7" i="2"/>
  <c r="U7" i="2"/>
  <c r="V7" i="2"/>
  <c r="W7" i="2"/>
  <c r="X7" i="2"/>
  <c r="Y7" i="2"/>
  <c r="Z7" i="2"/>
  <c r="N8" i="2"/>
  <c r="O8" i="2"/>
  <c r="P8" i="2"/>
  <c r="Q8" i="2"/>
  <c r="R8" i="2"/>
  <c r="S8" i="2"/>
  <c r="T8" i="2"/>
  <c r="U8" i="2"/>
  <c r="V8" i="2"/>
  <c r="W8" i="2"/>
  <c r="X8" i="2"/>
  <c r="Y8" i="2"/>
  <c r="Z8" i="2"/>
  <c r="O9" i="2"/>
  <c r="P9" i="2"/>
  <c r="Q9" i="2"/>
  <c r="R9" i="2"/>
  <c r="S9" i="2"/>
  <c r="T9" i="2"/>
  <c r="U9" i="2"/>
  <c r="V9" i="2"/>
  <c r="W9" i="2"/>
  <c r="X9" i="2"/>
  <c r="Y9" i="2"/>
  <c r="Z9" i="2"/>
  <c r="B181" i="8"/>
  <c r="C182" i="8" l="1"/>
  <c r="D182" i="8"/>
  <c r="C183" i="8"/>
  <c r="D183" i="8"/>
  <c r="C184" i="8"/>
  <c r="D184" i="8"/>
  <c r="C185" i="8"/>
  <c r="D185" i="8"/>
  <c r="C186" i="8"/>
  <c r="D186" i="8"/>
  <c r="C187" i="8"/>
  <c r="D187" i="8"/>
  <c r="C188" i="8"/>
  <c r="D188" i="8"/>
  <c r="C189" i="8"/>
  <c r="D189" i="8"/>
  <c r="C190" i="8"/>
  <c r="D190" i="8"/>
  <c r="C191" i="8"/>
  <c r="D191" i="8"/>
  <c r="C192" i="8"/>
  <c r="D192" i="8"/>
  <c r="C193" i="8"/>
  <c r="D193" i="8"/>
  <c r="C194" i="8"/>
  <c r="D194" i="8"/>
  <c r="C195" i="8"/>
  <c r="D195" i="8"/>
  <c r="C196" i="8"/>
  <c r="D196" i="8"/>
  <c r="C197" i="8"/>
  <c r="D197" i="8"/>
  <c r="C198" i="8"/>
  <c r="D198" i="8"/>
  <c r="C199" i="8"/>
  <c r="D199" i="8"/>
  <c r="D181" i="8"/>
  <c r="C181" i="8"/>
  <c r="I29" i="8" l="1"/>
  <c r="M23" i="9" l="1"/>
  <c r="M20" i="9"/>
  <c r="M67" i="9"/>
  <c r="M68" i="9"/>
  <c r="M69" i="9"/>
  <c r="M70" i="9"/>
  <c r="M71" i="9"/>
  <c r="M72" i="9"/>
  <c r="M73" i="9"/>
  <c r="M74" i="9"/>
  <c r="M75" i="9"/>
  <c r="M76" i="9"/>
  <c r="M66" i="9"/>
  <c r="M39" i="9"/>
  <c r="M40" i="9"/>
  <c r="M41" i="9"/>
  <c r="M42" i="9"/>
  <c r="M43" i="9"/>
  <c r="M44" i="9"/>
  <c r="M45" i="9"/>
  <c r="M46" i="9"/>
  <c r="M47" i="9"/>
  <c r="M48" i="9"/>
  <c r="M38" i="9"/>
  <c r="M19" i="9" l="1"/>
  <c r="I12" i="8"/>
  <c r="G28" i="18"/>
  <c r="G29" i="18"/>
  <c r="G30" i="18"/>
  <c r="G31" i="18"/>
  <c r="G32" i="18"/>
  <c r="G34" i="18"/>
  <c r="G36" i="18"/>
  <c r="G37" i="18"/>
  <c r="G38" i="18"/>
  <c r="G39" i="18"/>
  <c r="G40" i="18"/>
  <c r="G42" i="18"/>
  <c r="G60" i="18"/>
  <c r="G61" i="18"/>
  <c r="G62" i="18"/>
  <c r="G63" i="18"/>
  <c r="G64" i="18"/>
  <c r="G66" i="18"/>
  <c r="G68" i="18"/>
  <c r="G69" i="18"/>
  <c r="G70" i="18"/>
  <c r="G71" i="18"/>
  <c r="G72" i="18"/>
  <c r="G74" i="18"/>
  <c r="E15" i="20"/>
  <c r="H87" i="18"/>
  <c r="H86" i="18"/>
  <c r="H85" i="18"/>
  <c r="H84" i="18"/>
  <c r="H83" i="18"/>
  <c r="H74" i="18"/>
  <c r="H73" i="18"/>
  <c r="H72" i="18"/>
  <c r="H71" i="18"/>
  <c r="H70" i="18"/>
  <c r="H69" i="18"/>
  <c r="H66" i="18"/>
  <c r="H65" i="18"/>
  <c r="H64" i="18"/>
  <c r="H63" i="18"/>
  <c r="H62" i="18"/>
  <c r="H61" i="18"/>
  <c r="H57" i="18"/>
  <c r="H56" i="18"/>
  <c r="H55" i="18"/>
  <c r="H54" i="18"/>
  <c r="H53" i="18"/>
  <c r="H52" i="18"/>
  <c r="H50" i="18"/>
  <c r="H49" i="18"/>
  <c r="H48" i="18"/>
  <c r="H47" i="18"/>
  <c r="H46" i="18"/>
  <c r="H45" i="18"/>
  <c r="H42" i="18"/>
  <c r="H41" i="18"/>
  <c r="H40" i="18"/>
  <c r="H39" i="18"/>
  <c r="H38" i="18"/>
  <c r="H37" i="18"/>
  <c r="H34" i="18"/>
  <c r="H33" i="18"/>
  <c r="H32" i="18"/>
  <c r="H31" i="18"/>
  <c r="H30" i="18"/>
  <c r="H29" i="18"/>
  <c r="H25" i="18"/>
  <c r="H24" i="18"/>
  <c r="H23" i="18"/>
  <c r="H22" i="18"/>
  <c r="H21" i="18"/>
  <c r="H19" i="18"/>
  <c r="H18" i="18"/>
  <c r="H17" i="18"/>
  <c r="H16" i="18"/>
  <c r="H15" i="18"/>
  <c r="H12" i="18"/>
  <c r="H11" i="18"/>
  <c r="H9" i="18"/>
  <c r="H8" i="18"/>
  <c r="D15" i="21" l="1"/>
  <c r="E15" i="21" s="1"/>
  <c r="F15" i="21" s="1"/>
  <c r="G15" i="21" s="1"/>
  <c r="H15" i="21" s="1"/>
  <c r="I15" i="21" s="1"/>
  <c r="J15" i="21" s="1"/>
  <c r="K15" i="21" s="1"/>
  <c r="L15" i="21" s="1"/>
  <c r="M15" i="21" s="1"/>
  <c r="N15" i="21" s="1"/>
  <c r="O15" i="21" s="1"/>
  <c r="P15" i="21" s="1"/>
  <c r="Q15" i="21" s="1"/>
  <c r="R15" i="21" s="1"/>
  <c r="X1" i="1"/>
  <c r="W1" i="1"/>
  <c r="V1" i="1"/>
  <c r="U1" i="1"/>
  <c r="T1" i="1"/>
  <c r="S1" i="1"/>
  <c r="R1" i="1"/>
  <c r="Q1" i="1"/>
  <c r="P1" i="1"/>
  <c r="O1" i="1"/>
  <c r="N1" i="1"/>
  <c r="M1" i="1"/>
  <c r="L1" i="1"/>
  <c r="K1" i="1"/>
  <c r="J1" i="1"/>
  <c r="I1" i="1"/>
  <c r="H1" i="1"/>
  <c r="G1" i="1"/>
  <c r="F1" i="1"/>
  <c r="E1" i="1"/>
  <c r="AB14" i="1" l="1"/>
  <c r="C6" i="18" l="1"/>
  <c r="C9" i="19" s="1"/>
  <c r="C13" i="18"/>
  <c r="C16" i="19" s="1"/>
  <c r="C26" i="18"/>
  <c r="C90" i="19" s="1"/>
  <c r="C58" i="18"/>
  <c r="C47" i="19" s="1"/>
  <c r="C75" i="18"/>
  <c r="C76" i="18" s="1"/>
  <c r="G76" i="18" s="1"/>
  <c r="AA68" i="1"/>
  <c r="F6" i="1"/>
  <c r="F33" i="1"/>
  <c r="AB68" i="1"/>
  <c r="AB41" i="1"/>
  <c r="E6" i="1"/>
  <c r="C108" i="19" l="1"/>
  <c r="C77" i="19"/>
  <c r="C70" i="19"/>
  <c r="G77" i="18"/>
  <c r="G79" i="18"/>
  <c r="G81" i="18"/>
  <c r="G80" i="18"/>
  <c r="G78" i="18"/>
  <c r="C35" i="18"/>
  <c r="G35" i="18" s="1"/>
  <c r="G41" i="18" s="1"/>
  <c r="C7" i="18"/>
  <c r="C27" i="18"/>
  <c r="G27" i="18" s="1"/>
  <c r="G33" i="18" s="1"/>
  <c r="C82" i="18"/>
  <c r="G82" i="18" s="1"/>
  <c r="C111" i="19"/>
  <c r="C50" i="19"/>
  <c r="C29" i="19"/>
  <c r="B183" i="8"/>
  <c r="B184" i="8"/>
  <c r="B185" i="8"/>
  <c r="B186" i="8"/>
  <c r="B187" i="8"/>
  <c r="B188" i="8"/>
  <c r="B189" i="8"/>
  <c r="B190" i="8"/>
  <c r="B191" i="8"/>
  <c r="B192" i="8"/>
  <c r="B193" i="8"/>
  <c r="B194" i="8"/>
  <c r="B195" i="8"/>
  <c r="B196" i="8"/>
  <c r="B197" i="8"/>
  <c r="B198" i="8"/>
  <c r="B199" i="8"/>
  <c r="D13" i="21" l="1"/>
  <c r="E13" i="21" s="1"/>
  <c r="F13" i="21" s="1"/>
  <c r="G13" i="21" s="1"/>
  <c r="H13" i="21" s="1"/>
  <c r="I13" i="21" s="1"/>
  <c r="J13" i="21" s="1"/>
  <c r="K13" i="21" s="1"/>
  <c r="L13" i="21" s="1"/>
  <c r="M13" i="21" s="1"/>
  <c r="N13" i="21" s="1"/>
  <c r="O13" i="21" s="1"/>
  <c r="P13" i="21" s="1"/>
  <c r="Q13" i="21" s="1"/>
  <c r="R13" i="21" s="1"/>
  <c r="S13" i="21" s="1"/>
  <c r="T13" i="21" s="1"/>
  <c r="U13" i="21" s="1"/>
  <c r="E29" i="8"/>
  <c r="F61" i="8"/>
  <c r="C71" i="19"/>
  <c r="G7" i="18"/>
  <c r="G83" i="18"/>
  <c r="G84" i="18"/>
  <c r="G86" i="18"/>
  <c r="G85" i="18"/>
  <c r="I68" i="2" l="1"/>
  <c r="H68" i="2"/>
  <c r="G8" i="18"/>
  <c r="I8" i="18" s="1"/>
  <c r="G9" i="18"/>
  <c r="E44" i="8" l="1"/>
  <c r="B182" i="8" s="1"/>
  <c r="Z20" i="2"/>
  <c r="Z19" i="2"/>
  <c r="Y19" i="2"/>
  <c r="Z18" i="2"/>
  <c r="Y18" i="2"/>
  <c r="X18" i="2"/>
  <c r="Z17" i="2"/>
  <c r="Y17" i="2"/>
  <c r="X17" i="2"/>
  <c r="W17" i="2"/>
  <c r="Z16" i="2"/>
  <c r="Y16" i="2"/>
  <c r="X16" i="2"/>
  <c r="W16" i="2"/>
  <c r="V16" i="2"/>
  <c r="Z15" i="2"/>
  <c r="Y15" i="2"/>
  <c r="X15" i="2"/>
  <c r="W15" i="2"/>
  <c r="V15" i="2"/>
  <c r="U15" i="2"/>
  <c r="Z14" i="2"/>
  <c r="Y14" i="2"/>
  <c r="X14" i="2"/>
  <c r="W14" i="2"/>
  <c r="V14" i="2"/>
  <c r="U14" i="2"/>
  <c r="T14" i="2"/>
  <c r="Z13" i="2"/>
  <c r="Y13" i="2"/>
  <c r="X13" i="2"/>
  <c r="W13" i="2"/>
  <c r="V13" i="2"/>
  <c r="U13" i="2"/>
  <c r="T13" i="2"/>
  <c r="S13" i="2"/>
  <c r="Z12" i="2"/>
  <c r="Y12" i="2"/>
  <c r="X12" i="2"/>
  <c r="W12" i="2"/>
  <c r="V12" i="2"/>
  <c r="U12" i="2"/>
  <c r="T12" i="2"/>
  <c r="S12" i="2"/>
  <c r="R12" i="2"/>
  <c r="Z11" i="2"/>
  <c r="Y11" i="2"/>
  <c r="X11" i="2"/>
  <c r="W11" i="2"/>
  <c r="V11" i="2"/>
  <c r="U11" i="2"/>
  <c r="T11" i="2"/>
  <c r="S11" i="2"/>
  <c r="R11" i="2"/>
  <c r="Q11" i="2"/>
  <c r="Q10" i="2"/>
  <c r="R10" i="2"/>
  <c r="S10" i="2"/>
  <c r="T10" i="2"/>
  <c r="U10" i="2"/>
  <c r="V10" i="2"/>
  <c r="W10" i="2"/>
  <c r="X10" i="2"/>
  <c r="Y10" i="2"/>
  <c r="Z10" i="2"/>
  <c r="P10" i="2"/>
  <c r="D29" i="20"/>
  <c r="D30" i="20"/>
  <c r="D31" i="20"/>
  <c r="D32" i="20"/>
  <c r="D33" i="20"/>
  <c r="D34" i="20"/>
  <c r="K8" i="18"/>
  <c r="L8" i="18" s="1"/>
  <c r="Z62" i="2"/>
  <c r="Y61" i="2"/>
  <c r="X60" i="2"/>
  <c r="W59" i="2"/>
  <c r="V58" i="2"/>
  <c r="U57" i="2"/>
  <c r="T56" i="2"/>
  <c r="S55" i="2"/>
  <c r="R54" i="2"/>
  <c r="Q53" i="2"/>
  <c r="P52" i="2"/>
  <c r="O51" i="2"/>
  <c r="N50" i="2"/>
  <c r="M49" i="2"/>
  <c r="L48" i="2"/>
  <c r="Z40" i="2"/>
  <c r="X39" i="2"/>
  <c r="Z41" i="2"/>
  <c r="Y40" i="2"/>
  <c r="W38" i="2"/>
  <c r="V37" i="2"/>
  <c r="U36" i="2"/>
  <c r="T35" i="2"/>
  <c r="S34" i="2"/>
  <c r="R33" i="2"/>
  <c r="Q32" i="2"/>
  <c r="P31" i="2"/>
  <c r="O30" i="2"/>
  <c r="N29" i="2"/>
  <c r="M28" i="2"/>
  <c r="L27" i="2"/>
  <c r="G6" i="1" l="1"/>
  <c r="H6" i="1"/>
  <c r="I6" i="1"/>
  <c r="J13" i="1" s="1"/>
  <c r="J6" i="1"/>
  <c r="K6" i="1"/>
  <c r="L6" i="1"/>
  <c r="M6" i="1"/>
  <c r="N6" i="1"/>
  <c r="O6" i="1"/>
  <c r="P6" i="1"/>
  <c r="Q6" i="1"/>
  <c r="R6" i="1"/>
  <c r="S6" i="1"/>
  <c r="T6" i="1"/>
  <c r="U6" i="1"/>
  <c r="V6" i="1"/>
  <c r="W6" i="1"/>
  <c r="X6" i="1"/>
  <c r="J76" i="8"/>
  <c r="K76" i="8" s="1"/>
  <c r="J43" i="8"/>
  <c r="K43" i="8" s="1"/>
  <c r="F8" i="10"/>
  <c r="G10" i="1" l="1"/>
  <c r="G11" i="1"/>
  <c r="U13" i="1"/>
  <c r="U12" i="1"/>
  <c r="U21" i="1"/>
  <c r="U20" i="1"/>
  <c r="U17" i="1"/>
  <c r="U22" i="1"/>
  <c r="U18" i="1"/>
  <c r="U19" i="1"/>
  <c r="U15" i="1"/>
  <c r="U24" i="1"/>
  <c r="T11" i="1"/>
  <c r="U14" i="1"/>
  <c r="T10" i="1"/>
  <c r="U16" i="1"/>
  <c r="U23" i="1"/>
  <c r="J11" i="1"/>
  <c r="K14" i="1"/>
  <c r="J10" i="1"/>
  <c r="K13" i="1"/>
  <c r="K12" i="1"/>
  <c r="M13" i="1"/>
  <c r="M12" i="1"/>
  <c r="M15" i="1"/>
  <c r="L11" i="1"/>
  <c r="M14" i="1"/>
  <c r="L10" i="1"/>
  <c r="M16" i="1"/>
  <c r="I11" i="1"/>
  <c r="I10" i="1"/>
  <c r="J12" i="1"/>
  <c r="I12" i="1"/>
  <c r="I5" i="5" s="1"/>
  <c r="H11" i="1"/>
  <c r="H10" i="1"/>
  <c r="V16" i="1"/>
  <c r="V23" i="1"/>
  <c r="V13" i="1"/>
  <c r="V12" i="1"/>
  <c r="V24" i="1"/>
  <c r="V17" i="1"/>
  <c r="V22" i="1"/>
  <c r="V18" i="1"/>
  <c r="V21" i="1"/>
  <c r="V15" i="1"/>
  <c r="U11" i="1"/>
  <c r="V19" i="1"/>
  <c r="V20" i="1"/>
  <c r="U10" i="1"/>
  <c r="V14" i="1"/>
  <c r="V25" i="1"/>
  <c r="T17" i="1"/>
  <c r="T22" i="1"/>
  <c r="T19" i="1"/>
  <c r="T13" i="1"/>
  <c r="T15" i="1"/>
  <c r="S10" i="1"/>
  <c r="T18" i="1"/>
  <c r="T21" i="1"/>
  <c r="S11" i="1"/>
  <c r="T20" i="1"/>
  <c r="T14" i="1"/>
  <c r="T16" i="1"/>
  <c r="T23" i="1"/>
  <c r="T12" i="1"/>
  <c r="N16" i="1"/>
  <c r="M10" i="1"/>
  <c r="N13" i="1"/>
  <c r="N12" i="1"/>
  <c r="N15" i="1"/>
  <c r="M11" i="1"/>
  <c r="N17" i="1"/>
  <c r="N14" i="1"/>
  <c r="L14" i="1"/>
  <c r="L15" i="1"/>
  <c r="K11" i="1"/>
  <c r="K10" i="1"/>
  <c r="L12" i="1"/>
  <c r="L13" i="1"/>
  <c r="S17" i="1"/>
  <c r="S22" i="1"/>
  <c r="S15" i="1"/>
  <c r="R10" i="1"/>
  <c r="S16" i="1"/>
  <c r="S18" i="1"/>
  <c r="S21" i="1"/>
  <c r="R11" i="1"/>
  <c r="S19" i="1"/>
  <c r="S20" i="1"/>
  <c r="S14" i="1"/>
  <c r="S13" i="1"/>
  <c r="S12" i="1"/>
  <c r="R15" i="1"/>
  <c r="R18" i="1"/>
  <c r="R21" i="1"/>
  <c r="Q11" i="1"/>
  <c r="R13" i="1"/>
  <c r="R19" i="1"/>
  <c r="R20" i="1"/>
  <c r="R12" i="1"/>
  <c r="R14" i="1"/>
  <c r="Q10" i="1"/>
  <c r="R16" i="1"/>
  <c r="R17" i="1"/>
  <c r="X11" i="1"/>
  <c r="X10" i="1"/>
  <c r="Q18" i="1"/>
  <c r="P11" i="1"/>
  <c r="Q13" i="1"/>
  <c r="Q15" i="1"/>
  <c r="Q19" i="1"/>
  <c r="Q20" i="1"/>
  <c r="Q14" i="1"/>
  <c r="P10" i="1"/>
  <c r="Q16" i="1"/>
  <c r="Q12" i="1"/>
  <c r="Q17" i="1"/>
  <c r="X19" i="1"/>
  <c r="X20" i="1"/>
  <c r="X17" i="1"/>
  <c r="X14" i="1"/>
  <c r="X25" i="1"/>
  <c r="W10" i="1"/>
  <c r="X27" i="1"/>
  <c r="X16" i="1"/>
  <c r="X23" i="1"/>
  <c r="X13" i="1"/>
  <c r="X26" i="1"/>
  <c r="X12" i="1"/>
  <c r="X22" i="1"/>
  <c r="X15" i="1"/>
  <c r="X24" i="1"/>
  <c r="X21" i="1"/>
  <c r="X18" i="1"/>
  <c r="W11" i="1"/>
  <c r="P19" i="1"/>
  <c r="P14" i="1"/>
  <c r="P16" i="1"/>
  <c r="O10" i="1"/>
  <c r="P13" i="1"/>
  <c r="P12" i="1"/>
  <c r="P17" i="1"/>
  <c r="P15" i="1"/>
  <c r="O11" i="1"/>
  <c r="P18" i="1"/>
  <c r="W14" i="1"/>
  <c r="W25" i="1"/>
  <c r="V10" i="1"/>
  <c r="W24" i="1"/>
  <c r="W16" i="1"/>
  <c r="W23" i="1"/>
  <c r="W13" i="1"/>
  <c r="W26" i="1"/>
  <c r="W12" i="1"/>
  <c r="W17" i="1"/>
  <c r="W22" i="1"/>
  <c r="W15" i="1"/>
  <c r="W18" i="1"/>
  <c r="W21" i="1"/>
  <c r="V11" i="1"/>
  <c r="W19" i="1"/>
  <c r="W20" i="1"/>
  <c r="O14" i="1"/>
  <c r="O17" i="1"/>
  <c r="O16" i="1"/>
  <c r="N10" i="1"/>
  <c r="O13" i="1"/>
  <c r="O12" i="1"/>
  <c r="O15" i="1"/>
  <c r="O18" i="1"/>
  <c r="N11" i="1"/>
  <c r="I10" i="8" l="1"/>
  <c r="J11" i="8"/>
  <c r="I11" i="8"/>
  <c r="H11" i="8" l="1"/>
  <c r="B166" i="21"/>
  <c r="B183" i="21"/>
  <c r="B182" i="21"/>
  <c r="B181" i="21"/>
  <c r="B180" i="21"/>
  <c r="B179" i="21"/>
  <c r="B178" i="21"/>
  <c r="B177" i="21"/>
  <c r="B176" i="21"/>
  <c r="B175" i="21"/>
  <c r="N10" i="12" l="1"/>
  <c r="Z4" i="10" l="1"/>
  <c r="E141" i="8"/>
  <c r="K36" i="8"/>
  <c r="K105" i="8"/>
  <c r="I13" i="8"/>
  <c r="I14" i="8"/>
  <c r="I15" i="8"/>
  <c r="I16" i="8"/>
  <c r="I17" i="8"/>
  <c r="I18" i="8"/>
  <c r="I19" i="8"/>
  <c r="I20" i="8"/>
  <c r="I21" i="8"/>
  <c r="I22" i="8"/>
  <c r="I23" i="8"/>
  <c r="I24" i="8"/>
  <c r="I25" i="8"/>
  <c r="I26" i="8"/>
  <c r="I27" i="8"/>
  <c r="I28" i="8"/>
  <c r="E5" i="8"/>
  <c r="F5" i="8" s="1"/>
  <c r="E6" i="8"/>
  <c r="E8" i="8"/>
  <c r="E9" i="8"/>
  <c r="E11" i="8"/>
  <c r="E12" i="8"/>
  <c r="E13" i="8"/>
  <c r="E14" i="8"/>
  <c r="E15" i="8"/>
  <c r="E16" i="8"/>
  <c r="E17" i="8"/>
  <c r="E18" i="8"/>
  <c r="E19" i="8"/>
  <c r="E20" i="8"/>
  <c r="E21" i="8"/>
  <c r="E22" i="8"/>
  <c r="E23" i="8"/>
  <c r="E24" i="8"/>
  <c r="E25" i="8"/>
  <c r="E26" i="8"/>
  <c r="E27" i="8"/>
  <c r="E28" i="8"/>
  <c r="E4" i="8"/>
  <c r="F4" i="8" s="1"/>
  <c r="M4" i="9" l="1"/>
  <c r="T33" i="9"/>
  <c r="T61" i="9"/>
  <c r="I5" i="10" l="1"/>
  <c r="I6" i="10"/>
  <c r="I7" i="10"/>
  <c r="E200" i="7" s="1"/>
  <c r="I8" i="10"/>
  <c r="I9" i="10"/>
  <c r="I10" i="10"/>
  <c r="I11" i="10"/>
  <c r="I12" i="10"/>
  <c r="I13" i="10"/>
  <c r="I14" i="10"/>
  <c r="I15" i="10"/>
  <c r="I16" i="10"/>
  <c r="I17" i="10"/>
  <c r="I18" i="10"/>
  <c r="I19" i="10"/>
  <c r="I20" i="10"/>
  <c r="I21" i="10"/>
  <c r="I22" i="10"/>
  <c r="I23" i="10"/>
  <c r="I24" i="10"/>
  <c r="I25" i="10"/>
  <c r="I26" i="10"/>
  <c r="I27" i="10"/>
  <c r="M5" i="9"/>
  <c r="M6" i="9"/>
  <c r="M7" i="9"/>
  <c r="M8" i="9"/>
  <c r="M9" i="9"/>
  <c r="M10" i="9"/>
  <c r="M11" i="9"/>
  <c r="M12" i="9"/>
  <c r="M13" i="9"/>
  <c r="M14" i="9"/>
  <c r="M15" i="9"/>
  <c r="M16" i="9"/>
  <c r="M17" i="9"/>
  <c r="M18" i="9"/>
  <c r="M21" i="9"/>
  <c r="M22" i="9"/>
  <c r="M24" i="9"/>
  <c r="M25" i="9"/>
  <c r="M26" i="9"/>
  <c r="M27" i="9"/>
  <c r="I4" i="10"/>
  <c r="D110" i="12"/>
  <c r="E42" i="8" l="1"/>
  <c r="J42" i="8"/>
  <c r="Y86" i="10"/>
  <c r="X86" i="10"/>
  <c r="W86" i="10"/>
  <c r="Y59" i="10"/>
  <c r="X59" i="10"/>
  <c r="W59" i="10"/>
  <c r="Y32" i="10"/>
  <c r="X32" i="10"/>
  <c r="W32" i="10"/>
  <c r="W31" i="10"/>
  <c r="E10" i="8" l="1"/>
  <c r="K42" i="8"/>
  <c r="B5" i="10"/>
  <c r="C5" i="10"/>
  <c r="D5" i="10"/>
  <c r="Z5" i="10"/>
  <c r="B6" i="10"/>
  <c r="C6" i="10"/>
  <c r="D6" i="10"/>
  <c r="B7" i="10"/>
  <c r="C7" i="10"/>
  <c r="D7" i="10"/>
  <c r="B8" i="10"/>
  <c r="C8" i="10"/>
  <c r="D8" i="10"/>
  <c r="E8" i="10"/>
  <c r="C9" i="10"/>
  <c r="D9" i="10"/>
  <c r="E9" i="10"/>
  <c r="F9" i="10"/>
  <c r="C10" i="10"/>
  <c r="D10" i="10"/>
  <c r="E10" i="10"/>
  <c r="F10" i="10"/>
  <c r="C11" i="10"/>
  <c r="D11" i="10"/>
  <c r="E11" i="10"/>
  <c r="F11" i="10"/>
  <c r="C12" i="10"/>
  <c r="D12" i="10"/>
  <c r="E12" i="10"/>
  <c r="F12" i="10"/>
  <c r="C13" i="10"/>
  <c r="D13" i="10"/>
  <c r="E13" i="10"/>
  <c r="F13" i="10"/>
  <c r="C14" i="10"/>
  <c r="D14" i="10"/>
  <c r="E14" i="10"/>
  <c r="F14" i="10"/>
  <c r="D15" i="10"/>
  <c r="E15" i="10"/>
  <c r="D16" i="10"/>
  <c r="E16" i="10"/>
  <c r="D17" i="10"/>
  <c r="E17" i="10"/>
  <c r="F136" i="12" s="1"/>
  <c r="F166" i="12" s="1"/>
  <c r="D18" i="10"/>
  <c r="E18" i="10"/>
  <c r="D19" i="10"/>
  <c r="E19" i="10"/>
  <c r="F138" i="12" s="1"/>
  <c r="F168" i="12" s="1"/>
  <c r="D20" i="10"/>
  <c r="D139" i="12" s="1"/>
  <c r="D169" i="12" s="1"/>
  <c r="E20" i="10"/>
  <c r="D21" i="10"/>
  <c r="E21" i="10"/>
  <c r="F140" i="12" s="1"/>
  <c r="F170" i="12" s="1"/>
  <c r="D22" i="10"/>
  <c r="E22" i="10"/>
  <c r="D23" i="10"/>
  <c r="E23" i="10"/>
  <c r="D24" i="10"/>
  <c r="E24" i="10"/>
  <c r="D25" i="10"/>
  <c r="E25" i="10"/>
  <c r="D26" i="10"/>
  <c r="E26" i="10"/>
  <c r="D27" i="10"/>
  <c r="E27" i="10"/>
  <c r="D6" i="1"/>
  <c r="I123" i="12"/>
  <c r="I153" i="12" s="1"/>
  <c r="H123" i="12"/>
  <c r="H153" i="12" s="1"/>
  <c r="G124" i="12"/>
  <c r="G154" i="12" s="1"/>
  <c r="G125" i="12"/>
  <c r="G155" i="12" s="1"/>
  <c r="G126" i="12"/>
  <c r="G156" i="12" s="1"/>
  <c r="G123" i="12"/>
  <c r="G153" i="12" s="1"/>
  <c r="F123" i="12"/>
  <c r="F153" i="12" s="1"/>
  <c r="C123" i="12"/>
  <c r="C153" i="12" s="1"/>
  <c r="H69" i="2"/>
  <c r="I124" i="12"/>
  <c r="I154" i="12" s="1"/>
  <c r="H124" i="12"/>
  <c r="H154" i="12" s="1"/>
  <c r="H125" i="12"/>
  <c r="H155" i="12" s="1"/>
  <c r="H126" i="12"/>
  <c r="H156" i="12" s="1"/>
  <c r="F124" i="12"/>
  <c r="F154" i="12" s="1"/>
  <c r="F125" i="12"/>
  <c r="F155" i="12" s="1"/>
  <c r="F126" i="12"/>
  <c r="F156" i="12" s="1"/>
  <c r="E124" i="12"/>
  <c r="E154" i="12" s="1"/>
  <c r="E125" i="12"/>
  <c r="E155" i="12" s="1"/>
  <c r="E126" i="12"/>
  <c r="E156" i="12" s="1"/>
  <c r="E127" i="12"/>
  <c r="E157" i="12" s="1"/>
  <c r="E128" i="12"/>
  <c r="E158" i="12" s="1"/>
  <c r="E129" i="12"/>
  <c r="E159" i="12" s="1"/>
  <c r="E130" i="12"/>
  <c r="E160" i="12" s="1"/>
  <c r="E131" i="12"/>
  <c r="E161" i="12" s="1"/>
  <c r="E132" i="12"/>
  <c r="E162" i="12" s="1"/>
  <c r="E133" i="12"/>
  <c r="E163" i="12" s="1"/>
  <c r="E134" i="12"/>
  <c r="E164" i="12" s="1"/>
  <c r="E135" i="12"/>
  <c r="E165" i="12" s="1"/>
  <c r="E136" i="12"/>
  <c r="E166" i="12" s="1"/>
  <c r="E137" i="12"/>
  <c r="E167" i="12" s="1"/>
  <c r="E138" i="12"/>
  <c r="E168" i="12" s="1"/>
  <c r="E139" i="12"/>
  <c r="E169" i="12" s="1"/>
  <c r="E140" i="12"/>
  <c r="E170" i="12" s="1"/>
  <c r="E141" i="12"/>
  <c r="E171" i="12" s="1"/>
  <c r="E142" i="12"/>
  <c r="E172" i="12" s="1"/>
  <c r="E143" i="12"/>
  <c r="E173" i="12" s="1"/>
  <c r="E144" i="12"/>
  <c r="E174" i="12" s="1"/>
  <c r="E145" i="12"/>
  <c r="E175" i="12" s="1"/>
  <c r="E123" i="12"/>
  <c r="E153" i="12" s="1"/>
  <c r="D135" i="12"/>
  <c r="D165" i="12" s="1"/>
  <c r="C124" i="12"/>
  <c r="C125" i="12"/>
  <c r="C155" i="12" s="1"/>
  <c r="C126" i="12"/>
  <c r="C156" i="12" s="1"/>
  <c r="C127" i="12"/>
  <c r="C157" i="12" s="1"/>
  <c r="C128" i="12"/>
  <c r="C158" i="12" s="1"/>
  <c r="C129" i="12"/>
  <c r="C159" i="12" s="1"/>
  <c r="C130" i="12"/>
  <c r="C160" i="12" s="1"/>
  <c r="C131" i="12"/>
  <c r="C161" i="12" s="1"/>
  <c r="C132" i="12"/>
  <c r="C162" i="12" s="1"/>
  <c r="C133" i="12"/>
  <c r="C163" i="12" s="1"/>
  <c r="C134" i="12"/>
  <c r="C164" i="12" s="1"/>
  <c r="C135" i="12"/>
  <c r="C165" i="12" s="1"/>
  <c r="C136" i="12"/>
  <c r="C166" i="12" s="1"/>
  <c r="C137" i="12"/>
  <c r="C167" i="12" s="1"/>
  <c r="C138" i="12"/>
  <c r="C168" i="12" s="1"/>
  <c r="C139" i="12"/>
  <c r="C169" i="12" s="1"/>
  <c r="C140" i="12"/>
  <c r="C170" i="12" s="1"/>
  <c r="C141" i="12"/>
  <c r="C171" i="12" s="1"/>
  <c r="C142" i="12"/>
  <c r="C172" i="12" s="1"/>
  <c r="C143" i="12"/>
  <c r="C173" i="12" s="1"/>
  <c r="C144" i="12"/>
  <c r="C174" i="12" s="1"/>
  <c r="C145" i="12"/>
  <c r="C175" i="12" s="1"/>
  <c r="F128" i="12" l="1"/>
  <c r="F158" i="12" s="1"/>
  <c r="F132" i="12"/>
  <c r="F162" i="12" s="1"/>
  <c r="D208" i="7"/>
  <c r="D212" i="7"/>
  <c r="D216" i="7"/>
  <c r="D206" i="7"/>
  <c r="D202" i="7"/>
  <c r="D204" i="7"/>
  <c r="D217" i="7"/>
  <c r="D213" i="7"/>
  <c r="D209" i="7"/>
  <c r="D200" i="7"/>
  <c r="F129" i="12"/>
  <c r="F159" i="12" s="1"/>
  <c r="D218" i="7"/>
  <c r="D210" i="7"/>
  <c r="D145" i="12"/>
  <c r="D175" i="12" s="1"/>
  <c r="D219" i="7"/>
  <c r="D215" i="7"/>
  <c r="D211" i="7"/>
  <c r="D140" i="12"/>
  <c r="D170" i="12" s="1"/>
  <c r="D214" i="7"/>
  <c r="D207" i="7"/>
  <c r="D205" i="7"/>
  <c r="D203" i="7"/>
  <c r="D201" i="7"/>
  <c r="D131" i="12"/>
  <c r="D161" i="12" s="1"/>
  <c r="D127" i="12"/>
  <c r="D157" i="12" s="1"/>
  <c r="D125" i="12"/>
  <c r="D155" i="12" s="1"/>
  <c r="F137" i="12"/>
  <c r="F167" i="12" s="1"/>
  <c r="D143" i="12"/>
  <c r="D173" i="12" s="1"/>
  <c r="F135" i="12"/>
  <c r="F165" i="12" s="1"/>
  <c r="D141" i="12"/>
  <c r="D171" i="12" s="1"/>
  <c r="F145" i="12"/>
  <c r="F175" i="12" s="1"/>
  <c r="F139" i="12"/>
  <c r="F169" i="12" s="1"/>
  <c r="D137" i="12"/>
  <c r="D167" i="12" s="1"/>
  <c r="F134" i="12"/>
  <c r="F164" i="12" s="1"/>
  <c r="F144" i="12"/>
  <c r="F174" i="12" s="1"/>
  <c r="F142" i="12"/>
  <c r="F172" i="12" s="1"/>
  <c r="F141" i="12"/>
  <c r="F171" i="12" s="1"/>
  <c r="D129" i="12"/>
  <c r="D159" i="12" s="1"/>
  <c r="D124" i="12"/>
  <c r="D154" i="12" s="1"/>
  <c r="F143" i="12"/>
  <c r="F173" i="12" s="1"/>
  <c r="F130" i="12"/>
  <c r="F160" i="12" s="1"/>
  <c r="F133" i="12"/>
  <c r="F163" i="12" s="1"/>
  <c r="D133" i="12"/>
  <c r="D163" i="12" s="1"/>
  <c r="F131" i="12"/>
  <c r="F161" i="12" s="1"/>
  <c r="D132" i="12"/>
  <c r="D162" i="12" s="1"/>
  <c r="D126" i="12"/>
  <c r="D156" i="12" s="1"/>
  <c r="D138" i="12"/>
  <c r="D168" i="12" s="1"/>
  <c r="D130" i="12"/>
  <c r="D160" i="12" s="1"/>
  <c r="F127" i="12"/>
  <c r="F157" i="12" s="1"/>
  <c r="D144" i="12"/>
  <c r="D174" i="12" s="1"/>
  <c r="D136" i="12"/>
  <c r="D166" i="12" s="1"/>
  <c r="D128" i="12"/>
  <c r="D158" i="12" s="1"/>
  <c r="D142" i="12"/>
  <c r="D172" i="12" s="1"/>
  <c r="D134" i="12"/>
  <c r="D164" i="12" s="1"/>
  <c r="C154" i="12"/>
  <c r="B165" i="21"/>
  <c r="B164" i="21"/>
  <c r="C6" i="21"/>
  <c r="K60" i="18"/>
  <c r="L60" i="18" s="1"/>
  <c r="F3" i="5"/>
  <c r="G37" i="5"/>
  <c r="G33" i="12"/>
  <c r="B168" i="20"/>
  <c r="B167" i="20"/>
  <c r="D33" i="1"/>
  <c r="B168" i="21"/>
  <c r="I9" i="18"/>
  <c r="D60" i="1"/>
  <c r="C68" i="2"/>
  <c r="J68" i="2"/>
  <c r="D68" i="2"/>
  <c r="E68" i="2"/>
  <c r="F68" i="2"/>
  <c r="G68" i="2"/>
  <c r="K68" i="2"/>
  <c r="L68" i="2"/>
  <c r="M68" i="2"/>
  <c r="N68" i="2"/>
  <c r="O68" i="2"/>
  <c r="P68" i="2"/>
  <c r="Q68" i="2"/>
  <c r="R68" i="2"/>
  <c r="S68" i="2"/>
  <c r="T68" i="2"/>
  <c r="U68" i="2"/>
  <c r="V68" i="2"/>
  <c r="W68" i="2"/>
  <c r="X68" i="2"/>
  <c r="Y68" i="2"/>
  <c r="Z68" i="2"/>
  <c r="D69" i="2"/>
  <c r="E69" i="2"/>
  <c r="F69" i="2"/>
  <c r="G69" i="2"/>
  <c r="I69" i="2"/>
  <c r="D70" i="2"/>
  <c r="E70" i="2"/>
  <c r="F70" i="2"/>
  <c r="G70" i="2"/>
  <c r="H70" i="2"/>
  <c r="I70" i="2"/>
  <c r="C70" i="2"/>
  <c r="C69" i="2"/>
  <c r="F89" i="12"/>
  <c r="G89" i="12"/>
  <c r="H89" i="12"/>
  <c r="I89" i="12"/>
  <c r="J89" i="12"/>
  <c r="K89" i="12"/>
  <c r="L89" i="12"/>
  <c r="M89" i="12"/>
  <c r="G90" i="12"/>
  <c r="H90" i="12"/>
  <c r="I90" i="12"/>
  <c r="J90" i="12"/>
  <c r="K90" i="12"/>
  <c r="L90" i="12"/>
  <c r="M90" i="12"/>
  <c r="F91" i="12"/>
  <c r="G91" i="12"/>
  <c r="H91" i="12"/>
  <c r="I91" i="12"/>
  <c r="J91" i="12"/>
  <c r="K91" i="12"/>
  <c r="L91" i="12"/>
  <c r="M91" i="12"/>
  <c r="F92" i="12"/>
  <c r="G92" i="12"/>
  <c r="H92" i="12"/>
  <c r="I92" i="12"/>
  <c r="J92" i="12"/>
  <c r="K92" i="12"/>
  <c r="L92" i="12"/>
  <c r="M92" i="12"/>
  <c r="F93" i="12"/>
  <c r="G93" i="12"/>
  <c r="H93" i="12"/>
  <c r="I93" i="12"/>
  <c r="J93" i="12"/>
  <c r="K93" i="12"/>
  <c r="L93" i="12"/>
  <c r="M93" i="12"/>
  <c r="F94" i="12"/>
  <c r="G94" i="12"/>
  <c r="H94" i="12"/>
  <c r="I94" i="12"/>
  <c r="J94" i="12"/>
  <c r="K94" i="12"/>
  <c r="L94" i="12"/>
  <c r="M94" i="12"/>
  <c r="G88" i="12"/>
  <c r="H88" i="12"/>
  <c r="I88" i="12"/>
  <c r="J88" i="12"/>
  <c r="K88" i="12"/>
  <c r="L88" i="12"/>
  <c r="M88" i="12"/>
  <c r="F88" i="12"/>
  <c r="E89" i="12"/>
  <c r="E90" i="12"/>
  <c r="E91" i="12"/>
  <c r="E92" i="12"/>
  <c r="E88" i="12"/>
  <c r="E60" i="12"/>
  <c r="C89" i="12"/>
  <c r="C90" i="12"/>
  <c r="C91" i="12"/>
  <c r="C92" i="12"/>
  <c r="C93" i="12"/>
  <c r="C94" i="12"/>
  <c r="C95" i="12"/>
  <c r="C96" i="12"/>
  <c r="C97" i="12"/>
  <c r="C98" i="12"/>
  <c r="C99" i="12"/>
  <c r="C100" i="12"/>
  <c r="C101" i="12"/>
  <c r="C102" i="12"/>
  <c r="C103" i="12"/>
  <c r="C104" i="12"/>
  <c r="C105" i="12"/>
  <c r="C106" i="12"/>
  <c r="C107" i="12"/>
  <c r="C108" i="12"/>
  <c r="C109" i="12"/>
  <c r="C110" i="12"/>
  <c r="C88" i="12"/>
  <c r="C82" i="12"/>
  <c r="D27" i="9"/>
  <c r="E27" i="9"/>
  <c r="F27" i="9"/>
  <c r="G27" i="9"/>
  <c r="C27" i="9"/>
  <c r="B27" i="9"/>
  <c r="C4" i="12"/>
  <c r="C60" i="12"/>
  <c r="C32" i="12"/>
  <c r="B4" i="9"/>
  <c r="D4" i="9"/>
  <c r="E86" i="10"/>
  <c r="F86" i="10"/>
  <c r="G86" i="10"/>
  <c r="J86" i="10"/>
  <c r="K86" i="10"/>
  <c r="L86" i="10"/>
  <c r="O86" i="10"/>
  <c r="Q86" i="10"/>
  <c r="R86" i="10"/>
  <c r="S86" i="10"/>
  <c r="T86" i="10"/>
  <c r="U86" i="10"/>
  <c r="V86" i="10"/>
  <c r="E87" i="10"/>
  <c r="F87" i="10"/>
  <c r="G87" i="10"/>
  <c r="J87" i="10"/>
  <c r="K87" i="10"/>
  <c r="L87" i="10"/>
  <c r="O87" i="10"/>
  <c r="Q87" i="10"/>
  <c r="R87" i="10"/>
  <c r="S87" i="10"/>
  <c r="T87" i="10"/>
  <c r="U87" i="10"/>
  <c r="V87" i="10"/>
  <c r="E88" i="10"/>
  <c r="F88" i="10"/>
  <c r="G88" i="10"/>
  <c r="J88" i="10"/>
  <c r="K88" i="10"/>
  <c r="L88" i="10"/>
  <c r="O88" i="10"/>
  <c r="Q88" i="10"/>
  <c r="R88" i="10"/>
  <c r="S88" i="10"/>
  <c r="T88" i="10"/>
  <c r="U88" i="10"/>
  <c r="V88" i="10"/>
  <c r="E89" i="10"/>
  <c r="F89" i="10"/>
  <c r="G89" i="10"/>
  <c r="O89" i="10"/>
  <c r="E90" i="10"/>
  <c r="F90" i="10"/>
  <c r="G90" i="10"/>
  <c r="O90" i="10"/>
  <c r="E91" i="10"/>
  <c r="F91" i="10"/>
  <c r="G91" i="10"/>
  <c r="O91" i="10"/>
  <c r="E92" i="10"/>
  <c r="F92" i="10"/>
  <c r="G92" i="10"/>
  <c r="O92" i="10"/>
  <c r="E93" i="10"/>
  <c r="F93" i="10"/>
  <c r="G93" i="10"/>
  <c r="O93" i="10"/>
  <c r="E94" i="10"/>
  <c r="F94" i="10"/>
  <c r="G94" i="10"/>
  <c r="O94" i="10"/>
  <c r="E95" i="10"/>
  <c r="F95" i="10"/>
  <c r="G95" i="10"/>
  <c r="O95" i="10"/>
  <c r="E96" i="10"/>
  <c r="F96" i="10"/>
  <c r="G96" i="10"/>
  <c r="O96" i="10"/>
  <c r="E97" i="10"/>
  <c r="F97" i="10"/>
  <c r="G97" i="10"/>
  <c r="O97" i="10"/>
  <c r="E98" i="10"/>
  <c r="F98" i="10"/>
  <c r="G98" i="10"/>
  <c r="O98" i="10"/>
  <c r="E99" i="10"/>
  <c r="F99" i="10"/>
  <c r="G99" i="10"/>
  <c r="O99" i="10"/>
  <c r="E100" i="10"/>
  <c r="F100" i="10"/>
  <c r="G100" i="10"/>
  <c r="O100" i="10"/>
  <c r="E101" i="10"/>
  <c r="F101" i="10"/>
  <c r="G101" i="10"/>
  <c r="O101" i="10"/>
  <c r="E102" i="10"/>
  <c r="F102" i="10"/>
  <c r="G102" i="10"/>
  <c r="O102" i="10"/>
  <c r="E103" i="10"/>
  <c r="F103" i="10"/>
  <c r="G103" i="10"/>
  <c r="O103" i="10"/>
  <c r="E104" i="10"/>
  <c r="F104" i="10"/>
  <c r="G104" i="10"/>
  <c r="O104" i="10"/>
  <c r="E105" i="10"/>
  <c r="F105" i="10"/>
  <c r="G105" i="10"/>
  <c r="O105" i="10"/>
  <c r="E106" i="10"/>
  <c r="F106" i="10"/>
  <c r="G106" i="10"/>
  <c r="O106" i="10"/>
  <c r="E107" i="10"/>
  <c r="F107" i="10"/>
  <c r="G107" i="10"/>
  <c r="O107" i="10"/>
  <c r="E108" i="10"/>
  <c r="F108" i="10"/>
  <c r="G108" i="10"/>
  <c r="O108" i="10"/>
  <c r="B86" i="10"/>
  <c r="C86" i="10"/>
  <c r="D86" i="10"/>
  <c r="B87" i="10"/>
  <c r="C87" i="10"/>
  <c r="D87" i="10"/>
  <c r="B88" i="10"/>
  <c r="C88" i="10"/>
  <c r="D88" i="10"/>
  <c r="B89" i="10"/>
  <c r="C89" i="10"/>
  <c r="D89" i="10"/>
  <c r="B90" i="10"/>
  <c r="C90" i="10"/>
  <c r="D90" i="10"/>
  <c r="B91" i="10"/>
  <c r="C91" i="10"/>
  <c r="D91" i="10"/>
  <c r="B92" i="10"/>
  <c r="C92" i="10"/>
  <c r="D92" i="10"/>
  <c r="B93" i="10"/>
  <c r="C93" i="10"/>
  <c r="D93" i="10"/>
  <c r="B94" i="10"/>
  <c r="C94" i="10"/>
  <c r="D94" i="10"/>
  <c r="B95" i="10"/>
  <c r="C95" i="10"/>
  <c r="D95" i="10"/>
  <c r="B96" i="10"/>
  <c r="C96" i="10"/>
  <c r="D96" i="10"/>
  <c r="B97" i="10"/>
  <c r="C97" i="10"/>
  <c r="D97" i="10"/>
  <c r="B98" i="10"/>
  <c r="C98" i="10"/>
  <c r="D98" i="10"/>
  <c r="B99" i="10"/>
  <c r="C99" i="10"/>
  <c r="D99" i="10"/>
  <c r="B100" i="10"/>
  <c r="C100" i="10"/>
  <c r="D100" i="10"/>
  <c r="B101" i="10"/>
  <c r="C101" i="10"/>
  <c r="D101" i="10"/>
  <c r="B102" i="10"/>
  <c r="C102" i="10"/>
  <c r="D102" i="10"/>
  <c r="B103" i="10"/>
  <c r="C103" i="10"/>
  <c r="D103" i="10"/>
  <c r="B104" i="10"/>
  <c r="C104" i="10"/>
  <c r="D104" i="10"/>
  <c r="B105" i="10"/>
  <c r="C105" i="10"/>
  <c r="D105" i="10"/>
  <c r="B106" i="10"/>
  <c r="C106" i="10"/>
  <c r="D106" i="10"/>
  <c r="B107" i="10"/>
  <c r="C107" i="10"/>
  <c r="D107" i="10"/>
  <c r="B108" i="10"/>
  <c r="C108" i="10"/>
  <c r="D108" i="10"/>
  <c r="O85" i="10"/>
  <c r="R85" i="10"/>
  <c r="S85" i="10"/>
  <c r="Q85" i="10"/>
  <c r="T85" i="10"/>
  <c r="U85" i="10"/>
  <c r="V85" i="10"/>
  <c r="W85" i="10"/>
  <c r="X85" i="10"/>
  <c r="Y85" i="10"/>
  <c r="D145" i="8"/>
  <c r="D170" i="8"/>
  <c r="D171" i="8"/>
  <c r="B152" i="8"/>
  <c r="J75" i="8"/>
  <c r="K75" i="8" s="1"/>
  <c r="Q61" i="10"/>
  <c r="J77" i="18"/>
  <c r="J78" i="18"/>
  <c r="H78" i="18" s="1"/>
  <c r="J79" i="18"/>
  <c r="H79" i="18" s="1"/>
  <c r="J80" i="18"/>
  <c r="H80" i="18" s="1"/>
  <c r="J81" i="18"/>
  <c r="H81" i="18" s="1"/>
  <c r="N88" i="12" l="1"/>
  <c r="N89" i="12"/>
  <c r="N94" i="12"/>
  <c r="N93" i="12"/>
  <c r="N92" i="12"/>
  <c r="N91" i="12"/>
  <c r="K77" i="18"/>
  <c r="L77" i="18" s="1"/>
  <c r="H77" i="18"/>
  <c r="E71" i="2"/>
  <c r="J10" i="8"/>
  <c r="H10" i="8" s="1"/>
  <c r="C2" i="21"/>
  <c r="H27" i="9"/>
  <c r="D88" i="12"/>
  <c r="Z85" i="10"/>
  <c r="D89" i="12"/>
  <c r="Z86" i="10"/>
  <c r="C71" i="2"/>
  <c r="D71" i="2"/>
  <c r="B144" i="8"/>
  <c r="B145" i="8" s="1"/>
  <c r="C152" i="8" l="1"/>
  <c r="E33" i="1"/>
  <c r="E60" i="1"/>
  <c r="E143" i="8"/>
  <c r="E142" i="8"/>
  <c r="C144" i="8"/>
  <c r="E144" i="8" s="1"/>
  <c r="G33" i="1" l="1"/>
  <c r="G37" i="1" s="1"/>
  <c r="F2" i="5"/>
  <c r="F60" i="1"/>
  <c r="F36" i="1"/>
  <c r="C145" i="8"/>
  <c r="E145" i="8" s="1"/>
  <c r="N5" i="12"/>
  <c r="N7" i="12"/>
  <c r="N8" i="12"/>
  <c r="N9" i="12"/>
  <c r="N4" i="12"/>
  <c r="D196" i="7"/>
  <c r="F196" i="7" s="1"/>
  <c r="D195" i="7"/>
  <c r="F195" i="7" s="1"/>
  <c r="D194" i="7"/>
  <c r="I42" i="18"/>
  <c r="I41" i="18"/>
  <c r="I40" i="18"/>
  <c r="I39" i="18"/>
  <c r="I38" i="18"/>
  <c r="I37" i="18"/>
  <c r="I36" i="18"/>
  <c r="I34" i="18"/>
  <c r="I33" i="18"/>
  <c r="I32" i="18"/>
  <c r="I31" i="18"/>
  <c r="I30" i="18"/>
  <c r="I29" i="18"/>
  <c r="I28" i="18"/>
  <c r="I85" i="18"/>
  <c r="I78" i="18"/>
  <c r="I74" i="18"/>
  <c r="I73" i="18"/>
  <c r="I72" i="18"/>
  <c r="I71" i="18"/>
  <c r="I70" i="18"/>
  <c r="I69" i="18"/>
  <c r="I68" i="18"/>
  <c r="I66" i="18"/>
  <c r="I65" i="18"/>
  <c r="I64" i="18"/>
  <c r="I63" i="18"/>
  <c r="I62" i="18"/>
  <c r="I61" i="18"/>
  <c r="I60" i="18"/>
  <c r="I67" i="18"/>
  <c r="I19" i="18"/>
  <c r="D6" i="21"/>
  <c r="E6" i="21" s="1"/>
  <c r="F6" i="21" s="1"/>
  <c r="G6" i="21" s="1"/>
  <c r="H6" i="21" s="1"/>
  <c r="I6" i="21" s="1"/>
  <c r="J6" i="21" s="1"/>
  <c r="K6" i="21" s="1"/>
  <c r="L6" i="21" s="1"/>
  <c r="M6" i="21" s="1"/>
  <c r="N6" i="21" s="1"/>
  <c r="O6" i="21" s="1"/>
  <c r="P6" i="21" s="1"/>
  <c r="Q6" i="21" s="1"/>
  <c r="R6" i="21" s="1"/>
  <c r="S6" i="21" s="1"/>
  <c r="T6" i="21" s="1"/>
  <c r="U6" i="21" s="1"/>
  <c r="D4" i="21"/>
  <c r="E4" i="21" s="1"/>
  <c r="F4" i="21" s="1"/>
  <c r="G4" i="21" s="1"/>
  <c r="H4" i="21" s="1"/>
  <c r="I4" i="21" s="1"/>
  <c r="J4" i="21" s="1"/>
  <c r="K4" i="21" s="1"/>
  <c r="L4" i="21" s="1"/>
  <c r="M4" i="21" s="1"/>
  <c r="N4" i="21" s="1"/>
  <c r="O4" i="21" s="1"/>
  <c r="P4" i="21" s="1"/>
  <c r="Q4" i="21" s="1"/>
  <c r="R4" i="21" s="1"/>
  <c r="S4" i="21" s="1"/>
  <c r="T4" i="21" s="1"/>
  <c r="U4" i="21" s="1"/>
  <c r="I86" i="18"/>
  <c r="I84" i="18"/>
  <c r="I83" i="18"/>
  <c r="I81" i="18"/>
  <c r="I80" i="18"/>
  <c r="I79" i="18"/>
  <c r="I77" i="18"/>
  <c r="L85" i="10"/>
  <c r="K85" i="10"/>
  <c r="J85" i="10"/>
  <c r="F85" i="10"/>
  <c r="G85" i="10"/>
  <c r="E85" i="10"/>
  <c r="O81" i="10"/>
  <c r="G81" i="10"/>
  <c r="F81" i="10"/>
  <c r="C81" i="10"/>
  <c r="B81" i="10"/>
  <c r="O73" i="10"/>
  <c r="O74" i="10"/>
  <c r="O75" i="10"/>
  <c r="O76" i="10"/>
  <c r="O77" i="10"/>
  <c r="O78" i="10"/>
  <c r="O79" i="10"/>
  <c r="O80" i="10"/>
  <c r="L61" i="10"/>
  <c r="L60" i="10"/>
  <c r="L59" i="10"/>
  <c r="L58" i="10"/>
  <c r="K61" i="10"/>
  <c r="K60" i="10"/>
  <c r="K59" i="10"/>
  <c r="K58" i="10"/>
  <c r="J61" i="10"/>
  <c r="J60" i="10"/>
  <c r="J59" i="10"/>
  <c r="J58" i="10"/>
  <c r="G80" i="10"/>
  <c r="G79" i="10"/>
  <c r="G78" i="10"/>
  <c r="G77" i="10"/>
  <c r="G76" i="10"/>
  <c r="G75" i="10"/>
  <c r="G74" i="10"/>
  <c r="G73" i="10"/>
  <c r="G72" i="10"/>
  <c r="G71" i="10"/>
  <c r="G70" i="10"/>
  <c r="G69" i="10"/>
  <c r="G68" i="10"/>
  <c r="G67" i="10"/>
  <c r="G66" i="10"/>
  <c r="G65" i="10"/>
  <c r="G64" i="10"/>
  <c r="G63" i="10"/>
  <c r="G62" i="10"/>
  <c r="G61" i="10"/>
  <c r="G60" i="10"/>
  <c r="G59" i="10"/>
  <c r="G58" i="10"/>
  <c r="F80" i="10"/>
  <c r="F79" i="10"/>
  <c r="F78" i="10"/>
  <c r="F77" i="10"/>
  <c r="F76" i="10"/>
  <c r="F75" i="10"/>
  <c r="F74" i="10"/>
  <c r="F73" i="10"/>
  <c r="F72" i="10"/>
  <c r="F71" i="10"/>
  <c r="F70" i="10"/>
  <c r="F69" i="10"/>
  <c r="F61" i="10"/>
  <c r="F60" i="10"/>
  <c r="F59" i="10"/>
  <c r="F58" i="10"/>
  <c r="E59" i="10"/>
  <c r="E60" i="10"/>
  <c r="E61" i="10"/>
  <c r="E58" i="10"/>
  <c r="O49" i="10"/>
  <c r="O50" i="10"/>
  <c r="O51" i="10"/>
  <c r="O52" i="10"/>
  <c r="O53" i="10"/>
  <c r="O54" i="10"/>
  <c r="J32" i="10"/>
  <c r="K32" i="10"/>
  <c r="L32" i="10"/>
  <c r="J33" i="10"/>
  <c r="K33" i="10"/>
  <c r="L33" i="10"/>
  <c r="J34" i="10"/>
  <c r="K34" i="10"/>
  <c r="L34" i="10"/>
  <c r="K31" i="10"/>
  <c r="L31" i="10"/>
  <c r="J31" i="10"/>
  <c r="E31" i="10"/>
  <c r="F31" i="10"/>
  <c r="G31" i="10"/>
  <c r="E32" i="10"/>
  <c r="F32" i="10"/>
  <c r="G32" i="10"/>
  <c r="E33" i="10"/>
  <c r="F33" i="10"/>
  <c r="G33" i="10"/>
  <c r="E34" i="10"/>
  <c r="F34" i="10"/>
  <c r="G34" i="10"/>
  <c r="G35" i="10"/>
  <c r="G36" i="10"/>
  <c r="G37" i="10"/>
  <c r="G38" i="10"/>
  <c r="G39" i="10"/>
  <c r="G40" i="10"/>
  <c r="G41" i="10"/>
  <c r="F42" i="10"/>
  <c r="G42" i="10"/>
  <c r="F43" i="10"/>
  <c r="G43" i="10"/>
  <c r="F44" i="10"/>
  <c r="G44" i="10"/>
  <c r="F45" i="10"/>
  <c r="G45" i="10"/>
  <c r="F46" i="10"/>
  <c r="G46" i="10"/>
  <c r="F47" i="10"/>
  <c r="G47" i="10"/>
  <c r="F48" i="10"/>
  <c r="G48" i="10"/>
  <c r="F49" i="10"/>
  <c r="G49" i="10"/>
  <c r="F50" i="10"/>
  <c r="G50" i="10"/>
  <c r="F51" i="10"/>
  <c r="G51" i="10"/>
  <c r="F52" i="10"/>
  <c r="G52" i="10"/>
  <c r="F53" i="10"/>
  <c r="G53" i="10"/>
  <c r="F54" i="10"/>
  <c r="G54" i="10"/>
  <c r="B54" i="10"/>
  <c r="C54" i="10"/>
  <c r="E61" i="12"/>
  <c r="F61" i="12"/>
  <c r="G61" i="12"/>
  <c r="H61" i="12"/>
  <c r="I61" i="12"/>
  <c r="J61" i="12"/>
  <c r="K61" i="12"/>
  <c r="L61" i="12"/>
  <c r="M61" i="12"/>
  <c r="E62" i="12"/>
  <c r="G62" i="12"/>
  <c r="H62" i="12"/>
  <c r="I62" i="12"/>
  <c r="J62" i="12"/>
  <c r="K62" i="12"/>
  <c r="L62" i="12"/>
  <c r="M62" i="12"/>
  <c r="E63" i="12"/>
  <c r="F63" i="12"/>
  <c r="G63" i="12"/>
  <c r="H63" i="12"/>
  <c r="I63" i="12"/>
  <c r="J63" i="12"/>
  <c r="K63" i="12"/>
  <c r="L63" i="12"/>
  <c r="M63" i="12"/>
  <c r="E64" i="12"/>
  <c r="F64" i="12"/>
  <c r="G64" i="12"/>
  <c r="H64" i="12"/>
  <c r="I64" i="12"/>
  <c r="J64" i="12"/>
  <c r="K64" i="12"/>
  <c r="L64" i="12"/>
  <c r="M64" i="12"/>
  <c r="F65" i="12"/>
  <c r="G65" i="12"/>
  <c r="H65" i="12"/>
  <c r="I65" i="12"/>
  <c r="J65" i="12"/>
  <c r="K65" i="12"/>
  <c r="L65" i="12"/>
  <c r="M65" i="12"/>
  <c r="F66" i="12"/>
  <c r="G66" i="12"/>
  <c r="H66" i="12"/>
  <c r="I66" i="12"/>
  <c r="J66" i="12"/>
  <c r="K66" i="12"/>
  <c r="L66" i="12"/>
  <c r="M66" i="12"/>
  <c r="F60" i="12"/>
  <c r="G60" i="12"/>
  <c r="H60" i="12"/>
  <c r="I60" i="12"/>
  <c r="J60" i="12"/>
  <c r="K60" i="12"/>
  <c r="L60" i="12"/>
  <c r="M60" i="12"/>
  <c r="E33" i="12"/>
  <c r="F33" i="12"/>
  <c r="H33" i="12"/>
  <c r="I33" i="12"/>
  <c r="J33" i="12"/>
  <c r="K33" i="12"/>
  <c r="L33" i="12"/>
  <c r="M33" i="12"/>
  <c r="E34" i="12"/>
  <c r="G34" i="12"/>
  <c r="H34" i="12"/>
  <c r="I34" i="12"/>
  <c r="J34" i="12"/>
  <c r="K34" i="12"/>
  <c r="L34" i="12"/>
  <c r="M34" i="12"/>
  <c r="E35" i="12"/>
  <c r="F35" i="12"/>
  <c r="G35" i="12"/>
  <c r="H35" i="12"/>
  <c r="I35" i="12"/>
  <c r="J35" i="12"/>
  <c r="K35" i="12"/>
  <c r="L35" i="12"/>
  <c r="M35" i="12"/>
  <c r="E36" i="12"/>
  <c r="F36" i="12"/>
  <c r="G36" i="12"/>
  <c r="H36" i="12"/>
  <c r="I36" i="12"/>
  <c r="J36" i="12"/>
  <c r="K36" i="12"/>
  <c r="L36" i="12"/>
  <c r="M36" i="12"/>
  <c r="F37" i="12"/>
  <c r="G37" i="12"/>
  <c r="H37" i="12"/>
  <c r="I37" i="12"/>
  <c r="J37" i="12"/>
  <c r="K37" i="12"/>
  <c r="L37" i="12"/>
  <c r="M37" i="12"/>
  <c r="F38" i="12"/>
  <c r="G38" i="12"/>
  <c r="H38" i="12"/>
  <c r="I38" i="12"/>
  <c r="J38" i="12"/>
  <c r="K38" i="12"/>
  <c r="L38" i="12"/>
  <c r="M38" i="12"/>
  <c r="F32" i="12"/>
  <c r="G32" i="12"/>
  <c r="H32" i="12"/>
  <c r="I32" i="12"/>
  <c r="J32" i="12"/>
  <c r="K32" i="12"/>
  <c r="L32" i="12"/>
  <c r="M32" i="12"/>
  <c r="E32" i="12"/>
  <c r="C61" i="12"/>
  <c r="C62" i="12"/>
  <c r="C63" i="12"/>
  <c r="C64" i="12"/>
  <c r="C65" i="12"/>
  <c r="C66" i="12"/>
  <c r="C67" i="12"/>
  <c r="C68" i="12"/>
  <c r="C69" i="12"/>
  <c r="C70" i="12"/>
  <c r="C71" i="12"/>
  <c r="C72" i="12"/>
  <c r="C73" i="12"/>
  <c r="C74" i="12"/>
  <c r="C75" i="12"/>
  <c r="C76" i="12"/>
  <c r="C77" i="12"/>
  <c r="C78" i="12"/>
  <c r="C79" i="12"/>
  <c r="C80" i="12"/>
  <c r="C81" i="12"/>
  <c r="C54" i="12"/>
  <c r="C53" i="12"/>
  <c r="C52" i="12"/>
  <c r="C51" i="12"/>
  <c r="C50" i="12"/>
  <c r="C49" i="12"/>
  <c r="C48" i="12"/>
  <c r="C47" i="12"/>
  <c r="C46" i="12"/>
  <c r="C45" i="12"/>
  <c r="C44" i="12"/>
  <c r="C43" i="12"/>
  <c r="C42" i="12"/>
  <c r="C41" i="12"/>
  <c r="C40" i="12"/>
  <c r="C39" i="12"/>
  <c r="C38" i="12"/>
  <c r="C37" i="12"/>
  <c r="C36" i="12"/>
  <c r="C35" i="12"/>
  <c r="C34" i="12"/>
  <c r="C33" i="12"/>
  <c r="X94" i="12"/>
  <c r="X93" i="12"/>
  <c r="X92" i="12"/>
  <c r="W92" i="12"/>
  <c r="X91" i="12"/>
  <c r="W91" i="12"/>
  <c r="W90" i="12"/>
  <c r="X89" i="12"/>
  <c r="W89" i="12"/>
  <c r="X88" i="12"/>
  <c r="W88" i="12"/>
  <c r="G31" i="7"/>
  <c r="F31" i="7"/>
  <c r="C26" i="12"/>
  <c r="C25" i="12"/>
  <c r="W5" i="12"/>
  <c r="X5" i="12"/>
  <c r="W6" i="12"/>
  <c r="W7" i="12"/>
  <c r="X7" i="12"/>
  <c r="W8" i="12"/>
  <c r="X8" i="12"/>
  <c r="X9" i="12"/>
  <c r="X10" i="12"/>
  <c r="X4" i="12"/>
  <c r="W4" i="12"/>
  <c r="D173" i="20"/>
  <c r="E173" i="20"/>
  <c r="F173" i="20"/>
  <c r="G173" i="20"/>
  <c r="H173" i="20"/>
  <c r="I173" i="20"/>
  <c r="J173" i="20"/>
  <c r="K173" i="20"/>
  <c r="L173" i="20"/>
  <c r="M173" i="20"/>
  <c r="N173" i="20"/>
  <c r="O173" i="20"/>
  <c r="P173" i="20"/>
  <c r="Q173" i="20"/>
  <c r="R173" i="20"/>
  <c r="S173" i="20"/>
  <c r="T173" i="20"/>
  <c r="U173" i="20"/>
  <c r="C173" i="20"/>
  <c r="C5" i="12"/>
  <c r="D5" i="12"/>
  <c r="C6" i="12"/>
  <c r="D6" i="12"/>
  <c r="C7" i="12"/>
  <c r="D7" i="12"/>
  <c r="C8" i="12"/>
  <c r="C9" i="12"/>
  <c r="C10" i="12"/>
  <c r="C11" i="12"/>
  <c r="C12" i="12"/>
  <c r="C13" i="12"/>
  <c r="C14" i="12"/>
  <c r="C15" i="12"/>
  <c r="C16" i="12"/>
  <c r="C17" i="12"/>
  <c r="C18" i="12"/>
  <c r="C19" i="12"/>
  <c r="C20" i="12"/>
  <c r="C21" i="12"/>
  <c r="C22" i="12"/>
  <c r="C23" i="12"/>
  <c r="C24" i="12"/>
  <c r="D4" i="12"/>
  <c r="Q152" i="21"/>
  <c r="P152" i="21"/>
  <c r="O152" i="21"/>
  <c r="N152" i="21"/>
  <c r="M152" i="21"/>
  <c r="L152" i="21"/>
  <c r="K152" i="21"/>
  <c r="J152" i="21"/>
  <c r="I152" i="21"/>
  <c r="H152" i="21"/>
  <c r="G152" i="21"/>
  <c r="F152" i="21"/>
  <c r="E152" i="21"/>
  <c r="D152" i="21"/>
  <c r="C152" i="21"/>
  <c r="D142" i="7"/>
  <c r="E142" i="7"/>
  <c r="D143" i="7"/>
  <c r="E143" i="7"/>
  <c r="D144" i="7"/>
  <c r="E144" i="7"/>
  <c r="D145" i="7"/>
  <c r="E145" i="7"/>
  <c r="D146" i="7"/>
  <c r="E146" i="7"/>
  <c r="D147" i="7"/>
  <c r="E147" i="7"/>
  <c r="D148" i="7"/>
  <c r="E148" i="7"/>
  <c r="D149" i="7"/>
  <c r="E149" i="7"/>
  <c r="D150" i="7"/>
  <c r="E150" i="7"/>
  <c r="D151" i="7"/>
  <c r="E151" i="7"/>
  <c r="D152" i="7"/>
  <c r="E152" i="7"/>
  <c r="D153" i="7"/>
  <c r="E153" i="7"/>
  <c r="D154" i="7"/>
  <c r="E154" i="7"/>
  <c r="D155" i="7"/>
  <c r="E155" i="7"/>
  <c r="D156" i="7"/>
  <c r="E156" i="7"/>
  <c r="D157" i="7"/>
  <c r="E157" i="7"/>
  <c r="D158" i="7"/>
  <c r="E158" i="7"/>
  <c r="D159" i="7"/>
  <c r="E159" i="7"/>
  <c r="D160" i="7"/>
  <c r="E160" i="7"/>
  <c r="D161" i="7"/>
  <c r="E161" i="7"/>
  <c r="D162" i="7"/>
  <c r="E162" i="7"/>
  <c r="D163" i="7"/>
  <c r="E163" i="7"/>
  <c r="D141" i="7"/>
  <c r="D109" i="7"/>
  <c r="F109" i="7"/>
  <c r="G109" i="7"/>
  <c r="I109" i="7"/>
  <c r="D88" i="7"/>
  <c r="F88" i="7"/>
  <c r="G88" i="7"/>
  <c r="I88" i="7"/>
  <c r="D89" i="7"/>
  <c r="F89" i="7"/>
  <c r="G89" i="7"/>
  <c r="I89" i="7"/>
  <c r="D90" i="7"/>
  <c r="F90" i="7"/>
  <c r="G90" i="7"/>
  <c r="I90" i="7"/>
  <c r="D91" i="7"/>
  <c r="F91" i="7"/>
  <c r="G91" i="7"/>
  <c r="I91" i="7"/>
  <c r="D92" i="7"/>
  <c r="F92" i="7"/>
  <c r="G92" i="7"/>
  <c r="I92" i="7"/>
  <c r="D93" i="7"/>
  <c r="F93" i="7"/>
  <c r="G93" i="7"/>
  <c r="I93" i="7"/>
  <c r="D94" i="7"/>
  <c r="F94" i="7"/>
  <c r="G94" i="7"/>
  <c r="I94" i="7"/>
  <c r="D95" i="7"/>
  <c r="F95" i="7"/>
  <c r="G95" i="7"/>
  <c r="I95" i="7"/>
  <c r="D96" i="7"/>
  <c r="F96" i="7"/>
  <c r="G96" i="7"/>
  <c r="I96" i="7"/>
  <c r="D97" i="7"/>
  <c r="F97" i="7"/>
  <c r="G97" i="7"/>
  <c r="I97" i="7"/>
  <c r="D98" i="7"/>
  <c r="F98" i="7"/>
  <c r="G98" i="7"/>
  <c r="I98" i="7"/>
  <c r="D99" i="7"/>
  <c r="F99" i="7"/>
  <c r="G99" i="7"/>
  <c r="I99" i="7"/>
  <c r="D100" i="7"/>
  <c r="F100" i="7"/>
  <c r="G100" i="7"/>
  <c r="I100" i="7"/>
  <c r="D101" i="7"/>
  <c r="F101" i="7"/>
  <c r="G101" i="7"/>
  <c r="I101" i="7"/>
  <c r="D102" i="7"/>
  <c r="F102" i="7"/>
  <c r="G102" i="7"/>
  <c r="I102" i="7"/>
  <c r="D103" i="7"/>
  <c r="F103" i="7"/>
  <c r="G103" i="7"/>
  <c r="I103" i="7"/>
  <c r="D104" i="7"/>
  <c r="F104" i="7"/>
  <c r="G104" i="7"/>
  <c r="I104" i="7"/>
  <c r="D105" i="7"/>
  <c r="F105" i="7"/>
  <c r="G105" i="7"/>
  <c r="I105" i="7"/>
  <c r="D106" i="7"/>
  <c r="F106" i="7"/>
  <c r="G106" i="7"/>
  <c r="I106" i="7"/>
  <c r="D107" i="7"/>
  <c r="F107" i="7"/>
  <c r="G107" i="7"/>
  <c r="I107" i="7"/>
  <c r="D108" i="7"/>
  <c r="F108" i="7"/>
  <c r="G108" i="7"/>
  <c r="I108" i="7"/>
  <c r="I87" i="7"/>
  <c r="G87" i="7"/>
  <c r="F87" i="7"/>
  <c r="D87" i="7"/>
  <c r="D54" i="10"/>
  <c r="E54" i="10"/>
  <c r="E35" i="10"/>
  <c r="F64" i="10"/>
  <c r="E65" i="10"/>
  <c r="F65" i="10"/>
  <c r="E66" i="10"/>
  <c r="E67" i="10"/>
  <c r="F67" i="10"/>
  <c r="E41" i="10"/>
  <c r="F41" i="10"/>
  <c r="E69" i="10"/>
  <c r="E43" i="10"/>
  <c r="E73" i="10"/>
  <c r="E74" i="10"/>
  <c r="E75" i="10"/>
  <c r="E49" i="10"/>
  <c r="E77" i="10"/>
  <c r="E51" i="10"/>
  <c r="E53" i="10"/>
  <c r="C4" i="10"/>
  <c r="C85" i="10" s="1"/>
  <c r="D4" i="10"/>
  <c r="D85" i="10" s="1"/>
  <c r="B4" i="10"/>
  <c r="AG112" i="9"/>
  <c r="AH112" i="9" s="1"/>
  <c r="AG84" i="9"/>
  <c r="AH84" i="9" s="1"/>
  <c r="AE56" i="9"/>
  <c r="AF56" i="9"/>
  <c r="F79" i="2"/>
  <c r="G79" i="2" s="1"/>
  <c r="H79" i="2" s="1"/>
  <c r="I79" i="2" s="1"/>
  <c r="J79" i="2" s="1"/>
  <c r="J89" i="2" s="1"/>
  <c r="T90" i="9"/>
  <c r="T92" i="9"/>
  <c r="L105" i="9"/>
  <c r="L106" i="9"/>
  <c r="L107" i="9"/>
  <c r="L108" i="9"/>
  <c r="L109" i="9"/>
  <c r="L110" i="9"/>
  <c r="L111" i="9"/>
  <c r="L112" i="9"/>
  <c r="T89" i="9"/>
  <c r="T62" i="9"/>
  <c r="T63" i="9"/>
  <c r="T64" i="9"/>
  <c r="L77" i="9"/>
  <c r="L78" i="9"/>
  <c r="L79" i="9"/>
  <c r="L80" i="9"/>
  <c r="L81" i="9"/>
  <c r="L82" i="9"/>
  <c r="L83" i="9"/>
  <c r="L84" i="9"/>
  <c r="T36" i="9"/>
  <c r="L49" i="9"/>
  <c r="L50" i="9"/>
  <c r="L51" i="9"/>
  <c r="L52" i="9"/>
  <c r="L53" i="9"/>
  <c r="L54" i="9"/>
  <c r="L55" i="9"/>
  <c r="L56" i="9"/>
  <c r="T91" i="9"/>
  <c r="U112" i="9"/>
  <c r="U32" i="9"/>
  <c r="U60" i="9"/>
  <c r="U84" i="9"/>
  <c r="T32" i="9"/>
  <c r="T34" i="9"/>
  <c r="T35" i="9"/>
  <c r="D62" i="7" s="1"/>
  <c r="T60" i="9"/>
  <c r="X21" i="5"/>
  <c r="X22" i="5"/>
  <c r="X42" i="5"/>
  <c r="X43" i="5"/>
  <c r="X63" i="5"/>
  <c r="X64" i="5"/>
  <c r="Z61" i="2"/>
  <c r="C87" i="9"/>
  <c r="D87" i="9"/>
  <c r="E87" i="9"/>
  <c r="F87" i="9"/>
  <c r="G87" i="9"/>
  <c r="B87" i="9"/>
  <c r="B90" i="9"/>
  <c r="C90" i="9"/>
  <c r="D90" i="9"/>
  <c r="E90" i="9"/>
  <c r="F90" i="9"/>
  <c r="G90" i="9"/>
  <c r="B91" i="9"/>
  <c r="C91" i="9"/>
  <c r="D91" i="9"/>
  <c r="E91" i="9"/>
  <c r="F91" i="9"/>
  <c r="G91" i="9"/>
  <c r="B92" i="9"/>
  <c r="C92" i="9"/>
  <c r="D92" i="9"/>
  <c r="E92" i="9"/>
  <c r="F92" i="9"/>
  <c r="G92" i="9"/>
  <c r="B93" i="9"/>
  <c r="C93" i="9"/>
  <c r="D93" i="9"/>
  <c r="E93" i="9"/>
  <c r="F93" i="9"/>
  <c r="G93" i="9"/>
  <c r="B94" i="9"/>
  <c r="C94" i="9"/>
  <c r="D94" i="9"/>
  <c r="E94" i="9"/>
  <c r="F94" i="9"/>
  <c r="G94" i="9"/>
  <c r="B95" i="9"/>
  <c r="C95" i="9"/>
  <c r="D95" i="9"/>
  <c r="E95" i="9"/>
  <c r="F95" i="9"/>
  <c r="G95" i="9"/>
  <c r="B96" i="9"/>
  <c r="C96" i="9"/>
  <c r="D96" i="9"/>
  <c r="E96" i="9"/>
  <c r="F96" i="9"/>
  <c r="G96" i="9"/>
  <c r="B97" i="9"/>
  <c r="C97" i="9"/>
  <c r="D97" i="9"/>
  <c r="E97" i="9"/>
  <c r="F97" i="9"/>
  <c r="G97" i="9"/>
  <c r="B98" i="9"/>
  <c r="C98" i="9"/>
  <c r="D98" i="9"/>
  <c r="E98" i="9"/>
  <c r="F98" i="9"/>
  <c r="G98" i="9"/>
  <c r="B99" i="9"/>
  <c r="C99" i="9"/>
  <c r="D99" i="9"/>
  <c r="E99" i="9"/>
  <c r="F99" i="9"/>
  <c r="G99" i="9"/>
  <c r="B100" i="9"/>
  <c r="C100" i="9"/>
  <c r="D100" i="9"/>
  <c r="E100" i="9"/>
  <c r="F100" i="9"/>
  <c r="G100" i="9"/>
  <c r="B101" i="9"/>
  <c r="C101" i="9"/>
  <c r="D101" i="9"/>
  <c r="E101" i="9"/>
  <c r="F101" i="9"/>
  <c r="G101" i="9"/>
  <c r="B102" i="9"/>
  <c r="C102" i="9"/>
  <c r="D102" i="9"/>
  <c r="E102" i="9"/>
  <c r="F102" i="9"/>
  <c r="G102" i="9"/>
  <c r="B103" i="9"/>
  <c r="C103" i="9"/>
  <c r="D103" i="9"/>
  <c r="E103" i="9"/>
  <c r="F103" i="9"/>
  <c r="G103" i="9"/>
  <c r="B104" i="9"/>
  <c r="C104" i="9"/>
  <c r="D104" i="9"/>
  <c r="E104" i="9"/>
  <c r="F104" i="9"/>
  <c r="G104" i="9"/>
  <c r="B105" i="9"/>
  <c r="C105" i="9"/>
  <c r="D105" i="9"/>
  <c r="E105" i="9"/>
  <c r="F105" i="9"/>
  <c r="G105" i="9"/>
  <c r="B106" i="9"/>
  <c r="C106" i="9"/>
  <c r="D106" i="9"/>
  <c r="E106" i="9"/>
  <c r="F106" i="9"/>
  <c r="G106" i="9"/>
  <c r="B107" i="9"/>
  <c r="C107" i="9"/>
  <c r="D107" i="9"/>
  <c r="E107" i="9"/>
  <c r="F107" i="9"/>
  <c r="G107" i="9"/>
  <c r="B108" i="9"/>
  <c r="C108" i="9"/>
  <c r="D108" i="9"/>
  <c r="E108" i="9"/>
  <c r="F108" i="9"/>
  <c r="G108" i="9"/>
  <c r="B109" i="9"/>
  <c r="C109" i="9"/>
  <c r="D109" i="9"/>
  <c r="E109" i="9"/>
  <c r="F109" i="9"/>
  <c r="G109" i="9"/>
  <c r="B110" i="9"/>
  <c r="C110" i="9"/>
  <c r="D110" i="9"/>
  <c r="E110" i="9"/>
  <c r="F110" i="9"/>
  <c r="G110" i="9"/>
  <c r="B111" i="9"/>
  <c r="C111" i="9"/>
  <c r="D111" i="9"/>
  <c r="E111" i="9"/>
  <c r="F111" i="9"/>
  <c r="G111" i="9"/>
  <c r="C89" i="9"/>
  <c r="D89" i="9"/>
  <c r="E89" i="9"/>
  <c r="F89" i="9"/>
  <c r="G89" i="9"/>
  <c r="B89" i="9"/>
  <c r="C59" i="9"/>
  <c r="D59" i="9"/>
  <c r="E59" i="9"/>
  <c r="F59" i="9"/>
  <c r="G59" i="9"/>
  <c r="B59" i="9"/>
  <c r="B62" i="9"/>
  <c r="C62" i="9"/>
  <c r="D62" i="9"/>
  <c r="E62" i="9"/>
  <c r="F62" i="9"/>
  <c r="G62" i="9"/>
  <c r="B63" i="9"/>
  <c r="C63" i="9"/>
  <c r="D63" i="9"/>
  <c r="E63" i="9"/>
  <c r="F63" i="9"/>
  <c r="G63" i="9"/>
  <c r="B64" i="9"/>
  <c r="C64" i="9"/>
  <c r="D64" i="9"/>
  <c r="E64" i="9"/>
  <c r="F64" i="9"/>
  <c r="G64" i="9"/>
  <c r="B65" i="9"/>
  <c r="C65" i="9"/>
  <c r="D65" i="9"/>
  <c r="E65" i="9"/>
  <c r="F65" i="9"/>
  <c r="G65" i="9"/>
  <c r="B66" i="9"/>
  <c r="C66" i="9"/>
  <c r="D66" i="9"/>
  <c r="E66" i="9"/>
  <c r="F66" i="9"/>
  <c r="G66" i="9"/>
  <c r="B67" i="9"/>
  <c r="C67" i="9"/>
  <c r="D67" i="9"/>
  <c r="E67" i="9"/>
  <c r="F67" i="9"/>
  <c r="G67" i="9"/>
  <c r="B68" i="9"/>
  <c r="C68" i="9"/>
  <c r="D68" i="9"/>
  <c r="E68" i="9"/>
  <c r="F68" i="9"/>
  <c r="G68" i="9"/>
  <c r="B69" i="9"/>
  <c r="C69" i="9"/>
  <c r="D69" i="9"/>
  <c r="E69" i="9"/>
  <c r="F69" i="9"/>
  <c r="G69" i="9"/>
  <c r="B70" i="9"/>
  <c r="C70" i="9"/>
  <c r="D70" i="9"/>
  <c r="E70" i="9"/>
  <c r="F70" i="9"/>
  <c r="G70" i="9"/>
  <c r="B71" i="9"/>
  <c r="C71" i="9"/>
  <c r="D71" i="9"/>
  <c r="E71" i="9"/>
  <c r="F71" i="9"/>
  <c r="G71" i="9"/>
  <c r="B72" i="9"/>
  <c r="C72" i="9"/>
  <c r="D72" i="9"/>
  <c r="E72" i="9"/>
  <c r="F72" i="9"/>
  <c r="G72" i="9"/>
  <c r="B73" i="9"/>
  <c r="C73" i="9"/>
  <c r="D73" i="9"/>
  <c r="E73" i="9"/>
  <c r="F73" i="9"/>
  <c r="G73" i="9"/>
  <c r="B74" i="9"/>
  <c r="C74" i="9"/>
  <c r="D74" i="9"/>
  <c r="E74" i="9"/>
  <c r="F74" i="9"/>
  <c r="G74" i="9"/>
  <c r="B75" i="9"/>
  <c r="C75" i="9"/>
  <c r="D75" i="9"/>
  <c r="E75" i="9"/>
  <c r="F75" i="9"/>
  <c r="G75" i="9"/>
  <c r="B76" i="9"/>
  <c r="C76" i="9"/>
  <c r="D76" i="9"/>
  <c r="E76" i="9"/>
  <c r="F76" i="9"/>
  <c r="G76" i="9"/>
  <c r="B77" i="9"/>
  <c r="C77" i="9"/>
  <c r="D77" i="9"/>
  <c r="E77" i="9"/>
  <c r="F77" i="9"/>
  <c r="G77" i="9"/>
  <c r="B78" i="9"/>
  <c r="C78" i="9"/>
  <c r="D78" i="9"/>
  <c r="E78" i="9"/>
  <c r="F78" i="9"/>
  <c r="G78" i="9"/>
  <c r="B79" i="9"/>
  <c r="C79" i="9"/>
  <c r="D79" i="9"/>
  <c r="E79" i="9"/>
  <c r="F79" i="9"/>
  <c r="G79" i="9"/>
  <c r="B80" i="9"/>
  <c r="C80" i="9"/>
  <c r="D80" i="9"/>
  <c r="E80" i="9"/>
  <c r="F80" i="9"/>
  <c r="G80" i="9"/>
  <c r="B81" i="9"/>
  <c r="C81" i="9"/>
  <c r="D81" i="9"/>
  <c r="E81" i="9"/>
  <c r="F81" i="9"/>
  <c r="G81" i="9"/>
  <c r="B82" i="9"/>
  <c r="C82" i="9"/>
  <c r="D82" i="9"/>
  <c r="E82" i="9"/>
  <c r="F82" i="9"/>
  <c r="G82" i="9"/>
  <c r="B83" i="9"/>
  <c r="C83" i="9"/>
  <c r="D83" i="9"/>
  <c r="E83" i="9"/>
  <c r="F83" i="9"/>
  <c r="G83" i="9"/>
  <c r="C61" i="9"/>
  <c r="D61" i="9"/>
  <c r="E61" i="9"/>
  <c r="F61" i="9"/>
  <c r="G61" i="9"/>
  <c r="B61" i="9"/>
  <c r="B34" i="9"/>
  <c r="C34" i="9"/>
  <c r="D34" i="9"/>
  <c r="E34" i="9"/>
  <c r="F34" i="9"/>
  <c r="G34" i="9"/>
  <c r="B35" i="9"/>
  <c r="C35" i="9"/>
  <c r="D35" i="9"/>
  <c r="E35" i="9"/>
  <c r="F35" i="9"/>
  <c r="G35" i="9"/>
  <c r="B36" i="9"/>
  <c r="C36" i="9"/>
  <c r="D36" i="9"/>
  <c r="E36" i="9"/>
  <c r="F36" i="9"/>
  <c r="G36" i="9"/>
  <c r="B37" i="9"/>
  <c r="C37" i="9"/>
  <c r="D37" i="9"/>
  <c r="E37" i="9"/>
  <c r="F37" i="9"/>
  <c r="G37" i="9"/>
  <c r="B38" i="9"/>
  <c r="C38" i="9"/>
  <c r="D38" i="9"/>
  <c r="E38" i="9"/>
  <c r="F38" i="9"/>
  <c r="G38" i="9"/>
  <c r="B39" i="9"/>
  <c r="C39" i="9"/>
  <c r="D39" i="9"/>
  <c r="E39" i="9"/>
  <c r="F39" i="9"/>
  <c r="G39" i="9"/>
  <c r="B40" i="9"/>
  <c r="C40" i="9"/>
  <c r="D40" i="9"/>
  <c r="E40" i="9"/>
  <c r="F40" i="9"/>
  <c r="G40" i="9"/>
  <c r="B41" i="9"/>
  <c r="C41" i="9"/>
  <c r="D41" i="9"/>
  <c r="E41" i="9"/>
  <c r="F41" i="9"/>
  <c r="G41" i="9"/>
  <c r="B42" i="9"/>
  <c r="C42" i="9"/>
  <c r="D42" i="9"/>
  <c r="E42" i="9"/>
  <c r="F42" i="9"/>
  <c r="G42" i="9"/>
  <c r="B43" i="9"/>
  <c r="C43" i="9"/>
  <c r="D43" i="9"/>
  <c r="E43" i="9"/>
  <c r="F43" i="9"/>
  <c r="G43" i="9"/>
  <c r="B44" i="9"/>
  <c r="C44" i="9"/>
  <c r="D44" i="9"/>
  <c r="E44" i="9"/>
  <c r="F44" i="9"/>
  <c r="G44" i="9"/>
  <c r="B45" i="9"/>
  <c r="C45" i="9"/>
  <c r="D45" i="9"/>
  <c r="E45" i="9"/>
  <c r="F45" i="9"/>
  <c r="G45" i="9"/>
  <c r="B46" i="9"/>
  <c r="C46" i="9"/>
  <c r="D46" i="9"/>
  <c r="E46" i="9"/>
  <c r="F46" i="9"/>
  <c r="G46" i="9"/>
  <c r="B47" i="9"/>
  <c r="C47" i="9"/>
  <c r="D47" i="9"/>
  <c r="E47" i="9"/>
  <c r="F47" i="9"/>
  <c r="G47" i="9"/>
  <c r="B48" i="9"/>
  <c r="C48" i="9"/>
  <c r="D48" i="9"/>
  <c r="E48" i="9"/>
  <c r="F48" i="9"/>
  <c r="G48" i="9"/>
  <c r="B49" i="9"/>
  <c r="C49" i="9"/>
  <c r="D49" i="9"/>
  <c r="E49" i="9"/>
  <c r="F49" i="9"/>
  <c r="G49" i="9"/>
  <c r="B50" i="9"/>
  <c r="C50" i="9"/>
  <c r="D50" i="9"/>
  <c r="E50" i="9"/>
  <c r="F50" i="9"/>
  <c r="G50" i="9"/>
  <c r="B51" i="9"/>
  <c r="C51" i="9"/>
  <c r="D51" i="9"/>
  <c r="E51" i="9"/>
  <c r="F51" i="9"/>
  <c r="G51" i="9"/>
  <c r="B52" i="9"/>
  <c r="C52" i="9"/>
  <c r="D52" i="9"/>
  <c r="E52" i="9"/>
  <c r="F52" i="9"/>
  <c r="G52" i="9"/>
  <c r="B53" i="9"/>
  <c r="C53" i="9"/>
  <c r="D53" i="9"/>
  <c r="E53" i="9"/>
  <c r="F53" i="9"/>
  <c r="G53" i="9"/>
  <c r="B54" i="9"/>
  <c r="C54" i="9"/>
  <c r="D54" i="9"/>
  <c r="E54" i="9"/>
  <c r="F54" i="9"/>
  <c r="G54" i="9"/>
  <c r="B55" i="9"/>
  <c r="C55" i="9"/>
  <c r="D55" i="9"/>
  <c r="E55" i="9"/>
  <c r="F55" i="9"/>
  <c r="G55" i="9"/>
  <c r="C33" i="9"/>
  <c r="D33" i="9"/>
  <c r="E33" i="9"/>
  <c r="F33" i="9"/>
  <c r="G33" i="9"/>
  <c r="B33" i="9"/>
  <c r="G31" i="9"/>
  <c r="F31" i="9"/>
  <c r="E31" i="9"/>
  <c r="D31" i="9"/>
  <c r="C31" i="9"/>
  <c r="B31" i="9"/>
  <c r="B5" i="9"/>
  <c r="C5" i="9"/>
  <c r="D5" i="9"/>
  <c r="E5" i="9"/>
  <c r="F5" i="9"/>
  <c r="G5" i="9"/>
  <c r="B6" i="9"/>
  <c r="C6" i="9"/>
  <c r="D6" i="9"/>
  <c r="E6" i="9"/>
  <c r="F6" i="9"/>
  <c r="G6" i="9"/>
  <c r="B7" i="9"/>
  <c r="C7" i="9"/>
  <c r="D7" i="9"/>
  <c r="E7" i="9"/>
  <c r="F7" i="9"/>
  <c r="G7" i="9"/>
  <c r="B8" i="9"/>
  <c r="C8" i="9"/>
  <c r="D8" i="9"/>
  <c r="E8" i="9"/>
  <c r="F8" i="9"/>
  <c r="G8" i="9"/>
  <c r="B9" i="9"/>
  <c r="C9" i="9"/>
  <c r="D9" i="9"/>
  <c r="E9" i="9"/>
  <c r="F9" i="9"/>
  <c r="G9" i="9"/>
  <c r="B10" i="9"/>
  <c r="C10" i="9"/>
  <c r="D10" i="9"/>
  <c r="E10" i="9"/>
  <c r="F10" i="9"/>
  <c r="G10" i="9"/>
  <c r="B11" i="9"/>
  <c r="C11" i="9"/>
  <c r="D11" i="9"/>
  <c r="E11" i="9"/>
  <c r="F11" i="9"/>
  <c r="G11" i="9"/>
  <c r="B12" i="9"/>
  <c r="C12" i="9"/>
  <c r="D12" i="9"/>
  <c r="E12" i="9"/>
  <c r="F12" i="9"/>
  <c r="G12" i="9"/>
  <c r="B13" i="9"/>
  <c r="C13" i="9"/>
  <c r="D13" i="9"/>
  <c r="E13" i="9"/>
  <c r="F13" i="9"/>
  <c r="G13" i="9"/>
  <c r="B14" i="9"/>
  <c r="C14" i="9"/>
  <c r="D14" i="9"/>
  <c r="E14" i="9"/>
  <c r="F14" i="9"/>
  <c r="G14" i="9"/>
  <c r="B15" i="9"/>
  <c r="C15" i="9"/>
  <c r="D15" i="9"/>
  <c r="E15" i="9"/>
  <c r="F15" i="9"/>
  <c r="G15" i="9"/>
  <c r="B16" i="9"/>
  <c r="C16" i="9"/>
  <c r="D16" i="9"/>
  <c r="E16" i="9"/>
  <c r="F16" i="9"/>
  <c r="G16" i="9"/>
  <c r="B17" i="9"/>
  <c r="C17" i="9"/>
  <c r="D17" i="9"/>
  <c r="E17" i="9"/>
  <c r="F17" i="9"/>
  <c r="G17" i="9"/>
  <c r="B18" i="9"/>
  <c r="C18" i="9"/>
  <c r="D18" i="9"/>
  <c r="E18" i="9"/>
  <c r="F18" i="9"/>
  <c r="G18" i="9"/>
  <c r="B19" i="9"/>
  <c r="C19" i="9"/>
  <c r="D19" i="9"/>
  <c r="E19" i="9"/>
  <c r="F19" i="9"/>
  <c r="G19" i="9"/>
  <c r="B20" i="9"/>
  <c r="C20" i="9"/>
  <c r="D20" i="9"/>
  <c r="E20" i="9"/>
  <c r="F20" i="9"/>
  <c r="G20" i="9"/>
  <c r="B21" i="9"/>
  <c r="C21" i="9"/>
  <c r="D21" i="9"/>
  <c r="E21" i="9"/>
  <c r="F21" i="9"/>
  <c r="G21" i="9"/>
  <c r="B22" i="9"/>
  <c r="C22" i="9"/>
  <c r="D22" i="9"/>
  <c r="E22" i="9"/>
  <c r="F22" i="9"/>
  <c r="G22" i="9"/>
  <c r="B23" i="9"/>
  <c r="C23" i="9"/>
  <c r="D23" i="9"/>
  <c r="E23" i="9"/>
  <c r="F23" i="9"/>
  <c r="G23" i="9"/>
  <c r="B24" i="9"/>
  <c r="C24" i="9"/>
  <c r="D24" i="9"/>
  <c r="E24" i="9"/>
  <c r="F24" i="9"/>
  <c r="G24" i="9"/>
  <c r="B25" i="9"/>
  <c r="C25" i="9"/>
  <c r="D25" i="9"/>
  <c r="E25" i="9"/>
  <c r="F25" i="9"/>
  <c r="G25" i="9"/>
  <c r="B26" i="9"/>
  <c r="C26" i="9"/>
  <c r="D26" i="9"/>
  <c r="E26" i="9"/>
  <c r="F26" i="9"/>
  <c r="G26" i="9"/>
  <c r="C4" i="9"/>
  <c r="E4" i="9"/>
  <c r="F4" i="9"/>
  <c r="G4" i="9"/>
  <c r="E43" i="20"/>
  <c r="F52" i="20" s="1"/>
  <c r="G61" i="20" s="1"/>
  <c r="H70" i="20" s="1"/>
  <c r="I79" i="20" s="1"/>
  <c r="J88" i="20" s="1"/>
  <c r="K97" i="20" s="1"/>
  <c r="L106" i="20" s="1"/>
  <c r="M115" i="20" s="1"/>
  <c r="N124" i="20" s="1"/>
  <c r="O133" i="20" s="1"/>
  <c r="P142" i="20" s="1"/>
  <c r="Q151" i="20" s="1"/>
  <c r="R160" i="20" s="1"/>
  <c r="E42" i="20"/>
  <c r="F51" i="20" s="1"/>
  <c r="G60" i="20" s="1"/>
  <c r="H69" i="20" s="1"/>
  <c r="I78" i="20" s="1"/>
  <c r="J87" i="20" s="1"/>
  <c r="K96" i="20" s="1"/>
  <c r="L105" i="20" s="1"/>
  <c r="M114" i="20" s="1"/>
  <c r="N123" i="20" s="1"/>
  <c r="O132" i="20" s="1"/>
  <c r="P141" i="20" s="1"/>
  <c r="Q150" i="20" s="1"/>
  <c r="R159" i="20" s="1"/>
  <c r="E41" i="20"/>
  <c r="F50" i="20" s="1"/>
  <c r="G59" i="20" s="1"/>
  <c r="H68" i="20" s="1"/>
  <c r="I77" i="20" s="1"/>
  <c r="J86" i="20" s="1"/>
  <c r="K95" i="20" s="1"/>
  <c r="L104" i="20" s="1"/>
  <c r="M113" i="20" s="1"/>
  <c r="N122" i="20" s="1"/>
  <c r="O131" i="20" s="1"/>
  <c r="P140" i="20" s="1"/>
  <c r="Q149" i="20" s="1"/>
  <c r="R158" i="20" s="1"/>
  <c r="E40" i="20"/>
  <c r="F49" i="20" s="1"/>
  <c r="G58" i="20" s="1"/>
  <c r="H67" i="20" s="1"/>
  <c r="I76" i="20" s="1"/>
  <c r="J85" i="20" s="1"/>
  <c r="K94" i="20" s="1"/>
  <c r="L103" i="20" s="1"/>
  <c r="M112" i="20" s="1"/>
  <c r="N121" i="20" s="1"/>
  <c r="O130" i="20" s="1"/>
  <c r="P139" i="20" s="1"/>
  <c r="Q148" i="20" s="1"/>
  <c r="R157" i="20" s="1"/>
  <c r="E39" i="20"/>
  <c r="F48" i="20" s="1"/>
  <c r="G57" i="20" s="1"/>
  <c r="H66" i="20" s="1"/>
  <c r="I75" i="20" s="1"/>
  <c r="J84" i="20" s="1"/>
  <c r="K93" i="20" s="1"/>
  <c r="L102" i="20" s="1"/>
  <c r="M111" i="20" s="1"/>
  <c r="N120" i="20" s="1"/>
  <c r="O129" i="20" s="1"/>
  <c r="P138" i="20" s="1"/>
  <c r="Q147" i="20" s="1"/>
  <c r="R156" i="20" s="1"/>
  <c r="E38" i="20"/>
  <c r="F47" i="20" s="1"/>
  <c r="G56" i="20" s="1"/>
  <c r="H65" i="20" s="1"/>
  <c r="I74" i="20" s="1"/>
  <c r="J83" i="20" s="1"/>
  <c r="K92" i="20" s="1"/>
  <c r="L101" i="20" s="1"/>
  <c r="M110" i="20" s="1"/>
  <c r="N119" i="20" s="1"/>
  <c r="O128" i="20" s="1"/>
  <c r="P137" i="20" s="1"/>
  <c r="Q146" i="20" s="1"/>
  <c r="R155" i="20" s="1"/>
  <c r="U19" i="21"/>
  <c r="U28" i="21" s="1"/>
  <c r="D19" i="21"/>
  <c r="D28" i="21" s="1"/>
  <c r="D37" i="21" s="1"/>
  <c r="D46" i="21" s="1"/>
  <c r="D55" i="21" s="1"/>
  <c r="D64" i="21" s="1"/>
  <c r="D73" i="21" s="1"/>
  <c r="D82" i="21" s="1"/>
  <c r="D91" i="21" s="1"/>
  <c r="D100" i="21" s="1"/>
  <c r="D109" i="21" s="1"/>
  <c r="D118" i="21" s="1"/>
  <c r="D127" i="21" s="1"/>
  <c r="D136" i="21" s="1"/>
  <c r="D145" i="21" s="1"/>
  <c r="D154" i="21" s="1"/>
  <c r="D163" i="21" s="1"/>
  <c r="D173" i="21" s="1"/>
  <c r="E19" i="21"/>
  <c r="E28" i="21" s="1"/>
  <c r="E37" i="21" s="1"/>
  <c r="E46" i="21" s="1"/>
  <c r="E55" i="21" s="1"/>
  <c r="E64" i="21" s="1"/>
  <c r="E73" i="21" s="1"/>
  <c r="E82" i="21" s="1"/>
  <c r="E91" i="21" s="1"/>
  <c r="E100" i="21" s="1"/>
  <c r="E109" i="21" s="1"/>
  <c r="E118" i="21" s="1"/>
  <c r="E127" i="21" s="1"/>
  <c r="E136" i="21" s="1"/>
  <c r="E145" i="21" s="1"/>
  <c r="E154" i="21" s="1"/>
  <c r="E163" i="21" s="1"/>
  <c r="E173" i="21" s="1"/>
  <c r="F19" i="21"/>
  <c r="F28" i="21" s="1"/>
  <c r="F37" i="21" s="1"/>
  <c r="F46" i="21" s="1"/>
  <c r="F55" i="21" s="1"/>
  <c r="F64" i="21" s="1"/>
  <c r="F73" i="21" s="1"/>
  <c r="F82" i="21" s="1"/>
  <c r="F91" i="21" s="1"/>
  <c r="F100" i="21" s="1"/>
  <c r="F109" i="21" s="1"/>
  <c r="F118" i="21" s="1"/>
  <c r="F127" i="21" s="1"/>
  <c r="F136" i="21" s="1"/>
  <c r="F145" i="21" s="1"/>
  <c r="F154" i="21" s="1"/>
  <c r="F163" i="21" s="1"/>
  <c r="F173" i="21" s="1"/>
  <c r="G19" i="21"/>
  <c r="G28" i="21" s="1"/>
  <c r="G37" i="21" s="1"/>
  <c r="G46" i="21" s="1"/>
  <c r="G55" i="21" s="1"/>
  <c r="G64" i="21" s="1"/>
  <c r="G73" i="21" s="1"/>
  <c r="G82" i="21" s="1"/>
  <c r="G91" i="21" s="1"/>
  <c r="G100" i="21" s="1"/>
  <c r="G109" i="21" s="1"/>
  <c r="G118" i="21" s="1"/>
  <c r="G127" i="21" s="1"/>
  <c r="G136" i="21" s="1"/>
  <c r="G145" i="21" s="1"/>
  <c r="G154" i="21" s="1"/>
  <c r="G163" i="21" s="1"/>
  <c r="G173" i="21" s="1"/>
  <c r="H19" i="21"/>
  <c r="H28" i="21" s="1"/>
  <c r="H37" i="21" s="1"/>
  <c r="H46" i="21" s="1"/>
  <c r="H55" i="21" s="1"/>
  <c r="H64" i="21" s="1"/>
  <c r="H73" i="21" s="1"/>
  <c r="H82" i="21" s="1"/>
  <c r="H91" i="21" s="1"/>
  <c r="H100" i="21" s="1"/>
  <c r="H109" i="21" s="1"/>
  <c r="H118" i="21" s="1"/>
  <c r="H127" i="21" s="1"/>
  <c r="H136" i="21" s="1"/>
  <c r="H145" i="21" s="1"/>
  <c r="H154" i="21" s="1"/>
  <c r="H163" i="21" s="1"/>
  <c r="H173" i="21" s="1"/>
  <c r="I19" i="21"/>
  <c r="I28" i="21" s="1"/>
  <c r="I37" i="21" s="1"/>
  <c r="I46" i="21" s="1"/>
  <c r="I55" i="21" s="1"/>
  <c r="I64" i="21" s="1"/>
  <c r="I73" i="21" s="1"/>
  <c r="I82" i="21" s="1"/>
  <c r="I91" i="21" s="1"/>
  <c r="I100" i="21" s="1"/>
  <c r="I109" i="21" s="1"/>
  <c r="I118" i="21" s="1"/>
  <c r="I127" i="21" s="1"/>
  <c r="I136" i="21" s="1"/>
  <c r="I145" i="21" s="1"/>
  <c r="I154" i="21" s="1"/>
  <c r="I163" i="21" s="1"/>
  <c r="I173" i="21" s="1"/>
  <c r="J19" i="21"/>
  <c r="J28" i="21" s="1"/>
  <c r="J37" i="21" s="1"/>
  <c r="J46" i="21" s="1"/>
  <c r="J55" i="21" s="1"/>
  <c r="J64" i="21" s="1"/>
  <c r="J73" i="21" s="1"/>
  <c r="J82" i="21" s="1"/>
  <c r="J91" i="21" s="1"/>
  <c r="J100" i="21" s="1"/>
  <c r="J109" i="21" s="1"/>
  <c r="J118" i="21" s="1"/>
  <c r="J127" i="21" s="1"/>
  <c r="J136" i="21" s="1"/>
  <c r="J145" i="21" s="1"/>
  <c r="J154" i="21" s="1"/>
  <c r="J163" i="21" s="1"/>
  <c r="J173" i="21" s="1"/>
  <c r="K19" i="21"/>
  <c r="K28" i="21" s="1"/>
  <c r="K37" i="21" s="1"/>
  <c r="K46" i="21" s="1"/>
  <c r="K55" i="21" s="1"/>
  <c r="K64" i="21" s="1"/>
  <c r="K73" i="21" s="1"/>
  <c r="K82" i="21" s="1"/>
  <c r="K91" i="21" s="1"/>
  <c r="K100" i="21" s="1"/>
  <c r="K109" i="21" s="1"/>
  <c r="K118" i="21" s="1"/>
  <c r="K127" i="21" s="1"/>
  <c r="K136" i="21" s="1"/>
  <c r="K145" i="21" s="1"/>
  <c r="K154" i="21" s="1"/>
  <c r="K163" i="21" s="1"/>
  <c r="K173" i="21" s="1"/>
  <c r="L19" i="21"/>
  <c r="L28" i="21" s="1"/>
  <c r="L37" i="21" s="1"/>
  <c r="L46" i="21" s="1"/>
  <c r="L55" i="21" s="1"/>
  <c r="L64" i="21" s="1"/>
  <c r="L73" i="21" s="1"/>
  <c r="L82" i="21" s="1"/>
  <c r="L91" i="21" s="1"/>
  <c r="L100" i="21" s="1"/>
  <c r="L109" i="21" s="1"/>
  <c r="L118" i="21" s="1"/>
  <c r="L127" i="21" s="1"/>
  <c r="L136" i="21" s="1"/>
  <c r="L145" i="21" s="1"/>
  <c r="L154" i="21" s="1"/>
  <c r="L163" i="21" s="1"/>
  <c r="L173" i="21" s="1"/>
  <c r="M19" i="21"/>
  <c r="M28" i="21" s="1"/>
  <c r="M37" i="21" s="1"/>
  <c r="M46" i="21" s="1"/>
  <c r="M55" i="21" s="1"/>
  <c r="M64" i="21" s="1"/>
  <c r="M73" i="21" s="1"/>
  <c r="M82" i="21" s="1"/>
  <c r="M91" i="21" s="1"/>
  <c r="M100" i="21" s="1"/>
  <c r="M109" i="21" s="1"/>
  <c r="M118" i="21" s="1"/>
  <c r="M127" i="21" s="1"/>
  <c r="M136" i="21" s="1"/>
  <c r="M145" i="21" s="1"/>
  <c r="M154" i="21" s="1"/>
  <c r="M163" i="21" s="1"/>
  <c r="M173" i="21" s="1"/>
  <c r="N19" i="21"/>
  <c r="N28" i="21" s="1"/>
  <c r="N37" i="21" s="1"/>
  <c r="N46" i="21" s="1"/>
  <c r="N55" i="21" s="1"/>
  <c r="N64" i="21" s="1"/>
  <c r="N73" i="21" s="1"/>
  <c r="N82" i="21" s="1"/>
  <c r="N91" i="21" s="1"/>
  <c r="N100" i="21" s="1"/>
  <c r="N109" i="21" s="1"/>
  <c r="N118" i="21" s="1"/>
  <c r="N127" i="21" s="1"/>
  <c r="N136" i="21" s="1"/>
  <c r="N145" i="21" s="1"/>
  <c r="N154" i="21" s="1"/>
  <c r="N163" i="21" s="1"/>
  <c r="N173" i="21" s="1"/>
  <c r="O19" i="21"/>
  <c r="O28" i="21" s="1"/>
  <c r="O37" i="21" s="1"/>
  <c r="O46" i="21" s="1"/>
  <c r="O55" i="21" s="1"/>
  <c r="O64" i="21" s="1"/>
  <c r="O73" i="21" s="1"/>
  <c r="O82" i="21" s="1"/>
  <c r="O91" i="21" s="1"/>
  <c r="O100" i="21" s="1"/>
  <c r="O109" i="21" s="1"/>
  <c r="O118" i="21" s="1"/>
  <c r="O127" i="21" s="1"/>
  <c r="O136" i="21" s="1"/>
  <c r="O145" i="21" s="1"/>
  <c r="O154" i="21" s="1"/>
  <c r="O163" i="21" s="1"/>
  <c r="O173" i="21" s="1"/>
  <c r="P19" i="21"/>
  <c r="P28" i="21" s="1"/>
  <c r="P37" i="21" s="1"/>
  <c r="P46" i="21" s="1"/>
  <c r="P55" i="21" s="1"/>
  <c r="P64" i="21" s="1"/>
  <c r="P73" i="21" s="1"/>
  <c r="P82" i="21" s="1"/>
  <c r="P91" i="21" s="1"/>
  <c r="P100" i="21" s="1"/>
  <c r="P109" i="21" s="1"/>
  <c r="P118" i="21" s="1"/>
  <c r="P127" i="21" s="1"/>
  <c r="P136" i="21" s="1"/>
  <c r="P145" i="21" s="1"/>
  <c r="P154" i="21" s="1"/>
  <c r="P163" i="21" s="1"/>
  <c r="P173" i="21" s="1"/>
  <c r="Q19" i="21"/>
  <c r="Q28" i="21" s="1"/>
  <c r="Q37" i="21" s="1"/>
  <c r="Q46" i="21" s="1"/>
  <c r="Q55" i="21" s="1"/>
  <c r="Q64" i="21" s="1"/>
  <c r="Q73" i="21" s="1"/>
  <c r="Q82" i="21" s="1"/>
  <c r="Q91" i="21" s="1"/>
  <c r="Q100" i="21" s="1"/>
  <c r="Q109" i="21" s="1"/>
  <c r="Q118" i="21" s="1"/>
  <c r="Q127" i="21" s="1"/>
  <c r="Q136" i="21" s="1"/>
  <c r="Q145" i="21" s="1"/>
  <c r="Q154" i="21" s="1"/>
  <c r="Q163" i="21" s="1"/>
  <c r="Q173" i="21" s="1"/>
  <c r="R19" i="21"/>
  <c r="R28" i="21" s="1"/>
  <c r="R37" i="21" s="1"/>
  <c r="R46" i="21" s="1"/>
  <c r="R55" i="21" s="1"/>
  <c r="R64" i="21" s="1"/>
  <c r="R73" i="21" s="1"/>
  <c r="R82" i="21" s="1"/>
  <c r="R91" i="21" s="1"/>
  <c r="R100" i="21" s="1"/>
  <c r="R109" i="21" s="1"/>
  <c r="R118" i="21" s="1"/>
  <c r="R127" i="21" s="1"/>
  <c r="R136" i="21" s="1"/>
  <c r="R145" i="21" s="1"/>
  <c r="R154" i="21" s="1"/>
  <c r="R163" i="21" s="1"/>
  <c r="R173" i="21" s="1"/>
  <c r="S19" i="21"/>
  <c r="S28" i="21" s="1"/>
  <c r="S37" i="21" s="1"/>
  <c r="S46" i="21" s="1"/>
  <c r="S55" i="21" s="1"/>
  <c r="S64" i="21" s="1"/>
  <c r="S73" i="21" s="1"/>
  <c r="S82" i="21" s="1"/>
  <c r="S91" i="21" s="1"/>
  <c r="S100" i="21" s="1"/>
  <c r="S109" i="21" s="1"/>
  <c r="S118" i="21" s="1"/>
  <c r="S127" i="21" s="1"/>
  <c r="S136" i="21" s="1"/>
  <c r="S145" i="21" s="1"/>
  <c r="S154" i="21" s="1"/>
  <c r="S163" i="21" s="1"/>
  <c r="S173" i="21" s="1"/>
  <c r="T19" i="21"/>
  <c r="T28" i="21" s="1"/>
  <c r="T37" i="21" s="1"/>
  <c r="T46" i="21" s="1"/>
  <c r="T55" i="21" s="1"/>
  <c r="T64" i="21" s="1"/>
  <c r="C19" i="21"/>
  <c r="C28" i="21" s="1"/>
  <c r="C37" i="21" s="1"/>
  <c r="C46" i="21" s="1"/>
  <c r="C55" i="21" s="1"/>
  <c r="C64" i="21" s="1"/>
  <c r="C73" i="21" s="1"/>
  <c r="C82" i="21" s="1"/>
  <c r="C91" i="21" s="1"/>
  <c r="C100" i="21" s="1"/>
  <c r="C109" i="21" s="1"/>
  <c r="C118" i="21" s="1"/>
  <c r="C127" i="21" s="1"/>
  <c r="C136" i="21" s="1"/>
  <c r="C145" i="21" s="1"/>
  <c r="C154" i="21" s="1"/>
  <c r="C163" i="21" s="1"/>
  <c r="C173" i="21" s="1"/>
  <c r="D62" i="19"/>
  <c r="D61" i="19"/>
  <c r="D60" i="19"/>
  <c r="D59" i="19"/>
  <c r="D58" i="19"/>
  <c r="D56" i="19"/>
  <c r="D55" i="19"/>
  <c r="D54" i="19"/>
  <c r="D53" i="19"/>
  <c r="D52" i="19"/>
  <c r="D49" i="19"/>
  <c r="D48" i="19"/>
  <c r="D46" i="19"/>
  <c r="D45" i="19"/>
  <c r="D44" i="19"/>
  <c r="D43" i="19"/>
  <c r="D42" i="19"/>
  <c r="D41" i="19"/>
  <c r="D39" i="19"/>
  <c r="D38" i="19"/>
  <c r="D37" i="19"/>
  <c r="D36" i="19"/>
  <c r="D35" i="19"/>
  <c r="D34" i="19"/>
  <c r="D31" i="19"/>
  <c r="D30" i="19"/>
  <c r="D28" i="19"/>
  <c r="D27" i="19"/>
  <c r="D26" i="19"/>
  <c r="D25" i="19"/>
  <c r="D24" i="19"/>
  <c r="D22" i="19"/>
  <c r="D21" i="19"/>
  <c r="D20" i="19"/>
  <c r="D19" i="19"/>
  <c r="D18" i="19"/>
  <c r="D15" i="19"/>
  <c r="D14" i="19"/>
  <c r="D12" i="19"/>
  <c r="D11" i="19"/>
  <c r="C1" i="22"/>
  <c r="C10" i="22" s="1"/>
  <c r="D1" i="22"/>
  <c r="D10" i="22" s="1"/>
  <c r="E1" i="22"/>
  <c r="E10" i="22" s="1"/>
  <c r="F1" i="22"/>
  <c r="F10" i="22" s="1"/>
  <c r="G1" i="22"/>
  <c r="G10" i="22" s="1"/>
  <c r="H1" i="22"/>
  <c r="H10" i="22" s="1"/>
  <c r="I1" i="22"/>
  <c r="I10" i="22" s="1"/>
  <c r="J1" i="22"/>
  <c r="J10" i="22" s="1"/>
  <c r="K1" i="22"/>
  <c r="K10" i="22" s="1"/>
  <c r="L1" i="22"/>
  <c r="L10" i="22" s="1"/>
  <c r="M1" i="22"/>
  <c r="M10" i="22" s="1"/>
  <c r="N1" i="22"/>
  <c r="N10" i="22" s="1"/>
  <c r="O1" i="22"/>
  <c r="O10" i="22" s="1"/>
  <c r="P1" i="22"/>
  <c r="P10" i="22" s="1"/>
  <c r="Q1" i="22"/>
  <c r="Q10" i="22" s="1"/>
  <c r="R1" i="22"/>
  <c r="R10" i="22" s="1"/>
  <c r="S1" i="22"/>
  <c r="S10" i="22" s="1"/>
  <c r="T1" i="22"/>
  <c r="T10" i="22" s="1"/>
  <c r="B1" i="22"/>
  <c r="B10" i="22" s="1"/>
  <c r="B15" i="22"/>
  <c r="C26" i="21"/>
  <c r="C35" i="21"/>
  <c r="D35" i="21"/>
  <c r="C44" i="21"/>
  <c r="D44" i="21"/>
  <c r="E44" i="21"/>
  <c r="C53" i="21"/>
  <c r="D53" i="21"/>
  <c r="E53" i="21"/>
  <c r="F53" i="21"/>
  <c r="C62" i="21"/>
  <c r="D62" i="21"/>
  <c r="E62" i="21"/>
  <c r="F62" i="21"/>
  <c r="G62" i="21"/>
  <c r="C71" i="21"/>
  <c r="D71" i="21"/>
  <c r="E71" i="21"/>
  <c r="F71" i="21"/>
  <c r="G71" i="21"/>
  <c r="H71" i="21"/>
  <c r="C80" i="21"/>
  <c r="D80" i="21"/>
  <c r="E80" i="21"/>
  <c r="F80" i="21"/>
  <c r="G80" i="21"/>
  <c r="H80" i="21"/>
  <c r="I80" i="21"/>
  <c r="C89" i="21"/>
  <c r="D89" i="21"/>
  <c r="E89" i="21"/>
  <c r="F89" i="21"/>
  <c r="G89" i="21"/>
  <c r="H89" i="21"/>
  <c r="I89" i="21"/>
  <c r="J89" i="21"/>
  <c r="C98" i="21"/>
  <c r="D98" i="21"/>
  <c r="E98" i="21"/>
  <c r="F98" i="21"/>
  <c r="G98" i="21"/>
  <c r="H98" i="21"/>
  <c r="I98" i="21"/>
  <c r="J98" i="21"/>
  <c r="K98" i="21"/>
  <c r="C107" i="21"/>
  <c r="D107" i="21"/>
  <c r="E107" i="21"/>
  <c r="F107" i="21"/>
  <c r="G107" i="21"/>
  <c r="H107" i="21"/>
  <c r="I107" i="21"/>
  <c r="J107" i="21"/>
  <c r="K107" i="21"/>
  <c r="L107" i="21"/>
  <c r="C116" i="21"/>
  <c r="D116" i="21"/>
  <c r="E116" i="21"/>
  <c r="F116" i="21"/>
  <c r="G116" i="21"/>
  <c r="H116" i="21"/>
  <c r="I116" i="21"/>
  <c r="J116" i="21"/>
  <c r="K116" i="21"/>
  <c r="L116" i="21"/>
  <c r="M116" i="21"/>
  <c r="C125" i="21"/>
  <c r="D125" i="21"/>
  <c r="E125" i="21"/>
  <c r="F125" i="21"/>
  <c r="G125" i="21"/>
  <c r="H125" i="21"/>
  <c r="I125" i="21"/>
  <c r="J125" i="21"/>
  <c r="K125" i="21"/>
  <c r="L125" i="21"/>
  <c r="M125" i="21"/>
  <c r="N125" i="21"/>
  <c r="C134" i="21"/>
  <c r="D134" i="21"/>
  <c r="E134" i="21"/>
  <c r="F134" i="21"/>
  <c r="G134" i="21"/>
  <c r="H134" i="21"/>
  <c r="I134" i="21"/>
  <c r="J134" i="21"/>
  <c r="K134" i="21"/>
  <c r="L134" i="21"/>
  <c r="M134" i="21"/>
  <c r="N134" i="21"/>
  <c r="O134" i="21"/>
  <c r="C143" i="21"/>
  <c r="D143" i="21"/>
  <c r="E143" i="21"/>
  <c r="F143" i="21"/>
  <c r="G143" i="21"/>
  <c r="H143" i="21"/>
  <c r="I143" i="21"/>
  <c r="J143" i="21"/>
  <c r="K143" i="21"/>
  <c r="L143" i="21"/>
  <c r="M143" i="21"/>
  <c r="N143" i="21"/>
  <c r="O143" i="21"/>
  <c r="P143" i="21"/>
  <c r="C161" i="21"/>
  <c r="C183" i="21" s="1"/>
  <c r="D161" i="21"/>
  <c r="D183" i="21" s="1"/>
  <c r="E161" i="21"/>
  <c r="E183" i="21" s="1"/>
  <c r="F161" i="21"/>
  <c r="F183" i="21" s="1"/>
  <c r="G161" i="21"/>
  <c r="G183" i="21" s="1"/>
  <c r="H161" i="21"/>
  <c r="H183" i="21" s="1"/>
  <c r="I161" i="21"/>
  <c r="I183" i="21" s="1"/>
  <c r="J161" i="21"/>
  <c r="J183" i="21" s="1"/>
  <c r="K161" i="21"/>
  <c r="K183" i="21" s="1"/>
  <c r="L161" i="21"/>
  <c r="L183" i="21" s="1"/>
  <c r="M161" i="21"/>
  <c r="M183" i="21" s="1"/>
  <c r="N161" i="21"/>
  <c r="N183" i="21" s="1"/>
  <c r="O161" i="21"/>
  <c r="O183" i="21" s="1"/>
  <c r="P161" i="21"/>
  <c r="P183" i="21" s="1"/>
  <c r="Q161" i="21"/>
  <c r="Q183" i="21" s="1"/>
  <c r="R161" i="21"/>
  <c r="R183" i="21" s="1"/>
  <c r="C35" i="20"/>
  <c r="C44" i="20"/>
  <c r="D44" i="20"/>
  <c r="C53" i="20"/>
  <c r="D53" i="20"/>
  <c r="E53" i="20"/>
  <c r="C62" i="20"/>
  <c r="D62" i="20"/>
  <c r="E62" i="20"/>
  <c r="F62" i="20"/>
  <c r="C71" i="20"/>
  <c r="D71" i="20"/>
  <c r="E71" i="20"/>
  <c r="F71" i="20"/>
  <c r="G71" i="20"/>
  <c r="C80" i="20"/>
  <c r="D80" i="20"/>
  <c r="E80" i="20"/>
  <c r="F80" i="20"/>
  <c r="G80" i="20"/>
  <c r="H80" i="20"/>
  <c r="C89" i="20"/>
  <c r="D89" i="20"/>
  <c r="E89" i="20"/>
  <c r="F89" i="20"/>
  <c r="G89" i="20"/>
  <c r="H89" i="20"/>
  <c r="I89" i="20"/>
  <c r="C98" i="20"/>
  <c r="D98" i="20"/>
  <c r="E98" i="20"/>
  <c r="F98" i="20"/>
  <c r="G98" i="20"/>
  <c r="H98" i="20"/>
  <c r="I98" i="20"/>
  <c r="J98" i="20"/>
  <c r="C107" i="20"/>
  <c r="D107" i="20"/>
  <c r="E107" i="20"/>
  <c r="F107" i="20"/>
  <c r="G107" i="20"/>
  <c r="H107" i="20"/>
  <c r="I107" i="20"/>
  <c r="J107" i="20"/>
  <c r="K107" i="20"/>
  <c r="C125" i="20"/>
  <c r="C134" i="20"/>
  <c r="D134" i="20"/>
  <c r="C143" i="20"/>
  <c r="D143" i="20"/>
  <c r="E143" i="20"/>
  <c r="C152" i="20"/>
  <c r="D152" i="20"/>
  <c r="E152" i="20"/>
  <c r="F152" i="20"/>
  <c r="C161" i="20"/>
  <c r="C183" i="20" s="1"/>
  <c r="D161" i="20"/>
  <c r="D183" i="20" s="1"/>
  <c r="E161" i="20"/>
  <c r="E183" i="20" s="1"/>
  <c r="F161" i="20"/>
  <c r="F183" i="20" s="1"/>
  <c r="G161" i="20"/>
  <c r="G183" i="20" s="1"/>
  <c r="G67" i="19"/>
  <c r="H67" i="19" s="1"/>
  <c r="I67" i="19" s="1"/>
  <c r="J67" i="19" s="1"/>
  <c r="K67" i="19" s="1"/>
  <c r="L67" i="19" s="1"/>
  <c r="M67" i="19" s="1"/>
  <c r="N67" i="19" s="1"/>
  <c r="O67" i="19" s="1"/>
  <c r="P67" i="19" s="1"/>
  <c r="Q67" i="19" s="1"/>
  <c r="R67" i="19" s="1"/>
  <c r="S67" i="19" s="1"/>
  <c r="T67" i="19" s="1"/>
  <c r="U67" i="19" s="1"/>
  <c r="V67" i="19" s="1"/>
  <c r="W67" i="19" s="1"/>
  <c r="X67" i="19" s="1"/>
  <c r="D110" i="19"/>
  <c r="D109" i="19"/>
  <c r="D107" i="19"/>
  <c r="D106" i="19"/>
  <c r="D105" i="19"/>
  <c r="D104" i="19"/>
  <c r="D103" i="19"/>
  <c r="D102" i="19"/>
  <c r="D100" i="19"/>
  <c r="D99" i="19"/>
  <c r="D98" i="19"/>
  <c r="D97" i="19"/>
  <c r="D96" i="19"/>
  <c r="D95" i="19"/>
  <c r="D92" i="19"/>
  <c r="D91" i="19"/>
  <c r="D89" i="19"/>
  <c r="D88" i="19"/>
  <c r="D87" i="19"/>
  <c r="D86" i="19"/>
  <c r="D85" i="19"/>
  <c r="D83" i="19"/>
  <c r="D82" i="19"/>
  <c r="D81" i="19"/>
  <c r="D80" i="19"/>
  <c r="D79" i="19"/>
  <c r="D76" i="19"/>
  <c r="D75" i="19"/>
  <c r="D73" i="19"/>
  <c r="D72" i="19"/>
  <c r="G5" i="19"/>
  <c r="H5" i="19" s="1"/>
  <c r="I5" i="19" s="1"/>
  <c r="J5" i="19" s="1"/>
  <c r="K5" i="19" s="1"/>
  <c r="L5" i="19" s="1"/>
  <c r="M5" i="19" s="1"/>
  <c r="N5" i="19" s="1"/>
  <c r="O5" i="19" s="1"/>
  <c r="P5" i="19" s="1"/>
  <c r="Q5" i="19" s="1"/>
  <c r="R5" i="19" s="1"/>
  <c r="S5" i="19" s="1"/>
  <c r="T5" i="19" s="1"/>
  <c r="U5" i="19" s="1"/>
  <c r="V5" i="19" s="1"/>
  <c r="W5" i="19" s="1"/>
  <c r="X5" i="19" s="1"/>
  <c r="U9" i="19"/>
  <c r="Q2" i="22" s="1"/>
  <c r="S20" i="21" s="1"/>
  <c r="T29" i="21" s="1"/>
  <c r="U38" i="21" s="1"/>
  <c r="V9" i="19"/>
  <c r="R2" i="22" s="1"/>
  <c r="T20" i="21" s="1"/>
  <c r="U29" i="21" s="1"/>
  <c r="W9" i="19"/>
  <c r="S2" i="22" s="1"/>
  <c r="U20" i="21" s="1"/>
  <c r="X9" i="19"/>
  <c r="T2" i="22" s="1"/>
  <c r="U16" i="19"/>
  <c r="Q3" i="22" s="1"/>
  <c r="S21" i="21" s="1"/>
  <c r="T30" i="21" s="1"/>
  <c r="U39" i="21" s="1"/>
  <c r="V16" i="19"/>
  <c r="R3" i="22" s="1"/>
  <c r="T21" i="21" s="1"/>
  <c r="U30" i="21" s="1"/>
  <c r="W16" i="19"/>
  <c r="S3" i="22" s="1"/>
  <c r="U21" i="21" s="1"/>
  <c r="X16" i="19"/>
  <c r="T3" i="22" s="1"/>
  <c r="F29" i="19"/>
  <c r="B4" i="22" s="1"/>
  <c r="F47" i="19"/>
  <c r="B6" i="22" s="1"/>
  <c r="V47" i="19"/>
  <c r="R6" i="22" s="1"/>
  <c r="W47" i="19"/>
  <c r="S6" i="22" s="1"/>
  <c r="X47" i="19"/>
  <c r="T6" i="22" s="1"/>
  <c r="U15" i="21" s="1"/>
  <c r="U50" i="19"/>
  <c r="Q7" i="22" s="1"/>
  <c r="V50" i="19"/>
  <c r="R7" i="22" s="1"/>
  <c r="W50" i="19"/>
  <c r="S7" i="22" s="1"/>
  <c r="X50" i="19"/>
  <c r="T7" i="22" s="1"/>
  <c r="U16" i="21" s="1"/>
  <c r="G70" i="19"/>
  <c r="H70" i="19"/>
  <c r="D11" i="22" s="1"/>
  <c r="I70" i="19"/>
  <c r="E11" i="22" s="1"/>
  <c r="J70" i="19"/>
  <c r="F11" i="22" s="1"/>
  <c r="K70" i="19"/>
  <c r="G11" i="22" s="1"/>
  <c r="L70" i="19"/>
  <c r="H11" i="22" s="1"/>
  <c r="M70" i="19"/>
  <c r="I11" i="22" s="1"/>
  <c r="N70" i="19"/>
  <c r="J11" i="22" s="1"/>
  <c r="O70" i="19"/>
  <c r="K11" i="22" s="1"/>
  <c r="P70" i="19"/>
  <c r="L11" i="22" s="1"/>
  <c r="Q70" i="19"/>
  <c r="M11" i="22" s="1"/>
  <c r="R70" i="19"/>
  <c r="N11" i="22" s="1"/>
  <c r="S70" i="19"/>
  <c r="O11" i="22" s="1"/>
  <c r="T70" i="19"/>
  <c r="P11" i="22" s="1"/>
  <c r="U70" i="19"/>
  <c r="Q11" i="22" s="1"/>
  <c r="V70" i="19"/>
  <c r="R11" i="22" s="1"/>
  <c r="M77" i="19"/>
  <c r="I12" i="22" s="1"/>
  <c r="N77" i="19"/>
  <c r="J12" i="22" s="1"/>
  <c r="O77" i="19"/>
  <c r="K12" i="22" s="1"/>
  <c r="P77" i="19"/>
  <c r="L12" i="22" s="1"/>
  <c r="Q77" i="19"/>
  <c r="M12" i="22" s="1"/>
  <c r="R77" i="19"/>
  <c r="N12" i="22" s="1"/>
  <c r="S77" i="19"/>
  <c r="O12" i="22" s="1"/>
  <c r="T77" i="19"/>
  <c r="P12" i="22" s="1"/>
  <c r="U77" i="19"/>
  <c r="Q12" i="22" s="1"/>
  <c r="V77" i="19"/>
  <c r="R12" i="22" s="1"/>
  <c r="F90" i="19"/>
  <c r="B13" i="22" s="1"/>
  <c r="N108" i="19"/>
  <c r="J15" i="22" s="1"/>
  <c r="O108" i="19"/>
  <c r="K15" i="22" s="1"/>
  <c r="P108" i="19"/>
  <c r="L15" i="22" s="1"/>
  <c r="Q108" i="19"/>
  <c r="M15" i="22" s="1"/>
  <c r="R108" i="19"/>
  <c r="N15" i="22" s="1"/>
  <c r="S108" i="19"/>
  <c r="O15" i="22" s="1"/>
  <c r="T108" i="19"/>
  <c r="P15" i="22" s="1"/>
  <c r="U108" i="19"/>
  <c r="Q15" i="22" s="1"/>
  <c r="V108" i="19"/>
  <c r="R15" i="22" s="1"/>
  <c r="M111" i="19"/>
  <c r="I16" i="22" s="1"/>
  <c r="N111" i="19"/>
  <c r="J16" i="22" s="1"/>
  <c r="O111" i="19"/>
  <c r="K16" i="22" s="1"/>
  <c r="P111" i="19"/>
  <c r="L16" i="22" s="1"/>
  <c r="Q111" i="19"/>
  <c r="M16" i="22" s="1"/>
  <c r="R111" i="19"/>
  <c r="N16" i="22" s="1"/>
  <c r="S111" i="19"/>
  <c r="O16" i="22" s="1"/>
  <c r="T111" i="19"/>
  <c r="P16" i="22" s="1"/>
  <c r="U111" i="19"/>
  <c r="Q16" i="22" s="1"/>
  <c r="K84" i="18"/>
  <c r="D121" i="19"/>
  <c r="D122" i="19"/>
  <c r="K87" i="18"/>
  <c r="K78" i="18"/>
  <c r="K79" i="18"/>
  <c r="D116" i="19"/>
  <c r="D117" i="19"/>
  <c r="M77" i="18"/>
  <c r="N77" i="18" s="1"/>
  <c r="O77" i="18" s="1"/>
  <c r="P77" i="18" s="1"/>
  <c r="Q77" i="18" s="1"/>
  <c r="R77" i="18" s="1"/>
  <c r="S77" i="18" s="1"/>
  <c r="T77" i="18" s="1"/>
  <c r="U77" i="18" s="1"/>
  <c r="V77" i="18" s="1"/>
  <c r="W77" i="18" s="1"/>
  <c r="X77" i="18" s="1"/>
  <c r="Y77" i="18" s="1"/>
  <c r="Z77" i="18" s="1"/>
  <c r="K47" i="18"/>
  <c r="K28" i="18"/>
  <c r="L28" i="18" s="1"/>
  <c r="M28" i="18" s="1"/>
  <c r="N28" i="18" s="1"/>
  <c r="O28" i="18" s="1"/>
  <c r="P28" i="18" s="1"/>
  <c r="Q28" i="18" s="1"/>
  <c r="R28" i="18" s="1"/>
  <c r="S28" i="18" s="1"/>
  <c r="T28" i="18" s="1"/>
  <c r="U28" i="18" s="1"/>
  <c r="V28" i="18" s="1"/>
  <c r="W28" i="18" s="1"/>
  <c r="X28" i="18" s="1"/>
  <c r="Y28" i="18" s="1"/>
  <c r="Z28" i="18" s="1"/>
  <c r="K29" i="18"/>
  <c r="K30" i="18"/>
  <c r="K19" i="18"/>
  <c r="E75" i="18"/>
  <c r="E82" i="18" s="1"/>
  <c r="K74" i="18"/>
  <c r="K73" i="18"/>
  <c r="K72" i="18"/>
  <c r="K71" i="18"/>
  <c r="K70" i="18"/>
  <c r="K69" i="18"/>
  <c r="K68" i="18"/>
  <c r="K66" i="18"/>
  <c r="K65" i="18"/>
  <c r="K64" i="18"/>
  <c r="K63" i="18"/>
  <c r="K62" i="18"/>
  <c r="K61" i="18"/>
  <c r="M60" i="18"/>
  <c r="N60" i="18" s="1"/>
  <c r="O60" i="18" s="1"/>
  <c r="P60" i="18" s="1"/>
  <c r="Q60" i="18" s="1"/>
  <c r="R60" i="18" s="1"/>
  <c r="S60" i="18" s="1"/>
  <c r="T60" i="18" s="1"/>
  <c r="U60" i="18" s="1"/>
  <c r="V60" i="18" s="1"/>
  <c r="W60" i="18" s="1"/>
  <c r="X60" i="18" s="1"/>
  <c r="Y60" i="18" s="1"/>
  <c r="Z60" i="18" s="1"/>
  <c r="E58" i="18"/>
  <c r="E67" i="18" s="1"/>
  <c r="C67" i="18"/>
  <c r="K57" i="18"/>
  <c r="K56" i="18"/>
  <c r="K55" i="18"/>
  <c r="K54" i="18"/>
  <c r="K53" i="18"/>
  <c r="K52" i="18"/>
  <c r="K50" i="18"/>
  <c r="K49" i="18"/>
  <c r="K48" i="18"/>
  <c r="K46" i="18"/>
  <c r="K45" i="18"/>
  <c r="Q44" i="18"/>
  <c r="R44" i="18" s="1"/>
  <c r="S44" i="18" s="1"/>
  <c r="T44" i="18" s="1"/>
  <c r="U44" i="18" s="1"/>
  <c r="V44" i="18" s="1"/>
  <c r="W44" i="18" s="1"/>
  <c r="X44" i="18" s="1"/>
  <c r="Y44" i="18" s="1"/>
  <c r="Z44" i="18" s="1"/>
  <c r="E43" i="18"/>
  <c r="E51" i="18" s="1"/>
  <c r="E52" i="18" s="1"/>
  <c r="C43" i="18"/>
  <c r="K42" i="18"/>
  <c r="K41" i="18"/>
  <c r="K40" i="18"/>
  <c r="K39" i="18"/>
  <c r="K38" i="18"/>
  <c r="K37" i="18"/>
  <c r="K36" i="18"/>
  <c r="K34" i="18"/>
  <c r="K33" i="18"/>
  <c r="K32" i="18"/>
  <c r="K31" i="18"/>
  <c r="E26" i="18"/>
  <c r="E27" i="18" s="1"/>
  <c r="K25" i="18"/>
  <c r="K24" i="18"/>
  <c r="K23" i="18"/>
  <c r="K22" i="18"/>
  <c r="K21" i="18"/>
  <c r="K18" i="18"/>
  <c r="K17" i="18"/>
  <c r="K16" i="18"/>
  <c r="K15" i="18"/>
  <c r="E13" i="18"/>
  <c r="E20" i="18" s="1"/>
  <c r="E21" i="18" s="1"/>
  <c r="K12" i="18"/>
  <c r="K11" i="18"/>
  <c r="K9" i="18"/>
  <c r="M8" i="18"/>
  <c r="N8" i="18" s="1"/>
  <c r="O8" i="18" s="1"/>
  <c r="P8" i="18" s="1"/>
  <c r="Q8" i="18" s="1"/>
  <c r="R8" i="18" s="1"/>
  <c r="S8" i="18" s="1"/>
  <c r="T8" i="18" s="1"/>
  <c r="U8" i="18" s="1"/>
  <c r="V8" i="18" s="1"/>
  <c r="W8" i="18" s="1"/>
  <c r="X8" i="18" s="1"/>
  <c r="Y8" i="18" s="1"/>
  <c r="Z8" i="18" s="1"/>
  <c r="E6" i="18"/>
  <c r="E10" i="18" s="1"/>
  <c r="E11" i="18" s="1"/>
  <c r="W87" i="2"/>
  <c r="Y60" i="2"/>
  <c r="Z60" i="2" s="1"/>
  <c r="W88" i="2"/>
  <c r="W86" i="2"/>
  <c r="N37" i="12" l="1"/>
  <c r="N35" i="12"/>
  <c r="N33" i="12"/>
  <c r="N60" i="12"/>
  <c r="N66" i="12"/>
  <c r="N65" i="12"/>
  <c r="N64" i="12"/>
  <c r="N61" i="12"/>
  <c r="N38" i="12"/>
  <c r="N32" i="12"/>
  <c r="N36" i="12"/>
  <c r="N63" i="12"/>
  <c r="K182" i="21"/>
  <c r="C182" i="21"/>
  <c r="L150" i="7" s="1"/>
  <c r="L182" i="21"/>
  <c r="D182" i="21"/>
  <c r="M150" i="7" s="1"/>
  <c r="P182" i="21"/>
  <c r="H182" i="21"/>
  <c r="I182" i="21"/>
  <c r="N182" i="21"/>
  <c r="F182" i="21"/>
  <c r="O182" i="21"/>
  <c r="G182" i="21"/>
  <c r="E178" i="20"/>
  <c r="C176" i="20"/>
  <c r="F180" i="21"/>
  <c r="G181" i="21"/>
  <c r="M182" i="21"/>
  <c r="E182" i="21"/>
  <c r="N150" i="7" s="1"/>
  <c r="M12" i="20"/>
  <c r="N21" i="20"/>
  <c r="C13" i="20"/>
  <c r="C167" i="20" s="1"/>
  <c r="D22" i="20"/>
  <c r="L69" i="18"/>
  <c r="M69" i="18" s="1"/>
  <c r="N69" i="18" s="1"/>
  <c r="O69" i="18" s="1"/>
  <c r="P69" i="18" s="1"/>
  <c r="Q69" i="18" s="1"/>
  <c r="R69" i="18" s="1"/>
  <c r="S69" i="18" s="1"/>
  <c r="T69" i="18" s="1"/>
  <c r="U69" i="18" s="1"/>
  <c r="V69" i="18" s="1"/>
  <c r="W69" i="18" s="1"/>
  <c r="X69" i="18" s="1"/>
  <c r="Y69" i="18" s="1"/>
  <c r="Z69" i="18" s="1"/>
  <c r="M11" i="20"/>
  <c r="N20" i="20"/>
  <c r="P15" i="20"/>
  <c r="Q24" i="20"/>
  <c r="L63" i="18"/>
  <c r="M63" i="18" s="1"/>
  <c r="N63" i="18" s="1"/>
  <c r="O63" i="18" s="1"/>
  <c r="P63" i="18" s="1"/>
  <c r="Q63" i="18" s="1"/>
  <c r="R63" i="18" s="1"/>
  <c r="S63" i="18" s="1"/>
  <c r="T63" i="18" s="1"/>
  <c r="U63" i="18" s="1"/>
  <c r="V63" i="18" s="1"/>
  <c r="W63" i="18" s="1"/>
  <c r="X63" i="18" s="1"/>
  <c r="Y63" i="18" s="1"/>
  <c r="Z63" i="18" s="1"/>
  <c r="L72" i="18"/>
  <c r="M72" i="18" s="1"/>
  <c r="N72" i="18" s="1"/>
  <c r="O72" i="18" s="1"/>
  <c r="P72" i="18" s="1"/>
  <c r="Q72" i="18" s="1"/>
  <c r="R72" i="18" s="1"/>
  <c r="S72" i="18" s="1"/>
  <c r="T72" i="18" s="1"/>
  <c r="U72" i="18" s="1"/>
  <c r="V72" i="18" s="1"/>
  <c r="W72" i="18" s="1"/>
  <c r="X72" i="18" s="1"/>
  <c r="Y72" i="18" s="1"/>
  <c r="Z72" i="18" s="1"/>
  <c r="L16" i="20"/>
  <c r="M25" i="20"/>
  <c r="N15" i="20"/>
  <c r="O24" i="20"/>
  <c r="P12" i="20"/>
  <c r="Q21" i="20"/>
  <c r="R11" i="20"/>
  <c r="S20" i="20"/>
  <c r="J11" i="20"/>
  <c r="K20" i="20"/>
  <c r="T16" i="21"/>
  <c r="U25" i="21"/>
  <c r="J180" i="21"/>
  <c r="G11" i="20"/>
  <c r="H20" i="20"/>
  <c r="P16" i="20"/>
  <c r="Q25" i="20"/>
  <c r="L12" i="20"/>
  <c r="M21" i="20"/>
  <c r="N16" i="20"/>
  <c r="O25" i="20"/>
  <c r="L11" i="20"/>
  <c r="M20" i="20"/>
  <c r="L64" i="18"/>
  <c r="M64" i="18" s="1"/>
  <c r="N64" i="18" s="1"/>
  <c r="O64" i="18" s="1"/>
  <c r="P64" i="18" s="1"/>
  <c r="Q64" i="18" s="1"/>
  <c r="R64" i="18" s="1"/>
  <c r="S64" i="18" s="1"/>
  <c r="T64" i="18" s="1"/>
  <c r="U64" i="18" s="1"/>
  <c r="V64" i="18" s="1"/>
  <c r="W64" i="18" s="1"/>
  <c r="X64" i="18" s="1"/>
  <c r="Y64" i="18" s="1"/>
  <c r="Z64" i="18" s="1"/>
  <c r="L73" i="18"/>
  <c r="M73" i="18" s="1"/>
  <c r="N73" i="18" s="1"/>
  <c r="O73" i="18" s="1"/>
  <c r="P73" i="18" s="1"/>
  <c r="Q73" i="18" s="1"/>
  <c r="R73" i="18" s="1"/>
  <c r="S73" i="18" s="1"/>
  <c r="T73" i="18" s="1"/>
  <c r="U73" i="18" s="1"/>
  <c r="V73" i="18" s="1"/>
  <c r="W73" i="18" s="1"/>
  <c r="X73" i="18" s="1"/>
  <c r="Y73" i="18" s="1"/>
  <c r="Z73" i="18" s="1"/>
  <c r="K16" i="20"/>
  <c r="L25" i="20"/>
  <c r="M15" i="20"/>
  <c r="N24" i="20"/>
  <c r="O12" i="20"/>
  <c r="P21" i="20"/>
  <c r="Q11" i="20"/>
  <c r="R20" i="20"/>
  <c r="I11" i="20"/>
  <c r="J20" i="20"/>
  <c r="S16" i="21"/>
  <c r="T25" i="21"/>
  <c r="U34" i="21" s="1"/>
  <c r="S15" i="20"/>
  <c r="T24" i="20"/>
  <c r="U33" i="20" s="1"/>
  <c r="N11" i="20"/>
  <c r="O20" i="20"/>
  <c r="K12" i="20"/>
  <c r="L21" i="20"/>
  <c r="L70" i="18"/>
  <c r="M70" i="18" s="1"/>
  <c r="N70" i="18" s="1"/>
  <c r="O70" i="18" s="1"/>
  <c r="P70" i="18" s="1"/>
  <c r="Q70" i="18" s="1"/>
  <c r="R70" i="18" s="1"/>
  <c r="S70" i="18" s="1"/>
  <c r="T70" i="18" s="1"/>
  <c r="U70" i="18" s="1"/>
  <c r="V70" i="18" s="1"/>
  <c r="W70" i="18" s="1"/>
  <c r="X70" i="18" s="1"/>
  <c r="Y70" i="18" s="1"/>
  <c r="Z70" i="18" s="1"/>
  <c r="L65" i="18"/>
  <c r="M65" i="18" s="1"/>
  <c r="N65" i="18" s="1"/>
  <c r="O65" i="18" s="1"/>
  <c r="P65" i="18" s="1"/>
  <c r="Q65" i="18" s="1"/>
  <c r="R65" i="18" s="1"/>
  <c r="S65" i="18" s="1"/>
  <c r="T65" i="18" s="1"/>
  <c r="U65" i="18" s="1"/>
  <c r="V65" i="18" s="1"/>
  <c r="W65" i="18" s="1"/>
  <c r="X65" i="18" s="1"/>
  <c r="Y65" i="18" s="1"/>
  <c r="Z65" i="18" s="1"/>
  <c r="L74" i="18"/>
  <c r="M74" i="18" s="1"/>
  <c r="N74" i="18" s="1"/>
  <c r="O74" i="18" s="1"/>
  <c r="P74" i="18" s="1"/>
  <c r="Q74" i="18" s="1"/>
  <c r="R74" i="18" s="1"/>
  <c r="S74" i="18" s="1"/>
  <c r="T74" i="18" s="1"/>
  <c r="U74" i="18" s="1"/>
  <c r="V74" i="18" s="1"/>
  <c r="W74" i="18" s="1"/>
  <c r="X74" i="18" s="1"/>
  <c r="Y74" i="18" s="1"/>
  <c r="Z74" i="18" s="1"/>
  <c r="R16" i="20"/>
  <c r="S25" i="20"/>
  <c r="J16" i="20"/>
  <c r="K25" i="20"/>
  <c r="L15" i="20"/>
  <c r="M24" i="20"/>
  <c r="N12" i="20"/>
  <c r="O21" i="20"/>
  <c r="P11" i="20"/>
  <c r="Q20" i="20"/>
  <c r="H11" i="20"/>
  <c r="I20" i="20"/>
  <c r="R16" i="21"/>
  <c r="S25" i="21"/>
  <c r="T34" i="21" s="1"/>
  <c r="U43" i="21" s="1"/>
  <c r="C181" i="21"/>
  <c r="D176" i="21"/>
  <c r="C176" i="21"/>
  <c r="L66" i="18"/>
  <c r="M66" i="18" s="1"/>
  <c r="N66" i="18" s="1"/>
  <c r="O66" i="18" s="1"/>
  <c r="P66" i="18" s="1"/>
  <c r="Q66" i="18" s="1"/>
  <c r="R66" i="18" s="1"/>
  <c r="S66" i="18" s="1"/>
  <c r="T66" i="18" s="1"/>
  <c r="U66" i="18" s="1"/>
  <c r="V66" i="18" s="1"/>
  <c r="W66" i="18" s="1"/>
  <c r="X66" i="18" s="1"/>
  <c r="Y66" i="18" s="1"/>
  <c r="Z66" i="18" s="1"/>
  <c r="Q16" i="20"/>
  <c r="R25" i="20"/>
  <c r="L68" i="18"/>
  <c r="M68" i="18" s="1"/>
  <c r="N68" i="18" s="1"/>
  <c r="O68" i="18" s="1"/>
  <c r="P68" i="18" s="1"/>
  <c r="Q68" i="18" s="1"/>
  <c r="R68" i="18" s="1"/>
  <c r="S68" i="18" s="1"/>
  <c r="T68" i="18" s="1"/>
  <c r="U68" i="18" s="1"/>
  <c r="V68" i="18" s="1"/>
  <c r="W68" i="18" s="1"/>
  <c r="X68" i="18" s="1"/>
  <c r="Y68" i="18" s="1"/>
  <c r="Z68" i="18" s="1"/>
  <c r="F11" i="20"/>
  <c r="G20" i="20"/>
  <c r="T15" i="21"/>
  <c r="U24" i="21"/>
  <c r="R15" i="20"/>
  <c r="S24" i="20"/>
  <c r="O16" i="20"/>
  <c r="P25" i="20"/>
  <c r="S15" i="21"/>
  <c r="T24" i="21"/>
  <c r="U33" i="21" s="1"/>
  <c r="C15" i="20"/>
  <c r="D24" i="20"/>
  <c r="K15" i="20"/>
  <c r="L24" i="20"/>
  <c r="S12" i="20"/>
  <c r="T21" i="20"/>
  <c r="U30" i="20" s="1"/>
  <c r="C168" i="21"/>
  <c r="D24" i="21"/>
  <c r="E33" i="21" s="1"/>
  <c r="F42" i="21" s="1"/>
  <c r="C181" i="20"/>
  <c r="D179" i="20"/>
  <c r="O11" i="20"/>
  <c r="P20" i="20"/>
  <c r="Q15" i="20"/>
  <c r="R24" i="20"/>
  <c r="E11" i="20"/>
  <c r="F20" i="20"/>
  <c r="L61" i="18"/>
  <c r="M61" i="18" s="1"/>
  <c r="N61" i="18" s="1"/>
  <c r="O61" i="18" s="1"/>
  <c r="P61" i="18" s="1"/>
  <c r="Q61" i="18" s="1"/>
  <c r="R61" i="18" s="1"/>
  <c r="S61" i="18" s="1"/>
  <c r="T61" i="18" s="1"/>
  <c r="U61" i="18" s="1"/>
  <c r="V61" i="18" s="1"/>
  <c r="W61" i="18" s="1"/>
  <c r="X61" i="18" s="1"/>
  <c r="Y61" i="18" s="1"/>
  <c r="Z61" i="18" s="1"/>
  <c r="R12" i="20"/>
  <c r="S21" i="20"/>
  <c r="J12" i="20"/>
  <c r="K21" i="20"/>
  <c r="L62" i="18"/>
  <c r="M62" i="18" s="1"/>
  <c r="N62" i="18" s="1"/>
  <c r="O62" i="18" s="1"/>
  <c r="P62" i="18" s="1"/>
  <c r="Q62" i="18" s="1"/>
  <c r="R62" i="18" s="1"/>
  <c r="S62" i="18" s="1"/>
  <c r="T62" i="18" s="1"/>
  <c r="U62" i="18" s="1"/>
  <c r="V62" i="18" s="1"/>
  <c r="W62" i="18" s="1"/>
  <c r="X62" i="18" s="1"/>
  <c r="Y62" i="18" s="1"/>
  <c r="Z62" i="18" s="1"/>
  <c r="L71" i="18"/>
  <c r="M71" i="18" s="1"/>
  <c r="N71" i="18" s="1"/>
  <c r="O71" i="18" s="1"/>
  <c r="P71" i="18" s="1"/>
  <c r="Q71" i="18" s="1"/>
  <c r="R71" i="18" s="1"/>
  <c r="S71" i="18" s="1"/>
  <c r="T71" i="18" s="1"/>
  <c r="U71" i="18" s="1"/>
  <c r="V71" i="18" s="1"/>
  <c r="W71" i="18" s="1"/>
  <c r="X71" i="18" s="1"/>
  <c r="Y71" i="18" s="1"/>
  <c r="Z71" i="18" s="1"/>
  <c r="M16" i="20"/>
  <c r="N25" i="20"/>
  <c r="O15" i="20"/>
  <c r="P24" i="20"/>
  <c r="Q12" i="20"/>
  <c r="R21" i="20"/>
  <c r="S11" i="20"/>
  <c r="T20" i="20"/>
  <c r="U29" i="20" s="1"/>
  <c r="K11" i="20"/>
  <c r="L20" i="20"/>
  <c r="C166" i="21"/>
  <c r="D22" i="21"/>
  <c r="E31" i="21" s="1"/>
  <c r="F40" i="21" s="1"/>
  <c r="M73" i="8"/>
  <c r="M40" i="8"/>
  <c r="C93" i="19"/>
  <c r="C68" i="19" s="1"/>
  <c r="C44" i="18"/>
  <c r="G44" i="18" s="1"/>
  <c r="C32" i="19"/>
  <c r="C7" i="19" s="1"/>
  <c r="C51" i="18"/>
  <c r="G51" i="18" s="1"/>
  <c r="C51" i="19"/>
  <c r="C112" i="19"/>
  <c r="C110" i="19"/>
  <c r="C49" i="19"/>
  <c r="G49" i="19" s="1"/>
  <c r="H49" i="19" s="1"/>
  <c r="I49" i="19" s="1"/>
  <c r="J49" i="19" s="1"/>
  <c r="K49" i="19" s="1"/>
  <c r="L49" i="19" s="1"/>
  <c r="M49" i="19" s="1"/>
  <c r="N49" i="19" s="1"/>
  <c r="O49" i="19" s="1"/>
  <c r="P49" i="19" s="1"/>
  <c r="Q49" i="19" s="1"/>
  <c r="R49" i="19" s="1"/>
  <c r="S49" i="19" s="1"/>
  <c r="T49" i="19" s="1"/>
  <c r="U49" i="19" s="1"/>
  <c r="C92" i="19"/>
  <c r="C31" i="19"/>
  <c r="G31" i="19" s="1"/>
  <c r="H31" i="19" s="1"/>
  <c r="I31" i="19" s="1"/>
  <c r="J31" i="19" s="1"/>
  <c r="K31" i="19" s="1"/>
  <c r="L31" i="19" s="1"/>
  <c r="M31" i="19" s="1"/>
  <c r="N31" i="19" s="1"/>
  <c r="O31" i="19" s="1"/>
  <c r="P31" i="19" s="1"/>
  <c r="Q31" i="19" s="1"/>
  <c r="R31" i="19" s="1"/>
  <c r="S31" i="19" s="1"/>
  <c r="T31" i="19" s="1"/>
  <c r="U31" i="19" s="1"/>
  <c r="V31" i="19" s="1"/>
  <c r="W31" i="19" s="1"/>
  <c r="X31" i="19" s="1"/>
  <c r="F63" i="1"/>
  <c r="F44" i="5" s="1"/>
  <c r="L9" i="18"/>
  <c r="M9" i="18" s="1"/>
  <c r="N9" i="18" s="1"/>
  <c r="O9" i="18" s="1"/>
  <c r="P9" i="18" s="1"/>
  <c r="Q9" i="18" s="1"/>
  <c r="R9" i="18" s="1"/>
  <c r="S9" i="18" s="1"/>
  <c r="T9" i="18" s="1"/>
  <c r="U9" i="18" s="1"/>
  <c r="V9" i="18" s="1"/>
  <c r="W9" i="18" s="1"/>
  <c r="X9" i="18" s="1"/>
  <c r="Y9" i="18" s="1"/>
  <c r="Z9" i="18" s="1"/>
  <c r="L18" i="18"/>
  <c r="M18" i="18" s="1"/>
  <c r="N18" i="18" s="1"/>
  <c r="O18" i="18" s="1"/>
  <c r="P18" i="18" s="1"/>
  <c r="Q18" i="18" s="1"/>
  <c r="R18" i="18" s="1"/>
  <c r="S18" i="18" s="1"/>
  <c r="T18" i="18" s="1"/>
  <c r="U18" i="18" s="1"/>
  <c r="V18" i="18" s="1"/>
  <c r="W18" i="18" s="1"/>
  <c r="X18" i="18" s="1"/>
  <c r="Y18" i="18" s="1"/>
  <c r="Z18" i="18" s="1"/>
  <c r="L39" i="18"/>
  <c r="M39" i="18" s="1"/>
  <c r="N39" i="18" s="1"/>
  <c r="O39" i="18" s="1"/>
  <c r="P39" i="18" s="1"/>
  <c r="Q39" i="18" s="1"/>
  <c r="R39" i="18" s="1"/>
  <c r="S39" i="18" s="1"/>
  <c r="T39" i="18" s="1"/>
  <c r="U39" i="18" s="1"/>
  <c r="V39" i="18" s="1"/>
  <c r="W39" i="18" s="1"/>
  <c r="X39" i="18" s="1"/>
  <c r="Y39" i="18" s="1"/>
  <c r="Z39" i="18" s="1"/>
  <c r="L46" i="18"/>
  <c r="M46" i="18" s="1"/>
  <c r="N46" i="18" s="1"/>
  <c r="O46" i="18" s="1"/>
  <c r="P46" i="18" s="1"/>
  <c r="Q46" i="18" s="1"/>
  <c r="R46" i="18" s="1"/>
  <c r="S46" i="18" s="1"/>
  <c r="T46" i="18" s="1"/>
  <c r="U46" i="18" s="1"/>
  <c r="V46" i="18" s="1"/>
  <c r="W46" i="18" s="1"/>
  <c r="X46" i="18" s="1"/>
  <c r="Y46" i="18" s="1"/>
  <c r="Z46" i="18" s="1"/>
  <c r="L56" i="18"/>
  <c r="M56" i="18" s="1"/>
  <c r="N56" i="18" s="1"/>
  <c r="O56" i="18" s="1"/>
  <c r="P56" i="18" s="1"/>
  <c r="Q56" i="18" s="1"/>
  <c r="R56" i="18" s="1"/>
  <c r="S56" i="18" s="1"/>
  <c r="T56" i="18" s="1"/>
  <c r="U56" i="18" s="1"/>
  <c r="V56" i="18" s="1"/>
  <c r="W56" i="18" s="1"/>
  <c r="X56" i="18" s="1"/>
  <c r="Y56" i="18" s="1"/>
  <c r="Z56" i="18" s="1"/>
  <c r="L47" i="18"/>
  <c r="M47" i="18" s="1"/>
  <c r="N47" i="18" s="1"/>
  <c r="O47" i="18" s="1"/>
  <c r="P47" i="18" s="1"/>
  <c r="Q47" i="18" s="1"/>
  <c r="R47" i="18" s="1"/>
  <c r="S47" i="18" s="1"/>
  <c r="T47" i="18" s="1"/>
  <c r="U47" i="18" s="1"/>
  <c r="V47" i="18" s="1"/>
  <c r="W47" i="18" s="1"/>
  <c r="X47" i="18" s="1"/>
  <c r="Y47" i="18" s="1"/>
  <c r="Z47" i="18" s="1"/>
  <c r="L45" i="18"/>
  <c r="M45" i="18" s="1"/>
  <c r="N45" i="18" s="1"/>
  <c r="O45" i="18" s="1"/>
  <c r="P45" i="18" s="1"/>
  <c r="Q45" i="18" s="1"/>
  <c r="R45" i="18" s="1"/>
  <c r="S45" i="18" s="1"/>
  <c r="T45" i="18" s="1"/>
  <c r="U45" i="18" s="1"/>
  <c r="V45" i="18" s="1"/>
  <c r="W45" i="18" s="1"/>
  <c r="X45" i="18" s="1"/>
  <c r="Y45" i="18" s="1"/>
  <c r="Z45" i="18" s="1"/>
  <c r="L11" i="18"/>
  <c r="M11" i="18" s="1"/>
  <c r="N11" i="18" s="1"/>
  <c r="O11" i="18" s="1"/>
  <c r="P11" i="18" s="1"/>
  <c r="Q11" i="18" s="1"/>
  <c r="R11" i="18" s="1"/>
  <c r="S11" i="18" s="1"/>
  <c r="T11" i="18" s="1"/>
  <c r="U11" i="18" s="1"/>
  <c r="V11" i="18" s="1"/>
  <c r="W11" i="18" s="1"/>
  <c r="X11" i="18" s="1"/>
  <c r="Y11" i="18" s="1"/>
  <c r="Z11" i="18" s="1"/>
  <c r="L48" i="18"/>
  <c r="M48" i="18" s="1"/>
  <c r="N48" i="18" s="1"/>
  <c r="O48" i="18" s="1"/>
  <c r="P48" i="18" s="1"/>
  <c r="Q48" i="18" s="1"/>
  <c r="R48" i="18" s="1"/>
  <c r="S48" i="18" s="1"/>
  <c r="T48" i="18" s="1"/>
  <c r="U48" i="18" s="1"/>
  <c r="V48" i="18" s="1"/>
  <c r="W48" i="18" s="1"/>
  <c r="X48" i="18" s="1"/>
  <c r="Y48" i="18" s="1"/>
  <c r="Z48" i="18" s="1"/>
  <c r="L84" i="18"/>
  <c r="M84" i="18" s="1"/>
  <c r="N84" i="18" s="1"/>
  <c r="O84" i="18" s="1"/>
  <c r="P84" i="18" s="1"/>
  <c r="Q84" i="18" s="1"/>
  <c r="R84" i="18" s="1"/>
  <c r="S84" i="18" s="1"/>
  <c r="T84" i="18" s="1"/>
  <c r="U84" i="18" s="1"/>
  <c r="V84" i="18" s="1"/>
  <c r="W84" i="18" s="1"/>
  <c r="X84" i="18" s="1"/>
  <c r="Y84" i="18" s="1"/>
  <c r="Z84" i="18" s="1"/>
  <c r="L12" i="18"/>
  <c r="M12" i="18" s="1"/>
  <c r="N12" i="18" s="1"/>
  <c r="O12" i="18" s="1"/>
  <c r="P12" i="18" s="1"/>
  <c r="Q12" i="18" s="1"/>
  <c r="R12" i="18" s="1"/>
  <c r="S12" i="18" s="1"/>
  <c r="T12" i="18" s="1"/>
  <c r="U12" i="18" s="1"/>
  <c r="V12" i="18" s="1"/>
  <c r="W12" i="18" s="1"/>
  <c r="X12" i="18" s="1"/>
  <c r="Y12" i="18" s="1"/>
  <c r="Z12" i="18" s="1"/>
  <c r="L22" i="18"/>
  <c r="M22" i="18" s="1"/>
  <c r="N22" i="18" s="1"/>
  <c r="O22" i="18" s="1"/>
  <c r="P22" i="18" s="1"/>
  <c r="Q22" i="18" s="1"/>
  <c r="R22" i="18" s="1"/>
  <c r="S22" i="18" s="1"/>
  <c r="T22" i="18" s="1"/>
  <c r="U22" i="18" s="1"/>
  <c r="V22" i="18" s="1"/>
  <c r="W22" i="18" s="1"/>
  <c r="X22" i="18" s="1"/>
  <c r="Y22" i="18" s="1"/>
  <c r="Z22" i="18" s="1"/>
  <c r="L32" i="18"/>
  <c r="M32" i="18" s="1"/>
  <c r="N32" i="18" s="1"/>
  <c r="O32" i="18" s="1"/>
  <c r="P32" i="18" s="1"/>
  <c r="Q32" i="18" s="1"/>
  <c r="R32" i="18" s="1"/>
  <c r="S32" i="18" s="1"/>
  <c r="T32" i="18" s="1"/>
  <c r="U32" i="18" s="1"/>
  <c r="V32" i="18" s="1"/>
  <c r="W32" i="18" s="1"/>
  <c r="X32" i="18" s="1"/>
  <c r="Y32" i="18" s="1"/>
  <c r="Z32" i="18" s="1"/>
  <c r="L41" i="18"/>
  <c r="M41" i="18" s="1"/>
  <c r="N41" i="18" s="1"/>
  <c r="O41" i="18" s="1"/>
  <c r="P41" i="18" s="1"/>
  <c r="Q41" i="18" s="1"/>
  <c r="R41" i="18" s="1"/>
  <c r="S41" i="18" s="1"/>
  <c r="T41" i="18" s="1"/>
  <c r="U41" i="18" s="1"/>
  <c r="V41" i="18" s="1"/>
  <c r="W41" i="18" s="1"/>
  <c r="X41" i="18" s="1"/>
  <c r="Y41" i="18" s="1"/>
  <c r="Z41" i="18" s="1"/>
  <c r="L49" i="18"/>
  <c r="M49" i="18" s="1"/>
  <c r="N49" i="18" s="1"/>
  <c r="O49" i="18" s="1"/>
  <c r="P49" i="18" s="1"/>
  <c r="Q49" i="18" s="1"/>
  <c r="R49" i="18" s="1"/>
  <c r="S49" i="18" s="1"/>
  <c r="T49" i="18" s="1"/>
  <c r="U49" i="18" s="1"/>
  <c r="V49" i="18" s="1"/>
  <c r="W49" i="18" s="1"/>
  <c r="X49" i="18" s="1"/>
  <c r="Y49" i="18" s="1"/>
  <c r="Z49" i="18" s="1"/>
  <c r="L16" i="18"/>
  <c r="M16" i="18" s="1"/>
  <c r="N16" i="18" s="1"/>
  <c r="O16" i="18" s="1"/>
  <c r="P16" i="18" s="1"/>
  <c r="Q16" i="18" s="1"/>
  <c r="R16" i="18" s="1"/>
  <c r="S16" i="18" s="1"/>
  <c r="T16" i="18" s="1"/>
  <c r="U16" i="18" s="1"/>
  <c r="V16" i="18" s="1"/>
  <c r="W16" i="18" s="1"/>
  <c r="X16" i="18" s="1"/>
  <c r="Y16" i="18" s="1"/>
  <c r="Z16" i="18" s="1"/>
  <c r="L37" i="18"/>
  <c r="M37" i="18" s="1"/>
  <c r="N37" i="18" s="1"/>
  <c r="O37" i="18" s="1"/>
  <c r="P37" i="18" s="1"/>
  <c r="Q37" i="18" s="1"/>
  <c r="R37" i="18" s="1"/>
  <c r="S37" i="18" s="1"/>
  <c r="T37" i="18" s="1"/>
  <c r="U37" i="18" s="1"/>
  <c r="V37" i="18" s="1"/>
  <c r="W37" i="18" s="1"/>
  <c r="X37" i="18" s="1"/>
  <c r="Y37" i="18" s="1"/>
  <c r="Z37" i="18" s="1"/>
  <c r="L54" i="18"/>
  <c r="M54" i="18" s="1"/>
  <c r="N54" i="18" s="1"/>
  <c r="O54" i="18" s="1"/>
  <c r="P54" i="18" s="1"/>
  <c r="Q54" i="18" s="1"/>
  <c r="R54" i="18" s="1"/>
  <c r="S54" i="18" s="1"/>
  <c r="T54" i="18" s="1"/>
  <c r="U54" i="18" s="1"/>
  <c r="V54" i="18" s="1"/>
  <c r="W54" i="18" s="1"/>
  <c r="X54" i="18" s="1"/>
  <c r="Y54" i="18" s="1"/>
  <c r="Z54" i="18" s="1"/>
  <c r="L21" i="18"/>
  <c r="M21" i="18" s="1"/>
  <c r="N21" i="18" s="1"/>
  <c r="O21" i="18" s="1"/>
  <c r="P21" i="18" s="1"/>
  <c r="Q21" i="18" s="1"/>
  <c r="R21" i="18" s="1"/>
  <c r="S21" i="18" s="1"/>
  <c r="T21" i="18" s="1"/>
  <c r="U21" i="18" s="1"/>
  <c r="V21" i="18" s="1"/>
  <c r="W21" i="18" s="1"/>
  <c r="X21" i="18" s="1"/>
  <c r="Y21" i="18" s="1"/>
  <c r="Z21" i="18" s="1"/>
  <c r="L31" i="18"/>
  <c r="M31" i="18" s="1"/>
  <c r="N31" i="18" s="1"/>
  <c r="O31" i="18" s="1"/>
  <c r="P31" i="18" s="1"/>
  <c r="Q31" i="18" s="1"/>
  <c r="R31" i="18" s="1"/>
  <c r="S31" i="18" s="1"/>
  <c r="T31" i="18" s="1"/>
  <c r="U31" i="18" s="1"/>
  <c r="V31" i="18" s="1"/>
  <c r="W31" i="18" s="1"/>
  <c r="X31" i="18" s="1"/>
  <c r="Y31" i="18" s="1"/>
  <c r="Z31" i="18" s="1"/>
  <c r="L40" i="18"/>
  <c r="M40" i="18" s="1"/>
  <c r="N40" i="18" s="1"/>
  <c r="O40" i="18" s="1"/>
  <c r="P40" i="18" s="1"/>
  <c r="Q40" i="18" s="1"/>
  <c r="R40" i="18" s="1"/>
  <c r="S40" i="18" s="1"/>
  <c r="T40" i="18" s="1"/>
  <c r="U40" i="18" s="1"/>
  <c r="V40" i="18" s="1"/>
  <c r="W40" i="18" s="1"/>
  <c r="X40" i="18" s="1"/>
  <c r="Y40" i="18" s="1"/>
  <c r="Z40" i="18" s="1"/>
  <c r="L57" i="18"/>
  <c r="M57" i="18" s="1"/>
  <c r="N57" i="18" s="1"/>
  <c r="O57" i="18" s="1"/>
  <c r="P57" i="18" s="1"/>
  <c r="Q57" i="18" s="1"/>
  <c r="R57" i="18" s="1"/>
  <c r="S57" i="18" s="1"/>
  <c r="T57" i="18" s="1"/>
  <c r="U57" i="18" s="1"/>
  <c r="V57" i="18" s="1"/>
  <c r="W57" i="18" s="1"/>
  <c r="X57" i="18" s="1"/>
  <c r="Y57" i="18" s="1"/>
  <c r="Z57" i="18" s="1"/>
  <c r="L23" i="18"/>
  <c r="M23" i="18" s="1"/>
  <c r="N23" i="18" s="1"/>
  <c r="O23" i="18" s="1"/>
  <c r="P23" i="18" s="1"/>
  <c r="Q23" i="18" s="1"/>
  <c r="R23" i="18" s="1"/>
  <c r="S23" i="18" s="1"/>
  <c r="T23" i="18" s="1"/>
  <c r="U23" i="18" s="1"/>
  <c r="V23" i="18" s="1"/>
  <c r="W23" i="18" s="1"/>
  <c r="X23" i="18" s="1"/>
  <c r="Y23" i="18" s="1"/>
  <c r="Z23" i="18" s="1"/>
  <c r="L33" i="18"/>
  <c r="M33" i="18" s="1"/>
  <c r="N33" i="18" s="1"/>
  <c r="O33" i="18" s="1"/>
  <c r="P33" i="18" s="1"/>
  <c r="Q33" i="18" s="1"/>
  <c r="R33" i="18" s="1"/>
  <c r="S33" i="18" s="1"/>
  <c r="T33" i="18" s="1"/>
  <c r="U33" i="18" s="1"/>
  <c r="V33" i="18" s="1"/>
  <c r="W33" i="18" s="1"/>
  <c r="X33" i="18" s="1"/>
  <c r="Y33" i="18" s="1"/>
  <c r="Z33" i="18" s="1"/>
  <c r="L42" i="18"/>
  <c r="M42" i="18" s="1"/>
  <c r="N42" i="18" s="1"/>
  <c r="O42" i="18" s="1"/>
  <c r="P42" i="18" s="1"/>
  <c r="Q42" i="18" s="1"/>
  <c r="R42" i="18" s="1"/>
  <c r="S42" i="18" s="1"/>
  <c r="T42" i="18" s="1"/>
  <c r="U42" i="18" s="1"/>
  <c r="V42" i="18" s="1"/>
  <c r="W42" i="18" s="1"/>
  <c r="X42" i="18" s="1"/>
  <c r="Y42" i="18" s="1"/>
  <c r="Z42" i="18" s="1"/>
  <c r="L50" i="18"/>
  <c r="M50" i="18" s="1"/>
  <c r="N50" i="18" s="1"/>
  <c r="O50" i="18" s="1"/>
  <c r="P50" i="18" s="1"/>
  <c r="Q50" i="18" s="1"/>
  <c r="R50" i="18" s="1"/>
  <c r="S50" i="18" s="1"/>
  <c r="T50" i="18" s="1"/>
  <c r="U50" i="18" s="1"/>
  <c r="V50" i="18" s="1"/>
  <c r="W50" i="18" s="1"/>
  <c r="X50" i="18" s="1"/>
  <c r="Y50" i="18" s="1"/>
  <c r="Z50" i="18" s="1"/>
  <c r="L29" i="18"/>
  <c r="M29" i="18" s="1"/>
  <c r="N29" i="18" s="1"/>
  <c r="O29" i="18" s="1"/>
  <c r="P29" i="18" s="1"/>
  <c r="Q29" i="18" s="1"/>
  <c r="R29" i="18" s="1"/>
  <c r="S29" i="18" s="1"/>
  <c r="T29" i="18" s="1"/>
  <c r="U29" i="18" s="1"/>
  <c r="V29" i="18" s="1"/>
  <c r="W29" i="18" s="1"/>
  <c r="X29" i="18" s="1"/>
  <c r="Y29" i="18" s="1"/>
  <c r="Z29" i="18" s="1"/>
  <c r="L38" i="18"/>
  <c r="M38" i="18" s="1"/>
  <c r="N38" i="18" s="1"/>
  <c r="O38" i="18" s="1"/>
  <c r="P38" i="18" s="1"/>
  <c r="Q38" i="18" s="1"/>
  <c r="R38" i="18" s="1"/>
  <c r="S38" i="18" s="1"/>
  <c r="T38" i="18" s="1"/>
  <c r="U38" i="18" s="1"/>
  <c r="V38" i="18" s="1"/>
  <c r="W38" i="18" s="1"/>
  <c r="X38" i="18" s="1"/>
  <c r="Y38" i="18" s="1"/>
  <c r="Z38" i="18" s="1"/>
  <c r="L24" i="18"/>
  <c r="M24" i="18" s="1"/>
  <c r="N24" i="18" s="1"/>
  <c r="O24" i="18" s="1"/>
  <c r="P24" i="18" s="1"/>
  <c r="Q24" i="18" s="1"/>
  <c r="R24" i="18" s="1"/>
  <c r="S24" i="18" s="1"/>
  <c r="T24" i="18" s="1"/>
  <c r="U24" i="18" s="1"/>
  <c r="V24" i="18" s="1"/>
  <c r="W24" i="18" s="1"/>
  <c r="X24" i="18" s="1"/>
  <c r="Y24" i="18" s="1"/>
  <c r="Z24" i="18" s="1"/>
  <c r="L34" i="18"/>
  <c r="M34" i="18" s="1"/>
  <c r="N34" i="18" s="1"/>
  <c r="O34" i="18" s="1"/>
  <c r="P34" i="18" s="1"/>
  <c r="Q34" i="18" s="1"/>
  <c r="R34" i="18" s="1"/>
  <c r="S34" i="18" s="1"/>
  <c r="T34" i="18" s="1"/>
  <c r="U34" i="18" s="1"/>
  <c r="V34" i="18" s="1"/>
  <c r="W34" i="18" s="1"/>
  <c r="X34" i="18" s="1"/>
  <c r="Y34" i="18" s="1"/>
  <c r="Z34" i="18" s="1"/>
  <c r="L52" i="18"/>
  <c r="M52" i="18" s="1"/>
  <c r="N52" i="18" s="1"/>
  <c r="O52" i="18" s="1"/>
  <c r="P52" i="18" s="1"/>
  <c r="Q52" i="18" s="1"/>
  <c r="R52" i="18" s="1"/>
  <c r="S52" i="18" s="1"/>
  <c r="T52" i="18" s="1"/>
  <c r="U52" i="18" s="1"/>
  <c r="V52" i="18" s="1"/>
  <c r="W52" i="18" s="1"/>
  <c r="X52" i="18" s="1"/>
  <c r="Y52" i="18" s="1"/>
  <c r="Z52" i="18" s="1"/>
  <c r="L19" i="18"/>
  <c r="M19" i="18" s="1"/>
  <c r="N19" i="18" s="1"/>
  <c r="O19" i="18" s="1"/>
  <c r="P19" i="18" s="1"/>
  <c r="Q19" i="18" s="1"/>
  <c r="R19" i="18" s="1"/>
  <c r="S19" i="18" s="1"/>
  <c r="T19" i="18" s="1"/>
  <c r="U19" i="18" s="1"/>
  <c r="V19" i="18" s="1"/>
  <c r="W19" i="18" s="1"/>
  <c r="X19" i="18" s="1"/>
  <c r="Y19" i="18" s="1"/>
  <c r="Z19" i="18" s="1"/>
  <c r="L79" i="18"/>
  <c r="M79" i="18" s="1"/>
  <c r="N79" i="18" s="1"/>
  <c r="O79" i="18" s="1"/>
  <c r="P79" i="18" s="1"/>
  <c r="Q79" i="18" s="1"/>
  <c r="R79" i="18" s="1"/>
  <c r="S79" i="18" s="1"/>
  <c r="T79" i="18" s="1"/>
  <c r="U79" i="18" s="1"/>
  <c r="V79" i="18" s="1"/>
  <c r="W79" i="18" s="1"/>
  <c r="X79" i="18" s="1"/>
  <c r="Y79" i="18" s="1"/>
  <c r="Z79" i="18" s="1"/>
  <c r="L87" i="18"/>
  <c r="M87" i="18" s="1"/>
  <c r="N87" i="18" s="1"/>
  <c r="O87" i="18" s="1"/>
  <c r="P87" i="18" s="1"/>
  <c r="Q87" i="18" s="1"/>
  <c r="R87" i="18" s="1"/>
  <c r="S87" i="18" s="1"/>
  <c r="T87" i="18" s="1"/>
  <c r="U87" i="18" s="1"/>
  <c r="V87" i="18" s="1"/>
  <c r="W87" i="18" s="1"/>
  <c r="X87" i="18" s="1"/>
  <c r="Y87" i="18" s="1"/>
  <c r="Z87" i="18" s="1"/>
  <c r="L17" i="18"/>
  <c r="M17" i="18" s="1"/>
  <c r="N17" i="18" s="1"/>
  <c r="O17" i="18" s="1"/>
  <c r="P17" i="18" s="1"/>
  <c r="Q17" i="18" s="1"/>
  <c r="R17" i="18" s="1"/>
  <c r="S17" i="18" s="1"/>
  <c r="T17" i="18" s="1"/>
  <c r="U17" i="18" s="1"/>
  <c r="V17" i="18" s="1"/>
  <c r="W17" i="18" s="1"/>
  <c r="X17" i="18" s="1"/>
  <c r="Y17" i="18" s="1"/>
  <c r="Z17" i="18" s="1"/>
  <c r="L55" i="18"/>
  <c r="M55" i="18" s="1"/>
  <c r="N55" i="18" s="1"/>
  <c r="O55" i="18" s="1"/>
  <c r="P55" i="18" s="1"/>
  <c r="Q55" i="18" s="1"/>
  <c r="R55" i="18" s="1"/>
  <c r="S55" i="18" s="1"/>
  <c r="T55" i="18" s="1"/>
  <c r="U55" i="18" s="1"/>
  <c r="V55" i="18" s="1"/>
  <c r="W55" i="18" s="1"/>
  <c r="X55" i="18" s="1"/>
  <c r="Y55" i="18" s="1"/>
  <c r="Z55" i="18" s="1"/>
  <c r="L15" i="18"/>
  <c r="M15" i="18" s="1"/>
  <c r="N15" i="18" s="1"/>
  <c r="O15" i="18" s="1"/>
  <c r="P15" i="18" s="1"/>
  <c r="Q15" i="18" s="1"/>
  <c r="R15" i="18" s="1"/>
  <c r="S15" i="18" s="1"/>
  <c r="T15" i="18" s="1"/>
  <c r="U15" i="18" s="1"/>
  <c r="V15" i="18" s="1"/>
  <c r="W15" i="18" s="1"/>
  <c r="X15" i="18" s="1"/>
  <c r="Y15" i="18" s="1"/>
  <c r="Z15" i="18" s="1"/>
  <c r="L25" i="18"/>
  <c r="M25" i="18" s="1"/>
  <c r="N25" i="18" s="1"/>
  <c r="O25" i="18" s="1"/>
  <c r="P25" i="18" s="1"/>
  <c r="Q25" i="18" s="1"/>
  <c r="R25" i="18" s="1"/>
  <c r="S25" i="18" s="1"/>
  <c r="T25" i="18" s="1"/>
  <c r="U25" i="18" s="1"/>
  <c r="V25" i="18" s="1"/>
  <c r="W25" i="18" s="1"/>
  <c r="X25" i="18" s="1"/>
  <c r="Y25" i="18" s="1"/>
  <c r="Z25" i="18" s="1"/>
  <c r="L36" i="18"/>
  <c r="M36" i="18" s="1"/>
  <c r="N36" i="18" s="1"/>
  <c r="O36" i="18" s="1"/>
  <c r="P36" i="18" s="1"/>
  <c r="Q36" i="18" s="1"/>
  <c r="R36" i="18" s="1"/>
  <c r="S36" i="18" s="1"/>
  <c r="T36" i="18" s="1"/>
  <c r="U36" i="18" s="1"/>
  <c r="V36" i="18" s="1"/>
  <c r="W36" i="18" s="1"/>
  <c r="X36" i="18" s="1"/>
  <c r="Y36" i="18" s="1"/>
  <c r="Z36" i="18" s="1"/>
  <c r="L53" i="18"/>
  <c r="M53" i="18" s="1"/>
  <c r="N53" i="18" s="1"/>
  <c r="O53" i="18" s="1"/>
  <c r="P53" i="18" s="1"/>
  <c r="Q53" i="18" s="1"/>
  <c r="R53" i="18" s="1"/>
  <c r="S53" i="18" s="1"/>
  <c r="T53" i="18" s="1"/>
  <c r="U53" i="18" s="1"/>
  <c r="V53" i="18" s="1"/>
  <c r="W53" i="18" s="1"/>
  <c r="X53" i="18" s="1"/>
  <c r="Y53" i="18" s="1"/>
  <c r="Z53" i="18" s="1"/>
  <c r="L30" i="18"/>
  <c r="M30" i="18" s="1"/>
  <c r="N30" i="18" s="1"/>
  <c r="O30" i="18" s="1"/>
  <c r="P30" i="18" s="1"/>
  <c r="Q30" i="18" s="1"/>
  <c r="R30" i="18" s="1"/>
  <c r="S30" i="18" s="1"/>
  <c r="T30" i="18" s="1"/>
  <c r="U30" i="18" s="1"/>
  <c r="V30" i="18" s="1"/>
  <c r="W30" i="18" s="1"/>
  <c r="X30" i="18" s="1"/>
  <c r="Y30" i="18" s="1"/>
  <c r="Z30" i="18" s="1"/>
  <c r="L78" i="18"/>
  <c r="M78" i="18" s="1"/>
  <c r="N78" i="18" s="1"/>
  <c r="O78" i="18" s="1"/>
  <c r="P78" i="18" s="1"/>
  <c r="Q78" i="18" s="1"/>
  <c r="R78" i="18" s="1"/>
  <c r="S78" i="18" s="1"/>
  <c r="T78" i="18" s="1"/>
  <c r="U78" i="18" s="1"/>
  <c r="V78" i="18" s="1"/>
  <c r="W78" i="18" s="1"/>
  <c r="X78" i="18" s="1"/>
  <c r="Y78" i="18" s="1"/>
  <c r="Z78" i="18" s="1"/>
  <c r="F194" i="7"/>
  <c r="H4" i="9"/>
  <c r="H33" i="9"/>
  <c r="D119" i="19"/>
  <c r="K83" i="18"/>
  <c r="K86" i="18"/>
  <c r="C14" i="18"/>
  <c r="G14" i="18" s="1"/>
  <c r="G15" i="18" s="1"/>
  <c r="C4" i="18"/>
  <c r="C9" i="18"/>
  <c r="C8" i="18"/>
  <c r="I26" i="18"/>
  <c r="I59" i="18"/>
  <c r="M151" i="7"/>
  <c r="D60" i="7"/>
  <c r="H60" i="7"/>
  <c r="I89" i="2"/>
  <c r="F179" i="20"/>
  <c r="L151" i="7"/>
  <c r="D63" i="7"/>
  <c r="H63" i="7"/>
  <c r="H62" i="7"/>
  <c r="H181" i="21"/>
  <c r="E180" i="21"/>
  <c r="F177" i="21"/>
  <c r="D61" i="7"/>
  <c r="H61" i="7"/>
  <c r="F60" i="7"/>
  <c r="D177" i="20"/>
  <c r="N181" i="21"/>
  <c r="F181" i="21"/>
  <c r="F63" i="7"/>
  <c r="F62" i="7"/>
  <c r="C178" i="20"/>
  <c r="N151" i="7"/>
  <c r="F61" i="7"/>
  <c r="D34" i="12"/>
  <c r="B31" i="10"/>
  <c r="D123" i="12"/>
  <c r="D153" i="12" s="1"/>
  <c r="B85" i="10"/>
  <c r="D60" i="12"/>
  <c r="D62" i="12"/>
  <c r="G60" i="1"/>
  <c r="G64" i="1" s="1"/>
  <c r="D2" i="21"/>
  <c r="C11" i="22"/>
  <c r="H60" i="1"/>
  <c r="H65" i="1" s="1"/>
  <c r="H33" i="1"/>
  <c r="F37" i="10"/>
  <c r="D35" i="12"/>
  <c r="D61" i="12"/>
  <c r="D33" i="12"/>
  <c r="E80" i="10"/>
  <c r="E40" i="10"/>
  <c r="E72" i="10"/>
  <c r="D63" i="12"/>
  <c r="E48" i="10"/>
  <c r="E64" i="10"/>
  <c r="F68" i="10"/>
  <c r="E45" i="10"/>
  <c r="E37" i="10"/>
  <c r="E79" i="10"/>
  <c r="E71" i="10"/>
  <c r="E63" i="10"/>
  <c r="E50" i="10"/>
  <c r="E42" i="10"/>
  <c r="F39" i="10"/>
  <c r="E78" i="10"/>
  <c r="E70" i="10"/>
  <c r="E62" i="10"/>
  <c r="F62" i="10"/>
  <c r="D81" i="10"/>
  <c r="E47" i="10"/>
  <c r="E39" i="10"/>
  <c r="F36" i="10"/>
  <c r="F63" i="10"/>
  <c r="E81" i="10"/>
  <c r="E52" i="10"/>
  <c r="E44" i="10"/>
  <c r="E36" i="10"/>
  <c r="E76" i="10"/>
  <c r="E68" i="10"/>
  <c r="F38" i="10"/>
  <c r="E46" i="10"/>
  <c r="E38" i="10"/>
  <c r="F35" i="10"/>
  <c r="F66" i="10"/>
  <c r="F40" i="10"/>
  <c r="D197" i="7"/>
  <c r="G194" i="7" s="1"/>
  <c r="C177" i="20"/>
  <c r="C3" i="21"/>
  <c r="D3" i="21" s="1"/>
  <c r="E3" i="21" s="1"/>
  <c r="F3" i="21" s="1"/>
  <c r="G3" i="21" s="1"/>
  <c r="H3" i="21" s="1"/>
  <c r="I3" i="21" s="1"/>
  <c r="J3" i="21" s="1"/>
  <c r="K3" i="21" s="1"/>
  <c r="L3" i="21" s="1"/>
  <c r="M3" i="21" s="1"/>
  <c r="N3" i="21" s="1"/>
  <c r="O3" i="21" s="1"/>
  <c r="P3" i="21" s="1"/>
  <c r="R3" i="21" s="1"/>
  <c r="S3" i="21" s="1"/>
  <c r="T3" i="21" s="1"/>
  <c r="U3" i="21" s="1"/>
  <c r="U6" i="12"/>
  <c r="E178" i="21"/>
  <c r="J182" i="21"/>
  <c r="C182" i="20"/>
  <c r="C179" i="20"/>
  <c r="F178" i="20"/>
  <c r="K80" i="18"/>
  <c r="W108" i="19"/>
  <c r="S15" i="22" s="1"/>
  <c r="E4" i="18"/>
  <c r="E53" i="18"/>
  <c r="C10" i="18"/>
  <c r="G10" i="18" s="1"/>
  <c r="E35" i="18"/>
  <c r="K81" i="18"/>
  <c r="E7" i="18"/>
  <c r="E9" i="18" s="1"/>
  <c r="E44" i="18"/>
  <c r="E48" i="18" s="1"/>
  <c r="D115" i="19"/>
  <c r="E5" i="18"/>
  <c r="E76" i="18"/>
  <c r="E79" i="18" s="1"/>
  <c r="K85" i="18"/>
  <c r="D120" i="19"/>
  <c r="C5" i="18"/>
  <c r="E12" i="18"/>
  <c r="D113" i="19"/>
  <c r="C59" i="18"/>
  <c r="C10" i="19"/>
  <c r="D114" i="19"/>
  <c r="D123" i="19"/>
  <c r="E177" i="20"/>
  <c r="E182" i="20"/>
  <c r="D182" i="20"/>
  <c r="I179" i="20"/>
  <c r="D178" i="20"/>
  <c r="H179" i="20"/>
  <c r="G179" i="20"/>
  <c r="E179" i="20"/>
  <c r="G178" i="20"/>
  <c r="E177" i="21"/>
  <c r="L180" i="21"/>
  <c r="D180" i="21"/>
  <c r="E179" i="21"/>
  <c r="D178" i="21"/>
  <c r="F179" i="21"/>
  <c r="K180" i="21"/>
  <c r="C180" i="21"/>
  <c r="D179" i="21"/>
  <c r="C178" i="21"/>
  <c r="D177" i="21"/>
  <c r="M181" i="21"/>
  <c r="E181" i="21"/>
  <c r="C179" i="21"/>
  <c r="C177" i="21"/>
  <c r="L181" i="21"/>
  <c r="D181" i="21"/>
  <c r="I180" i="21"/>
  <c r="J179" i="21"/>
  <c r="K181" i="21"/>
  <c r="H180" i="21"/>
  <c r="I179" i="21"/>
  <c r="H178" i="21"/>
  <c r="J181" i="21"/>
  <c r="G180" i="21"/>
  <c r="H179" i="21"/>
  <c r="G178" i="21"/>
  <c r="I181" i="21"/>
  <c r="G179" i="21"/>
  <c r="F178" i="21"/>
  <c r="H89" i="2"/>
  <c r="D32" i="12"/>
  <c r="U32" i="12" s="1"/>
  <c r="U7" i="12"/>
  <c r="U4" i="12"/>
  <c r="H12" i="9"/>
  <c r="U5" i="12"/>
  <c r="K79" i="2"/>
  <c r="K89" i="2" s="1"/>
  <c r="H19" i="9"/>
  <c r="H11" i="9"/>
  <c r="H61" i="9"/>
  <c r="H78" i="9"/>
  <c r="H94" i="9"/>
  <c r="H26" i="9"/>
  <c r="H22" i="9"/>
  <c r="H18" i="9"/>
  <c r="H14" i="9"/>
  <c r="H10" i="9"/>
  <c r="H6" i="9"/>
  <c r="H55" i="9"/>
  <c r="H51" i="9"/>
  <c r="H47" i="9"/>
  <c r="H43" i="9"/>
  <c r="H39" i="9"/>
  <c r="H35" i="9"/>
  <c r="H70" i="9"/>
  <c r="H110" i="9"/>
  <c r="H102" i="9"/>
  <c r="H23" i="9"/>
  <c r="H15" i="9"/>
  <c r="H7" i="9"/>
  <c r="H52" i="9"/>
  <c r="H48" i="9"/>
  <c r="H44" i="9"/>
  <c r="H40" i="9"/>
  <c r="H36" i="9"/>
  <c r="H89" i="9"/>
  <c r="H24" i="9"/>
  <c r="H20" i="9"/>
  <c r="H16" i="9"/>
  <c r="H8" i="9"/>
  <c r="H53" i="9"/>
  <c r="H49" i="9"/>
  <c r="H45" i="9"/>
  <c r="H41" i="9"/>
  <c r="H37" i="9"/>
  <c r="H68" i="9"/>
  <c r="H64" i="9"/>
  <c r="H25" i="9"/>
  <c r="H21" i="9"/>
  <c r="H17" i="9"/>
  <c r="H13" i="9"/>
  <c r="H9" i="9"/>
  <c r="H5" i="9"/>
  <c r="H54" i="9"/>
  <c r="H50" i="9"/>
  <c r="H46" i="9"/>
  <c r="H42" i="9"/>
  <c r="H38" i="9"/>
  <c r="H34" i="9"/>
  <c r="H77" i="9"/>
  <c r="H74" i="9"/>
  <c r="H73" i="9"/>
  <c r="H69" i="9"/>
  <c r="H62" i="9"/>
  <c r="H107" i="9"/>
  <c r="H79" i="9"/>
  <c r="H66" i="9"/>
  <c r="H65" i="9"/>
  <c r="H99" i="9"/>
  <c r="H95" i="9"/>
  <c r="H108" i="9"/>
  <c r="H104" i="9"/>
  <c r="H91" i="9"/>
  <c r="H80" i="9"/>
  <c r="H75" i="9"/>
  <c r="H71" i="9"/>
  <c r="H105" i="9"/>
  <c r="H100" i="9"/>
  <c r="H96" i="9"/>
  <c r="H109" i="9"/>
  <c r="H106" i="9"/>
  <c r="H97" i="9"/>
  <c r="H92" i="9"/>
  <c r="H82" i="9"/>
  <c r="H81" i="9"/>
  <c r="H76" i="9"/>
  <c r="H72" i="9"/>
  <c r="H67" i="9"/>
  <c r="H63" i="9"/>
  <c r="H111" i="9"/>
  <c r="H101" i="9"/>
  <c r="H98" i="9"/>
  <c r="H83" i="9"/>
  <c r="H103" i="9"/>
  <c r="H93" i="9"/>
  <c r="H90" i="9"/>
  <c r="U37" i="21"/>
  <c r="U46" i="21" s="1"/>
  <c r="U55" i="21" s="1"/>
  <c r="U64" i="21" s="1"/>
  <c r="U73" i="21" s="1"/>
  <c r="U82" i="21" s="1"/>
  <c r="U91" i="21" s="1"/>
  <c r="U100" i="21" s="1"/>
  <c r="U109" i="21" s="1"/>
  <c r="U118" i="21" s="1"/>
  <c r="U127" i="21" s="1"/>
  <c r="U136" i="21" s="1"/>
  <c r="U145" i="21" s="1"/>
  <c r="U154" i="21" s="1"/>
  <c r="U163" i="21" s="1"/>
  <c r="U173" i="21" s="1"/>
  <c r="T73" i="21"/>
  <c r="T82" i="21" s="1"/>
  <c r="T91" i="21" s="1"/>
  <c r="T100" i="21" s="1"/>
  <c r="T109" i="21" s="1"/>
  <c r="T118" i="21" s="1"/>
  <c r="T127" i="21" s="1"/>
  <c r="T136" i="21" s="1"/>
  <c r="T145" i="21" s="1"/>
  <c r="T154" i="21" s="1"/>
  <c r="T163" i="21" s="1"/>
  <c r="T173" i="21" s="1"/>
  <c r="F116" i="20"/>
  <c r="F180" i="20" s="1"/>
  <c r="J116" i="20"/>
  <c r="J180" i="20" s="1"/>
  <c r="H116" i="20"/>
  <c r="H180" i="20" s="1"/>
  <c r="L116" i="20"/>
  <c r="D116" i="20"/>
  <c r="D180" i="20" s="1"/>
  <c r="K125" i="20"/>
  <c r="G125" i="20"/>
  <c r="F125" i="20"/>
  <c r="I125" i="20"/>
  <c r="G116" i="20"/>
  <c r="G180" i="20" s="1"/>
  <c r="I116" i="20"/>
  <c r="I180" i="20" s="1"/>
  <c r="E116" i="20"/>
  <c r="E180" i="20" s="1"/>
  <c r="E125" i="20"/>
  <c r="K116" i="20"/>
  <c r="K180" i="20" s="1"/>
  <c r="C116" i="20"/>
  <c r="C180" i="20" s="1"/>
  <c r="M125" i="20"/>
  <c r="E24" i="18"/>
  <c r="E23" i="18"/>
  <c r="E25" i="18"/>
  <c r="E22" i="18"/>
  <c r="E57" i="18"/>
  <c r="E56" i="18"/>
  <c r="E55" i="18"/>
  <c r="E54" i="18"/>
  <c r="C20" i="18"/>
  <c r="G20" i="18" s="1"/>
  <c r="C79" i="18"/>
  <c r="C81" i="18"/>
  <c r="C78" i="18"/>
  <c r="C80" i="18"/>
  <c r="C77" i="18"/>
  <c r="E87" i="18"/>
  <c r="G87" i="18" s="1"/>
  <c r="C16" i="21" s="1"/>
  <c r="D16" i="21" s="1"/>
  <c r="E16" i="21" s="1"/>
  <c r="F16" i="21" s="1"/>
  <c r="G16" i="21" s="1"/>
  <c r="H16" i="21" s="1"/>
  <c r="I16" i="21" s="1"/>
  <c r="J16" i="21" s="1"/>
  <c r="K16" i="21" s="1"/>
  <c r="L16" i="21" s="1"/>
  <c r="M16" i="21" s="1"/>
  <c r="N16" i="21" s="1"/>
  <c r="O16" i="21" s="1"/>
  <c r="P16" i="21" s="1"/>
  <c r="Q16" i="21" s="1"/>
  <c r="E84" i="18"/>
  <c r="E86" i="18"/>
  <c r="E83" i="18"/>
  <c r="E85" i="18"/>
  <c r="E14" i="18"/>
  <c r="E59" i="18"/>
  <c r="E47" i="18" l="1"/>
  <c r="D11" i="20"/>
  <c r="E20" i="20"/>
  <c r="F29" i="20" s="1"/>
  <c r="G57" i="18"/>
  <c r="I57" i="18" s="1"/>
  <c r="T15" i="20"/>
  <c r="U24" i="20"/>
  <c r="G11" i="18"/>
  <c r="I11" i="18" s="1"/>
  <c r="G12" i="18"/>
  <c r="I12" i="18" s="1"/>
  <c r="G52" i="18"/>
  <c r="I52" i="18" s="1"/>
  <c r="G54" i="18"/>
  <c r="I54" i="18" s="1"/>
  <c r="G56" i="18"/>
  <c r="I56" i="18" s="1"/>
  <c r="G53" i="18"/>
  <c r="I53" i="18" s="1"/>
  <c r="G55" i="18"/>
  <c r="I55" i="18" s="1"/>
  <c r="G45" i="18"/>
  <c r="I45" i="18" s="1"/>
  <c r="G49" i="18"/>
  <c r="I49" i="18" s="1"/>
  <c r="G47" i="18"/>
  <c r="G46" i="18"/>
  <c r="I46" i="18" s="1"/>
  <c r="G48" i="18"/>
  <c r="I48" i="18" s="1"/>
  <c r="G21" i="18"/>
  <c r="I21" i="18" s="1"/>
  <c r="G22" i="18"/>
  <c r="I22" i="18" s="1"/>
  <c r="G23" i="18"/>
  <c r="I23" i="18" s="1"/>
  <c r="G24" i="18"/>
  <c r="I24" i="18" s="1"/>
  <c r="G16" i="18"/>
  <c r="I16" i="18" s="1"/>
  <c r="G17" i="18"/>
  <c r="I17" i="18" s="1"/>
  <c r="G18" i="18"/>
  <c r="I18" i="18" s="1"/>
  <c r="B169" i="20"/>
  <c r="D15" i="20"/>
  <c r="D4" i="20"/>
  <c r="E4" i="20" s="1"/>
  <c r="F4" i="20" s="1"/>
  <c r="G4" i="20" s="1"/>
  <c r="H4" i="20" s="1"/>
  <c r="I4" i="20" s="1"/>
  <c r="J4" i="20" s="1"/>
  <c r="K4" i="20" s="1"/>
  <c r="L4" i="20" s="1"/>
  <c r="M4" i="20" s="1"/>
  <c r="N4" i="20" s="1"/>
  <c r="O4" i="20" s="1"/>
  <c r="P4" i="20" s="1"/>
  <c r="Q4" i="20" s="1"/>
  <c r="R4" i="20" s="1"/>
  <c r="S4" i="20" s="1"/>
  <c r="T4" i="20" s="1"/>
  <c r="U4" i="20" s="1"/>
  <c r="D13" i="20"/>
  <c r="E13" i="20" s="1"/>
  <c r="F13" i="20" s="1"/>
  <c r="G13" i="20" s="1"/>
  <c r="H13" i="20" s="1"/>
  <c r="I13" i="20" s="1"/>
  <c r="J13" i="20" s="1"/>
  <c r="K13" i="20" s="1"/>
  <c r="L13" i="20" s="1"/>
  <c r="M13" i="20" s="1"/>
  <c r="N13" i="20" s="1"/>
  <c r="O13" i="20" s="1"/>
  <c r="P13" i="20" s="1"/>
  <c r="Q13" i="20" s="1"/>
  <c r="R13" i="20" s="1"/>
  <c r="S13" i="20" s="1"/>
  <c r="T13" i="20" s="1"/>
  <c r="U13" i="20" s="1"/>
  <c r="B166" i="20"/>
  <c r="B165" i="20"/>
  <c r="C40" i="19"/>
  <c r="C101" i="19"/>
  <c r="C33" i="19"/>
  <c r="C94" i="19"/>
  <c r="H38" i="1"/>
  <c r="H37" i="1"/>
  <c r="C52" i="19"/>
  <c r="F52" i="19" s="1"/>
  <c r="G52" i="19" s="1"/>
  <c r="H52" i="19" s="1"/>
  <c r="I52" i="19" s="1"/>
  <c r="J52" i="19" s="1"/>
  <c r="K52" i="19" s="1"/>
  <c r="L52" i="19" s="1"/>
  <c r="M52" i="19" s="1"/>
  <c r="N52" i="19" s="1"/>
  <c r="O52" i="19" s="1"/>
  <c r="P52" i="19" s="1"/>
  <c r="Q52" i="19" s="1"/>
  <c r="R52" i="19" s="1"/>
  <c r="S52" i="19" s="1"/>
  <c r="T52" i="19" s="1"/>
  <c r="C113" i="19"/>
  <c r="C55" i="19"/>
  <c r="F55" i="19" s="1"/>
  <c r="G55" i="19" s="1"/>
  <c r="H55" i="19" s="1"/>
  <c r="I55" i="19" s="1"/>
  <c r="J55" i="19" s="1"/>
  <c r="K55" i="19" s="1"/>
  <c r="L55" i="19" s="1"/>
  <c r="M55" i="19" s="1"/>
  <c r="N55" i="19" s="1"/>
  <c r="O55" i="19" s="1"/>
  <c r="P55" i="19" s="1"/>
  <c r="Q55" i="19" s="1"/>
  <c r="R55" i="19" s="1"/>
  <c r="S55" i="19" s="1"/>
  <c r="T55" i="19" s="1"/>
  <c r="C116" i="19"/>
  <c r="C53" i="19"/>
  <c r="F53" i="19" s="1"/>
  <c r="G53" i="19" s="1"/>
  <c r="H53" i="19" s="1"/>
  <c r="I53" i="19" s="1"/>
  <c r="J53" i="19" s="1"/>
  <c r="K53" i="19" s="1"/>
  <c r="L53" i="19" s="1"/>
  <c r="M53" i="19" s="1"/>
  <c r="N53" i="19" s="1"/>
  <c r="O53" i="19" s="1"/>
  <c r="P53" i="19" s="1"/>
  <c r="Q53" i="19" s="1"/>
  <c r="R53" i="19" s="1"/>
  <c r="S53" i="19" s="1"/>
  <c r="T53" i="19" s="1"/>
  <c r="C114" i="19"/>
  <c r="C54" i="19"/>
  <c r="F54" i="19" s="1"/>
  <c r="G54" i="19" s="1"/>
  <c r="H54" i="19" s="1"/>
  <c r="I54" i="19" s="1"/>
  <c r="J54" i="19" s="1"/>
  <c r="K54" i="19" s="1"/>
  <c r="L54" i="19" s="1"/>
  <c r="M54" i="19" s="1"/>
  <c r="N54" i="19" s="1"/>
  <c r="O54" i="19" s="1"/>
  <c r="P54" i="19" s="1"/>
  <c r="Q54" i="19" s="1"/>
  <c r="R54" i="19" s="1"/>
  <c r="S54" i="19" s="1"/>
  <c r="T54" i="19" s="1"/>
  <c r="C115" i="19"/>
  <c r="C56" i="19"/>
  <c r="C117" i="19"/>
  <c r="C87" i="18"/>
  <c r="C118" i="19"/>
  <c r="C57" i="19"/>
  <c r="C109" i="19"/>
  <c r="C48" i="19"/>
  <c r="G48" i="19" s="1"/>
  <c r="C91" i="19"/>
  <c r="C30" i="19"/>
  <c r="G30" i="19" s="1"/>
  <c r="G29" i="19" s="1"/>
  <c r="C4" i="22" s="1"/>
  <c r="E22" i="21" s="1"/>
  <c r="F31" i="21" s="1"/>
  <c r="G40" i="21" s="1"/>
  <c r="C17" i="19"/>
  <c r="C78" i="19"/>
  <c r="C23" i="19"/>
  <c r="C84" i="19"/>
  <c r="C11" i="18"/>
  <c r="C13" i="19"/>
  <c r="C74" i="19"/>
  <c r="C72" i="19"/>
  <c r="C11" i="19"/>
  <c r="F11" i="19" s="1"/>
  <c r="C12" i="19"/>
  <c r="F12" i="19" s="1"/>
  <c r="G12" i="19" s="1"/>
  <c r="C73" i="19"/>
  <c r="O34" i="20"/>
  <c r="P43" i="20" s="1"/>
  <c r="Q52" i="20" s="1"/>
  <c r="R61" i="20" s="1"/>
  <c r="S70" i="20" s="1"/>
  <c r="T79" i="20" s="1"/>
  <c r="U88" i="20" s="1"/>
  <c r="L34" i="20"/>
  <c r="M43" i="20" s="1"/>
  <c r="N52" i="20" s="1"/>
  <c r="O61" i="20" s="1"/>
  <c r="P70" i="20" s="1"/>
  <c r="Q79" i="20" s="1"/>
  <c r="R88" i="20" s="1"/>
  <c r="S97" i="20" s="1"/>
  <c r="T106" i="20" s="1"/>
  <c r="U115" i="20" s="1"/>
  <c r="S33" i="20"/>
  <c r="T42" i="20" s="1"/>
  <c r="U51" i="20" s="1"/>
  <c r="R29" i="20"/>
  <c r="S38" i="20" s="1"/>
  <c r="T47" i="20" s="1"/>
  <c r="U56" i="20" s="1"/>
  <c r="P33" i="20"/>
  <c r="Q42" i="20" s="1"/>
  <c r="R51" i="20" s="1"/>
  <c r="S60" i="20" s="1"/>
  <c r="T69" i="20" s="1"/>
  <c r="U78" i="20" s="1"/>
  <c r="L29" i="20"/>
  <c r="M38" i="20" s="1"/>
  <c r="N47" i="20" s="1"/>
  <c r="O56" i="20" s="1"/>
  <c r="P65" i="20" s="1"/>
  <c r="Q74" i="20" s="1"/>
  <c r="R83" i="20" s="1"/>
  <c r="S92" i="20" s="1"/>
  <c r="T101" i="20" s="1"/>
  <c r="U110" i="20" s="1"/>
  <c r="Q30" i="20"/>
  <c r="R39" i="20" s="1"/>
  <c r="S48" i="20" s="1"/>
  <c r="T57" i="20" s="1"/>
  <c r="U66" i="20" s="1"/>
  <c r="N29" i="20"/>
  <c r="O38" i="20" s="1"/>
  <c r="P47" i="20" s="1"/>
  <c r="Q56" i="20" s="1"/>
  <c r="R65" i="20" s="1"/>
  <c r="S74" i="20" s="1"/>
  <c r="T83" i="20" s="1"/>
  <c r="U92" i="20" s="1"/>
  <c r="M33" i="20"/>
  <c r="N42" i="20" s="1"/>
  <c r="O51" i="20" s="1"/>
  <c r="P60" i="20" s="1"/>
  <c r="Q69" i="20" s="1"/>
  <c r="R78" i="20" s="1"/>
  <c r="S87" i="20" s="1"/>
  <c r="T96" i="20" s="1"/>
  <c r="U105" i="20" s="1"/>
  <c r="H29" i="20"/>
  <c r="I38" i="20" s="1"/>
  <c r="J47" i="20" s="1"/>
  <c r="K56" i="20" s="1"/>
  <c r="L65" i="20" s="1"/>
  <c r="M74" i="20" s="1"/>
  <c r="N83" i="20" s="1"/>
  <c r="O92" i="20" s="1"/>
  <c r="P101" i="20" s="1"/>
  <c r="Q110" i="20" s="1"/>
  <c r="R119" i="20" s="1"/>
  <c r="S128" i="20" s="1"/>
  <c r="T137" i="20" s="1"/>
  <c r="U146" i="20" s="1"/>
  <c r="I29" i="20"/>
  <c r="J38" i="20" s="1"/>
  <c r="K47" i="20" s="1"/>
  <c r="L56" i="20" s="1"/>
  <c r="M65" i="20" s="1"/>
  <c r="N74" i="20" s="1"/>
  <c r="O83" i="20" s="1"/>
  <c r="P92" i="20" s="1"/>
  <c r="Q101" i="20" s="1"/>
  <c r="R110" i="20" s="1"/>
  <c r="S119" i="20" s="1"/>
  <c r="T128" i="20" s="1"/>
  <c r="U137" i="20" s="1"/>
  <c r="P30" i="20"/>
  <c r="Q39" i="20" s="1"/>
  <c r="R48" i="20" s="1"/>
  <c r="S57" i="20" s="1"/>
  <c r="T66" i="20" s="1"/>
  <c r="U75" i="20" s="1"/>
  <c r="K29" i="20"/>
  <c r="L38" i="20" s="1"/>
  <c r="M47" i="20" s="1"/>
  <c r="N56" i="20" s="1"/>
  <c r="O65" i="20" s="1"/>
  <c r="P74" i="20" s="1"/>
  <c r="Q83" i="20" s="1"/>
  <c r="R92" i="20" s="1"/>
  <c r="S101" i="20" s="1"/>
  <c r="T110" i="20" s="1"/>
  <c r="U119" i="20" s="1"/>
  <c r="S30" i="20"/>
  <c r="T39" i="20" s="1"/>
  <c r="U48" i="20" s="1"/>
  <c r="L30" i="20"/>
  <c r="M39" i="20" s="1"/>
  <c r="N48" i="20" s="1"/>
  <c r="O57" i="20" s="1"/>
  <c r="P66" i="20" s="1"/>
  <c r="Q75" i="20" s="1"/>
  <c r="R84" i="20" s="1"/>
  <c r="S93" i="20" s="1"/>
  <c r="T102" i="20" s="1"/>
  <c r="U111" i="20" s="1"/>
  <c r="Q34" i="20"/>
  <c r="R43" i="20" s="1"/>
  <c r="S52" i="20" s="1"/>
  <c r="T61" i="20" s="1"/>
  <c r="U70" i="20" s="1"/>
  <c r="T34" i="20"/>
  <c r="U43" i="20" s="1"/>
  <c r="Q33" i="20"/>
  <c r="R42" i="20" s="1"/>
  <c r="S51" i="20" s="1"/>
  <c r="T60" i="20" s="1"/>
  <c r="U69" i="20" s="1"/>
  <c r="N34" i="20"/>
  <c r="O43" i="20" s="1"/>
  <c r="P52" i="20" s="1"/>
  <c r="Q61" i="20" s="1"/>
  <c r="R70" i="20" s="1"/>
  <c r="S79" i="20" s="1"/>
  <c r="T88" i="20" s="1"/>
  <c r="U97" i="20" s="1"/>
  <c r="T30" i="20"/>
  <c r="U39" i="20" s="1"/>
  <c r="J29" i="20"/>
  <c r="K38" i="20" s="1"/>
  <c r="L47" i="20" s="1"/>
  <c r="M56" i="20" s="1"/>
  <c r="N65" i="20" s="1"/>
  <c r="O74" i="20" s="1"/>
  <c r="P83" i="20" s="1"/>
  <c r="Q92" i="20" s="1"/>
  <c r="R101" i="20" s="1"/>
  <c r="S110" i="20" s="1"/>
  <c r="T119" i="20" s="1"/>
  <c r="U128" i="20" s="1"/>
  <c r="P29" i="20"/>
  <c r="Q38" i="20" s="1"/>
  <c r="R47" i="20" s="1"/>
  <c r="S56" i="20" s="1"/>
  <c r="T65" i="20" s="1"/>
  <c r="U74" i="20" s="1"/>
  <c r="S34" i="20"/>
  <c r="T43" i="20" s="1"/>
  <c r="U52" i="20" s="1"/>
  <c r="L86" i="18"/>
  <c r="M86" i="18" s="1"/>
  <c r="N86" i="18" s="1"/>
  <c r="O86" i="18" s="1"/>
  <c r="P86" i="18" s="1"/>
  <c r="Q86" i="18" s="1"/>
  <c r="R86" i="18" s="1"/>
  <c r="S86" i="18" s="1"/>
  <c r="T86" i="18" s="1"/>
  <c r="U86" i="18" s="1"/>
  <c r="V86" i="18" s="1"/>
  <c r="W86" i="18" s="1"/>
  <c r="X86" i="18" s="1"/>
  <c r="Y86" i="18" s="1"/>
  <c r="Z86" i="18" s="1"/>
  <c r="R33" i="20"/>
  <c r="S42" i="20" s="1"/>
  <c r="T51" i="20" s="1"/>
  <c r="U60" i="20" s="1"/>
  <c r="N33" i="20"/>
  <c r="O42" i="20" s="1"/>
  <c r="P51" i="20" s="1"/>
  <c r="Q60" i="20" s="1"/>
  <c r="R69" i="20" s="1"/>
  <c r="S78" i="20" s="1"/>
  <c r="T87" i="20" s="1"/>
  <c r="U96" i="20" s="1"/>
  <c r="M29" i="20"/>
  <c r="N38" i="20" s="1"/>
  <c r="O47" i="20" s="1"/>
  <c r="P56" i="20" s="1"/>
  <c r="Q65" i="20" s="1"/>
  <c r="R74" i="20" s="1"/>
  <c r="S83" i="20" s="1"/>
  <c r="T92" i="20" s="1"/>
  <c r="U101" i="20" s="1"/>
  <c r="T29" i="20"/>
  <c r="U38" i="20" s="1"/>
  <c r="R30" i="20"/>
  <c r="S39" i="20" s="1"/>
  <c r="T48" i="20" s="1"/>
  <c r="U57" i="20" s="1"/>
  <c r="P34" i="20"/>
  <c r="Q43" i="20" s="1"/>
  <c r="R52" i="20" s="1"/>
  <c r="S61" i="20" s="1"/>
  <c r="T70" i="20" s="1"/>
  <c r="U79" i="20" s="1"/>
  <c r="O29" i="20"/>
  <c r="P38" i="20" s="1"/>
  <c r="Q47" i="20" s="1"/>
  <c r="R56" i="20" s="1"/>
  <c r="S65" i="20" s="1"/>
  <c r="T74" i="20" s="1"/>
  <c r="U83" i="20" s="1"/>
  <c r="T33" i="20"/>
  <c r="U42" i="20" s="1"/>
  <c r="O33" i="20"/>
  <c r="P42" i="20" s="1"/>
  <c r="Q51" i="20" s="1"/>
  <c r="R60" i="20" s="1"/>
  <c r="S69" i="20" s="1"/>
  <c r="T78" i="20" s="1"/>
  <c r="U87" i="20" s="1"/>
  <c r="L85" i="18"/>
  <c r="M85" i="18" s="1"/>
  <c r="N85" i="18" s="1"/>
  <c r="O85" i="18" s="1"/>
  <c r="P85" i="18" s="1"/>
  <c r="Q85" i="18" s="1"/>
  <c r="R85" i="18" s="1"/>
  <c r="S85" i="18" s="1"/>
  <c r="T85" i="18" s="1"/>
  <c r="U85" i="18" s="1"/>
  <c r="V85" i="18" s="1"/>
  <c r="W85" i="18" s="1"/>
  <c r="X85" i="18" s="1"/>
  <c r="Y85" i="18" s="1"/>
  <c r="Z85" i="18" s="1"/>
  <c r="O30" i="20"/>
  <c r="P39" i="20" s="1"/>
  <c r="Q48" i="20" s="1"/>
  <c r="R57" i="20" s="1"/>
  <c r="S66" i="20" s="1"/>
  <c r="T75" i="20" s="1"/>
  <c r="U84" i="20" s="1"/>
  <c r="E33" i="20"/>
  <c r="F42" i="20" s="1"/>
  <c r="G51" i="20" s="1"/>
  <c r="H60" i="20" s="1"/>
  <c r="I69" i="20" s="1"/>
  <c r="J78" i="20" s="1"/>
  <c r="K87" i="20" s="1"/>
  <c r="L96" i="20" s="1"/>
  <c r="M105" i="20" s="1"/>
  <c r="N114" i="20" s="1"/>
  <c r="O123" i="20" s="1"/>
  <c r="P132" i="20" s="1"/>
  <c r="Q141" i="20" s="1"/>
  <c r="R150" i="20" s="1"/>
  <c r="S159" i="20" s="1"/>
  <c r="G29" i="20"/>
  <c r="H38" i="20" s="1"/>
  <c r="I47" i="20" s="1"/>
  <c r="J56" i="20" s="1"/>
  <c r="K65" i="20" s="1"/>
  <c r="L74" i="20" s="1"/>
  <c r="M83" i="20" s="1"/>
  <c r="N92" i="20" s="1"/>
  <c r="O101" i="20" s="1"/>
  <c r="P110" i="20" s="1"/>
  <c r="Q119" i="20" s="1"/>
  <c r="R128" i="20" s="1"/>
  <c r="S137" i="20" s="1"/>
  <c r="T146" i="20" s="1"/>
  <c r="U155" i="20" s="1"/>
  <c r="N30" i="20"/>
  <c r="O39" i="20" s="1"/>
  <c r="P48" i="20" s="1"/>
  <c r="Q57" i="20" s="1"/>
  <c r="R66" i="20" s="1"/>
  <c r="S75" i="20" s="1"/>
  <c r="T84" i="20" s="1"/>
  <c r="U93" i="20" s="1"/>
  <c r="L83" i="18"/>
  <c r="M83" i="18" s="1"/>
  <c r="N83" i="18" s="1"/>
  <c r="O83" i="18" s="1"/>
  <c r="P83" i="18" s="1"/>
  <c r="Q83" i="18" s="1"/>
  <c r="R83" i="18" s="1"/>
  <c r="S83" i="18" s="1"/>
  <c r="T83" i="18" s="1"/>
  <c r="U83" i="18" s="1"/>
  <c r="V83" i="18" s="1"/>
  <c r="W83" i="18" s="1"/>
  <c r="X83" i="18" s="1"/>
  <c r="Y83" i="18" s="1"/>
  <c r="Z83" i="18" s="1"/>
  <c r="L81" i="18"/>
  <c r="M81" i="18" s="1"/>
  <c r="N81" i="18" s="1"/>
  <c r="O81" i="18" s="1"/>
  <c r="P81" i="18" s="1"/>
  <c r="Q81" i="18" s="1"/>
  <c r="R81" i="18" s="1"/>
  <c r="S81" i="18" s="1"/>
  <c r="T81" i="18" s="1"/>
  <c r="U81" i="18" s="1"/>
  <c r="V81" i="18" s="1"/>
  <c r="W81" i="18" s="1"/>
  <c r="X81" i="18" s="1"/>
  <c r="Y81" i="18" s="1"/>
  <c r="Z81" i="18" s="1"/>
  <c r="L80" i="18"/>
  <c r="M80" i="18" s="1"/>
  <c r="N80" i="18" s="1"/>
  <c r="O80" i="18" s="1"/>
  <c r="P80" i="18" s="1"/>
  <c r="Q80" i="18" s="1"/>
  <c r="R80" i="18" s="1"/>
  <c r="S80" i="18" s="1"/>
  <c r="T80" i="18" s="1"/>
  <c r="U80" i="18" s="1"/>
  <c r="V80" i="18" s="1"/>
  <c r="W80" i="18" s="1"/>
  <c r="X80" i="18" s="1"/>
  <c r="Y80" i="18" s="1"/>
  <c r="Z80" i="18" s="1"/>
  <c r="S29" i="20"/>
  <c r="T38" i="20" s="1"/>
  <c r="U47" i="20" s="1"/>
  <c r="E31" i="20"/>
  <c r="F40" i="20" s="1"/>
  <c r="G49" i="20" s="1"/>
  <c r="H58" i="20" s="1"/>
  <c r="I67" i="20" s="1"/>
  <c r="J76" i="20" s="1"/>
  <c r="K85" i="20" s="1"/>
  <c r="L94" i="20" s="1"/>
  <c r="M103" i="20" s="1"/>
  <c r="N112" i="20" s="1"/>
  <c r="O121" i="20" s="1"/>
  <c r="P130" i="20" s="1"/>
  <c r="Q139" i="20" s="1"/>
  <c r="R148" i="20" s="1"/>
  <c r="S157" i="20" s="1"/>
  <c r="Q29" i="20"/>
  <c r="R38" i="20" s="1"/>
  <c r="S47" i="20" s="1"/>
  <c r="T56" i="20" s="1"/>
  <c r="U65" i="20" s="1"/>
  <c r="M30" i="20"/>
  <c r="N39" i="20" s="1"/>
  <c r="O48" i="20" s="1"/>
  <c r="P57" i="20" s="1"/>
  <c r="Q66" i="20" s="1"/>
  <c r="R75" i="20" s="1"/>
  <c r="S84" i="20" s="1"/>
  <c r="T93" i="20" s="1"/>
  <c r="U102" i="20" s="1"/>
  <c r="R34" i="20"/>
  <c r="S43" i="20" s="1"/>
  <c r="T52" i="20" s="1"/>
  <c r="U61" i="20" s="1"/>
  <c r="M34" i="20"/>
  <c r="N43" i="20" s="1"/>
  <c r="O52" i="20" s="1"/>
  <c r="P61" i="20" s="1"/>
  <c r="Q70" i="20" s="1"/>
  <c r="R79" i="20" s="1"/>
  <c r="S88" i="20" s="1"/>
  <c r="T97" i="20" s="1"/>
  <c r="U106" i="20" s="1"/>
  <c r="D6" i="20"/>
  <c r="E50" i="18"/>
  <c r="G50" i="18" s="1"/>
  <c r="I50" i="18" s="1"/>
  <c r="E45" i="18"/>
  <c r="E49" i="18"/>
  <c r="E46" i="18"/>
  <c r="I87" i="18"/>
  <c r="I75" i="18" s="1"/>
  <c r="C83" i="18"/>
  <c r="C86" i="18"/>
  <c r="C84" i="18"/>
  <c r="D3" i="20"/>
  <c r="E3" i="20" s="1"/>
  <c r="F3" i="20" s="1"/>
  <c r="G3" i="20" s="1"/>
  <c r="H3" i="20" s="1"/>
  <c r="G196" i="7"/>
  <c r="E94" i="7"/>
  <c r="N145" i="7"/>
  <c r="E91" i="7"/>
  <c r="E98" i="7"/>
  <c r="E109" i="7"/>
  <c r="N149" i="7"/>
  <c r="M146" i="7"/>
  <c r="M144" i="7"/>
  <c r="E93" i="7"/>
  <c r="M147" i="7"/>
  <c r="E96" i="7"/>
  <c r="N147" i="7"/>
  <c r="M149" i="7"/>
  <c r="E97" i="7"/>
  <c r="E107" i="7"/>
  <c r="E95" i="7"/>
  <c r="E106" i="7"/>
  <c r="E100" i="7"/>
  <c r="M145" i="7"/>
  <c r="M148" i="7"/>
  <c r="E108" i="7"/>
  <c r="E92" i="7"/>
  <c r="E104" i="7"/>
  <c r="L146" i="7"/>
  <c r="N146" i="7"/>
  <c r="L144" i="7"/>
  <c r="E102" i="7"/>
  <c r="E99" i="7"/>
  <c r="E101" i="7"/>
  <c r="L145" i="7"/>
  <c r="G195" i="7"/>
  <c r="N148" i="7"/>
  <c r="L148" i="7"/>
  <c r="E103" i="7"/>
  <c r="E105" i="7"/>
  <c r="L149" i="7"/>
  <c r="L147" i="7"/>
  <c r="E2" i="21"/>
  <c r="F2" i="21" s="1"/>
  <c r="G2" i="21" s="1"/>
  <c r="G92" i="19"/>
  <c r="I60" i="1"/>
  <c r="I66" i="1" s="1"/>
  <c r="I33" i="1"/>
  <c r="X108" i="19"/>
  <c r="T15" i="22" s="1"/>
  <c r="U15" i="20" s="1"/>
  <c r="X70" i="19"/>
  <c r="T11" i="22" s="1"/>
  <c r="U11" i="20" s="1"/>
  <c r="C12" i="18"/>
  <c r="E78" i="18"/>
  <c r="E8" i="18"/>
  <c r="C85" i="18"/>
  <c r="W70" i="19"/>
  <c r="S11" i="22" s="1"/>
  <c r="W77" i="19"/>
  <c r="S12" i="22" s="1"/>
  <c r="E77" i="18"/>
  <c r="E80" i="18"/>
  <c r="E81" i="18"/>
  <c r="E88" i="7"/>
  <c r="E90" i="7"/>
  <c r="E87" i="7"/>
  <c r="E89" i="7"/>
  <c r="L79" i="2"/>
  <c r="L89" i="2" s="1"/>
  <c r="L134" i="20"/>
  <c r="H134" i="20"/>
  <c r="X77" i="19"/>
  <c r="T12" i="22" s="1"/>
  <c r="U12" i="20" s="1"/>
  <c r="D125" i="20"/>
  <c r="D181" i="20" s="1"/>
  <c r="F134" i="20"/>
  <c r="F181" i="20" s="1"/>
  <c r="J134" i="20"/>
  <c r="G134" i="20"/>
  <c r="G181" i="20" s="1"/>
  <c r="J125" i="20"/>
  <c r="I143" i="20"/>
  <c r="M143" i="20"/>
  <c r="L125" i="20"/>
  <c r="N152" i="20"/>
  <c r="O161" i="20"/>
  <c r="O183" i="20" s="1"/>
  <c r="H125" i="20"/>
  <c r="N134" i="20"/>
  <c r="H92" i="19"/>
  <c r="E49" i="19"/>
  <c r="E17" i="18"/>
  <c r="E19" i="18"/>
  <c r="E18" i="18"/>
  <c r="E16" i="18"/>
  <c r="E15" i="18"/>
  <c r="C52" i="18"/>
  <c r="C54" i="18"/>
  <c r="C53" i="18"/>
  <c r="C57" i="18"/>
  <c r="C55" i="18"/>
  <c r="C56" i="18"/>
  <c r="C49" i="18"/>
  <c r="C50" i="18"/>
  <c r="C48" i="18"/>
  <c r="C47" i="18"/>
  <c r="C46" i="18"/>
  <c r="C45" i="18"/>
  <c r="C16" i="18"/>
  <c r="C15" i="18"/>
  <c r="C17" i="18"/>
  <c r="C19" i="18"/>
  <c r="C18" i="18"/>
  <c r="C23" i="18"/>
  <c r="C25" i="18"/>
  <c r="C22" i="18"/>
  <c r="C24" i="18"/>
  <c r="C21" i="18"/>
  <c r="T11" i="20" l="1"/>
  <c r="U20" i="20"/>
  <c r="C8" i="19"/>
  <c r="T12" i="20"/>
  <c r="U21" i="20"/>
  <c r="E6" i="20"/>
  <c r="F15" i="20"/>
  <c r="C11" i="21"/>
  <c r="D11" i="21" s="1"/>
  <c r="E11" i="21" s="1"/>
  <c r="F11" i="21" s="1"/>
  <c r="G11" i="21" s="1"/>
  <c r="H11" i="21" s="1"/>
  <c r="I11" i="21" s="1"/>
  <c r="J11" i="21" s="1"/>
  <c r="K11" i="21" s="1"/>
  <c r="L11" i="21" s="1"/>
  <c r="M11" i="21" s="1"/>
  <c r="N11" i="21" s="1"/>
  <c r="O11" i="21" s="1"/>
  <c r="P11" i="21" s="1"/>
  <c r="Q11" i="21" s="1"/>
  <c r="I6" i="18"/>
  <c r="C11" i="20" s="1"/>
  <c r="C14" i="21"/>
  <c r="D14" i="21" s="1"/>
  <c r="E14" i="21" s="1"/>
  <c r="F14" i="21" s="1"/>
  <c r="G14" i="21" s="1"/>
  <c r="H14" i="21" s="1"/>
  <c r="I14" i="21" s="1"/>
  <c r="J14" i="21" s="1"/>
  <c r="K14" i="21" s="1"/>
  <c r="L14" i="21" s="1"/>
  <c r="M14" i="21" s="1"/>
  <c r="N14" i="21" s="1"/>
  <c r="O14" i="21" s="1"/>
  <c r="P14" i="21" s="1"/>
  <c r="Q14" i="21" s="1"/>
  <c r="R14" i="21" s="1"/>
  <c r="S14" i="21" s="1"/>
  <c r="T14" i="21" s="1"/>
  <c r="U14" i="21" s="1"/>
  <c r="I47" i="18"/>
  <c r="I43" i="18" s="1"/>
  <c r="C12" i="21"/>
  <c r="D12" i="21" s="1"/>
  <c r="E12" i="21" s="1"/>
  <c r="F12" i="21" s="1"/>
  <c r="G12" i="21" s="1"/>
  <c r="H12" i="21" s="1"/>
  <c r="I12" i="21" s="1"/>
  <c r="J12" i="21" s="1"/>
  <c r="K12" i="21" s="1"/>
  <c r="L12" i="21" s="1"/>
  <c r="M12" i="21" s="1"/>
  <c r="N12" i="21" s="1"/>
  <c r="O12" i="21" s="1"/>
  <c r="P12" i="21" s="1"/>
  <c r="Q12" i="21" s="1"/>
  <c r="I15" i="18"/>
  <c r="I13" i="18" s="1"/>
  <c r="C16" i="20"/>
  <c r="I39" i="1"/>
  <c r="I26" i="5" s="1"/>
  <c r="I38" i="1"/>
  <c r="I37" i="1"/>
  <c r="C59" i="19"/>
  <c r="F59" i="19" s="1"/>
  <c r="G59" i="19" s="1"/>
  <c r="H59" i="19" s="1"/>
  <c r="I59" i="19" s="1"/>
  <c r="J59" i="19" s="1"/>
  <c r="K59" i="19" s="1"/>
  <c r="L59" i="19" s="1"/>
  <c r="M59" i="19" s="1"/>
  <c r="N59" i="19" s="1"/>
  <c r="O59" i="19" s="1"/>
  <c r="P59" i="19" s="1"/>
  <c r="Q59" i="19" s="1"/>
  <c r="R59" i="19" s="1"/>
  <c r="S59" i="19" s="1"/>
  <c r="T59" i="19" s="1"/>
  <c r="C120" i="19"/>
  <c r="C119" i="19"/>
  <c r="C58" i="19"/>
  <c r="F58" i="19" s="1"/>
  <c r="G58" i="19" s="1"/>
  <c r="H58" i="19" s="1"/>
  <c r="I58" i="19" s="1"/>
  <c r="J58" i="19" s="1"/>
  <c r="K58" i="19" s="1"/>
  <c r="L58" i="19" s="1"/>
  <c r="M58" i="19" s="1"/>
  <c r="N58" i="19" s="1"/>
  <c r="O58" i="19" s="1"/>
  <c r="P58" i="19" s="1"/>
  <c r="Q58" i="19" s="1"/>
  <c r="R58" i="19" s="1"/>
  <c r="S58" i="19" s="1"/>
  <c r="T58" i="19" s="1"/>
  <c r="C61" i="19"/>
  <c r="F61" i="19" s="1"/>
  <c r="G61" i="19" s="1"/>
  <c r="H61" i="19" s="1"/>
  <c r="I61" i="19" s="1"/>
  <c r="J61" i="19" s="1"/>
  <c r="K61" i="19" s="1"/>
  <c r="L61" i="19" s="1"/>
  <c r="M61" i="19" s="1"/>
  <c r="N61" i="19" s="1"/>
  <c r="O61" i="19" s="1"/>
  <c r="P61" i="19" s="1"/>
  <c r="Q61" i="19" s="1"/>
  <c r="R61" i="19" s="1"/>
  <c r="S61" i="19" s="1"/>
  <c r="T61" i="19" s="1"/>
  <c r="C122" i="19"/>
  <c r="C62" i="19"/>
  <c r="C123" i="19"/>
  <c r="C60" i="19"/>
  <c r="F60" i="19" s="1"/>
  <c r="C121" i="19"/>
  <c r="C46" i="19"/>
  <c r="C107" i="19"/>
  <c r="C104" i="19"/>
  <c r="C43" i="19"/>
  <c r="F43" i="19" s="1"/>
  <c r="C41" i="19"/>
  <c r="F41" i="19" s="1"/>
  <c r="C102" i="19"/>
  <c r="C103" i="19"/>
  <c r="C42" i="19"/>
  <c r="F42" i="19" s="1"/>
  <c r="C106" i="19"/>
  <c r="C45" i="19"/>
  <c r="F45" i="19" s="1"/>
  <c r="C105" i="19"/>
  <c r="C44" i="19"/>
  <c r="F44" i="19" s="1"/>
  <c r="C35" i="19"/>
  <c r="F35" i="19" s="1"/>
  <c r="C96" i="19"/>
  <c r="C34" i="19"/>
  <c r="F34" i="19" s="1"/>
  <c r="C95" i="19"/>
  <c r="C37" i="19"/>
  <c r="F37" i="19" s="1"/>
  <c r="C98" i="19"/>
  <c r="C39" i="19"/>
  <c r="C100" i="19"/>
  <c r="C99" i="19"/>
  <c r="C38" i="19"/>
  <c r="F38" i="19" s="1"/>
  <c r="C36" i="19"/>
  <c r="F36" i="19" s="1"/>
  <c r="C97" i="19"/>
  <c r="C28" i="19"/>
  <c r="C89" i="19"/>
  <c r="C88" i="19"/>
  <c r="C27" i="19"/>
  <c r="F27" i="19" s="1"/>
  <c r="G27" i="19" s="1"/>
  <c r="H27" i="19" s="1"/>
  <c r="I27" i="19" s="1"/>
  <c r="J27" i="19" s="1"/>
  <c r="K27" i="19" s="1"/>
  <c r="L27" i="19" s="1"/>
  <c r="M27" i="19" s="1"/>
  <c r="N27" i="19" s="1"/>
  <c r="O27" i="19" s="1"/>
  <c r="P27" i="19" s="1"/>
  <c r="Q27" i="19" s="1"/>
  <c r="R27" i="19" s="1"/>
  <c r="S27" i="19" s="1"/>
  <c r="T27" i="19" s="1"/>
  <c r="C19" i="19"/>
  <c r="F19" i="19" s="1"/>
  <c r="C80" i="19"/>
  <c r="C25" i="19"/>
  <c r="F25" i="19" s="1"/>
  <c r="C86" i="19"/>
  <c r="C21" i="19"/>
  <c r="F21" i="19" s="1"/>
  <c r="C82" i="19"/>
  <c r="C22" i="19"/>
  <c r="C83" i="19"/>
  <c r="C20" i="19"/>
  <c r="F20" i="19" s="1"/>
  <c r="C81" i="19"/>
  <c r="C26" i="19"/>
  <c r="F26" i="19" s="1"/>
  <c r="C87" i="19"/>
  <c r="C24" i="19"/>
  <c r="F24" i="19" s="1"/>
  <c r="G24" i="19" s="1"/>
  <c r="C85" i="19"/>
  <c r="C18" i="19"/>
  <c r="F18" i="19" s="1"/>
  <c r="C79" i="19"/>
  <c r="C76" i="19"/>
  <c r="C15" i="19"/>
  <c r="F15" i="19" s="1"/>
  <c r="C14" i="19"/>
  <c r="F14" i="19" s="1"/>
  <c r="G14" i="19" s="1"/>
  <c r="H14" i="19" s="1"/>
  <c r="I14" i="19" s="1"/>
  <c r="J14" i="19" s="1"/>
  <c r="K14" i="19" s="1"/>
  <c r="L14" i="19" s="1"/>
  <c r="M14" i="19" s="1"/>
  <c r="N14" i="19" s="1"/>
  <c r="O14" i="19" s="1"/>
  <c r="P14" i="19" s="1"/>
  <c r="Q14" i="19" s="1"/>
  <c r="R14" i="19" s="1"/>
  <c r="S14" i="19" s="1"/>
  <c r="T14" i="19" s="1"/>
  <c r="C75" i="19"/>
  <c r="C169" i="20"/>
  <c r="I65" i="1"/>
  <c r="H30" i="19"/>
  <c r="I30" i="19" s="1"/>
  <c r="J30" i="19" s="1"/>
  <c r="K30" i="19" s="1"/>
  <c r="L30" i="19" s="1"/>
  <c r="M30" i="19" s="1"/>
  <c r="N30" i="19" s="1"/>
  <c r="O30" i="19" s="1"/>
  <c r="P30" i="19" s="1"/>
  <c r="Q30" i="19" s="1"/>
  <c r="R30" i="19" s="1"/>
  <c r="S30" i="19" s="1"/>
  <c r="T30" i="19" s="1"/>
  <c r="U30" i="19" s="1"/>
  <c r="V30" i="19" s="1"/>
  <c r="W30" i="19" s="1"/>
  <c r="X30" i="19" s="1"/>
  <c r="G91" i="19"/>
  <c r="G90" i="19" s="1"/>
  <c r="C13" i="22" s="1"/>
  <c r="B169" i="21"/>
  <c r="C7" i="21"/>
  <c r="D7" i="21" s="1"/>
  <c r="E7" i="21" s="1"/>
  <c r="F7" i="21" s="1"/>
  <c r="G7" i="21" s="1"/>
  <c r="H7" i="21" s="1"/>
  <c r="I7" i="21" s="1"/>
  <c r="J7" i="21" s="1"/>
  <c r="K7" i="21" s="1"/>
  <c r="L7" i="21" s="1"/>
  <c r="M7" i="21" s="1"/>
  <c r="N7" i="21" s="1"/>
  <c r="O7" i="21" s="1"/>
  <c r="P7" i="21" s="1"/>
  <c r="C5" i="21"/>
  <c r="B167" i="21"/>
  <c r="C8" i="21"/>
  <c r="H12" i="19"/>
  <c r="I12" i="19" s="1"/>
  <c r="J12" i="19" s="1"/>
  <c r="K12" i="19" s="1"/>
  <c r="L12" i="19" s="1"/>
  <c r="M12" i="19" s="1"/>
  <c r="N12" i="19" s="1"/>
  <c r="O12" i="19" s="1"/>
  <c r="P12" i="19" s="1"/>
  <c r="Q12" i="19" s="1"/>
  <c r="R12" i="19" s="1"/>
  <c r="S12" i="19" s="1"/>
  <c r="T12" i="19" s="1"/>
  <c r="D5" i="20"/>
  <c r="E5" i="20" s="1"/>
  <c r="F114" i="7"/>
  <c r="F132" i="7"/>
  <c r="F130" i="7"/>
  <c r="F128" i="7"/>
  <c r="F126" i="7"/>
  <c r="F129" i="7"/>
  <c r="F131" i="7"/>
  <c r="F119" i="7"/>
  <c r="F135" i="7"/>
  <c r="F127" i="7"/>
  <c r="F133" i="7"/>
  <c r="F122" i="7"/>
  <c r="F134" i="7"/>
  <c r="F124" i="7"/>
  <c r="F123" i="7"/>
  <c r="F120" i="7"/>
  <c r="F125" i="7"/>
  <c r="F118" i="7"/>
  <c r="F121" i="7"/>
  <c r="J60" i="1"/>
  <c r="J33" i="1"/>
  <c r="F117" i="7"/>
  <c r="F115" i="7"/>
  <c r="F116" i="7"/>
  <c r="L181" i="20"/>
  <c r="H2" i="21"/>
  <c r="X111" i="19"/>
  <c r="T16" i="22" s="1"/>
  <c r="U16" i="20" s="1"/>
  <c r="E53" i="19"/>
  <c r="F114" i="19" s="1"/>
  <c r="G114" i="19" s="1"/>
  <c r="H114" i="19" s="1"/>
  <c r="I114" i="19" s="1"/>
  <c r="J114" i="19" s="1"/>
  <c r="K114" i="19" s="1"/>
  <c r="L114" i="19" s="1"/>
  <c r="V111" i="19"/>
  <c r="R16" i="22" s="1"/>
  <c r="W111" i="19"/>
  <c r="S16" i="22" s="1"/>
  <c r="E55" i="19"/>
  <c r="F116" i="19" s="1"/>
  <c r="G116" i="19" s="1"/>
  <c r="H116" i="19" s="1"/>
  <c r="I116" i="19" s="1"/>
  <c r="J116" i="19" s="1"/>
  <c r="K116" i="19" s="1"/>
  <c r="L116" i="19" s="1"/>
  <c r="H48" i="19"/>
  <c r="G47" i="19"/>
  <c r="C6" i="22" s="1"/>
  <c r="E24" i="21" s="1"/>
  <c r="F33" i="21" s="1"/>
  <c r="G42" i="21" s="1"/>
  <c r="E54" i="19"/>
  <c r="F115" i="19" s="1"/>
  <c r="G115" i="19" s="1"/>
  <c r="H115" i="19" s="1"/>
  <c r="I115" i="19" s="1"/>
  <c r="J115" i="19" s="1"/>
  <c r="K115" i="19" s="1"/>
  <c r="L115" i="19" s="1"/>
  <c r="J181" i="20"/>
  <c r="H181" i="20"/>
  <c r="M79" i="2"/>
  <c r="M89" i="2" s="1"/>
  <c r="O143" i="20"/>
  <c r="H143" i="20"/>
  <c r="M134" i="20"/>
  <c r="M181" i="20" s="1"/>
  <c r="I134" i="20"/>
  <c r="I181" i="20" s="1"/>
  <c r="E134" i="20"/>
  <c r="E181" i="20" s="1"/>
  <c r="K134" i="20"/>
  <c r="K181" i="20" s="1"/>
  <c r="K143" i="20"/>
  <c r="J152" i="20"/>
  <c r="K161" i="20"/>
  <c r="K183" i="20" s="1"/>
  <c r="G143" i="20"/>
  <c r="I92" i="19"/>
  <c r="G110" i="19"/>
  <c r="H110" i="19" s="1"/>
  <c r="I110" i="19" s="1"/>
  <c r="J110" i="19" s="1"/>
  <c r="K110" i="19" s="1"/>
  <c r="L110" i="19" s="1"/>
  <c r="M110" i="19" s="1"/>
  <c r="Q31" i="10"/>
  <c r="H64" i="1"/>
  <c r="I64" i="1"/>
  <c r="X61" i="12"/>
  <c r="X60" i="12"/>
  <c r="W60" i="12"/>
  <c r="W61" i="12"/>
  <c r="W62" i="12"/>
  <c r="W63" i="12"/>
  <c r="W64" i="12"/>
  <c r="U61" i="12"/>
  <c r="U62" i="12"/>
  <c r="U63" i="12"/>
  <c r="U60" i="12"/>
  <c r="X33" i="12"/>
  <c r="X32" i="12"/>
  <c r="W33" i="12"/>
  <c r="W34" i="12"/>
  <c r="W35" i="12"/>
  <c r="W36" i="12"/>
  <c r="W32" i="12"/>
  <c r="U33" i="12"/>
  <c r="U34" i="12"/>
  <c r="U35" i="12"/>
  <c r="D67" i="5"/>
  <c r="D79" i="5"/>
  <c r="E141" i="7"/>
  <c r="G115" i="7"/>
  <c r="G116" i="7"/>
  <c r="G117" i="7"/>
  <c r="G118" i="7"/>
  <c r="G119" i="7"/>
  <c r="G120" i="7"/>
  <c r="G121" i="7"/>
  <c r="G122" i="7"/>
  <c r="G123" i="7"/>
  <c r="G124" i="7"/>
  <c r="G125" i="7"/>
  <c r="G126" i="7"/>
  <c r="G127" i="7"/>
  <c r="G128" i="7"/>
  <c r="G129" i="7"/>
  <c r="G130" i="7"/>
  <c r="G131" i="7"/>
  <c r="G132" i="7"/>
  <c r="G133" i="7"/>
  <c r="G134" i="7"/>
  <c r="G135" i="7"/>
  <c r="G136" i="7"/>
  <c r="G114" i="7"/>
  <c r="F6" i="20" l="1"/>
  <c r="G15" i="20"/>
  <c r="S16" i="20"/>
  <c r="T25" i="20"/>
  <c r="U34" i="20" s="1"/>
  <c r="T16" i="20"/>
  <c r="U25" i="20"/>
  <c r="D14" i="20"/>
  <c r="E14" i="20" s="1"/>
  <c r="F14" i="20" s="1"/>
  <c r="G14" i="20" s="1"/>
  <c r="H14" i="20" s="1"/>
  <c r="I14" i="20" s="1"/>
  <c r="J14" i="20" s="1"/>
  <c r="K14" i="20" s="1"/>
  <c r="L14" i="20" s="1"/>
  <c r="M14" i="20" s="1"/>
  <c r="N14" i="20" s="1"/>
  <c r="O14" i="20" s="1"/>
  <c r="P14" i="20" s="1"/>
  <c r="Q14" i="20" s="1"/>
  <c r="R14" i="20" s="1"/>
  <c r="S14" i="20" s="1"/>
  <c r="T14" i="20" s="1"/>
  <c r="U14" i="20" s="1"/>
  <c r="D16" i="20"/>
  <c r="E16" i="20" s="1"/>
  <c r="F16" i="20" s="1"/>
  <c r="G16" i="20" s="1"/>
  <c r="H16" i="20" s="1"/>
  <c r="I16" i="20" s="1"/>
  <c r="C12" i="20"/>
  <c r="C17" i="20" s="1"/>
  <c r="D167" i="20"/>
  <c r="E22" i="20"/>
  <c r="F9" i="19"/>
  <c r="J37" i="1"/>
  <c r="J38" i="1"/>
  <c r="J40" i="1"/>
  <c r="J39" i="1"/>
  <c r="J67" i="1"/>
  <c r="J66" i="1"/>
  <c r="I29" i="19"/>
  <c r="E4" i="22" s="1"/>
  <c r="G22" i="21" s="1"/>
  <c r="H31" i="21" s="1"/>
  <c r="I40" i="21" s="1"/>
  <c r="E58" i="19"/>
  <c r="F119" i="19" s="1"/>
  <c r="G119" i="19" s="1"/>
  <c r="H119" i="19" s="1"/>
  <c r="I119" i="19" s="1"/>
  <c r="J119" i="19" s="1"/>
  <c r="K119" i="19" s="1"/>
  <c r="L119" i="19" s="1"/>
  <c r="F7" i="19"/>
  <c r="J64" i="1"/>
  <c r="J65" i="1"/>
  <c r="H29" i="19"/>
  <c r="D4" i="22" s="1"/>
  <c r="F22" i="21" s="1"/>
  <c r="G31" i="21" s="1"/>
  <c r="H40" i="21" s="1"/>
  <c r="I91" i="19"/>
  <c r="I90" i="19" s="1"/>
  <c r="E13" i="22" s="1"/>
  <c r="G22" i="20" s="1"/>
  <c r="H91" i="19"/>
  <c r="H90" i="19" s="1"/>
  <c r="D13" i="22" s="1"/>
  <c r="F22" i="20" s="1"/>
  <c r="D7" i="20"/>
  <c r="E7" i="20" s="1"/>
  <c r="F7" i="20" s="1"/>
  <c r="G7" i="20" s="1"/>
  <c r="H7" i="20" s="1"/>
  <c r="C174" i="20"/>
  <c r="B170" i="21"/>
  <c r="B174" i="21" s="1"/>
  <c r="C174" i="21"/>
  <c r="F50" i="19"/>
  <c r="B7" i="22" s="1"/>
  <c r="E59" i="19"/>
  <c r="F120" i="19" s="1"/>
  <c r="G120" i="19" s="1"/>
  <c r="H120" i="19" s="1"/>
  <c r="I120" i="19" s="1"/>
  <c r="J120" i="19" s="1"/>
  <c r="K120" i="19" s="1"/>
  <c r="L120" i="19" s="1"/>
  <c r="B170" i="20"/>
  <c r="B8" i="20"/>
  <c r="D5" i="21"/>
  <c r="D8" i="21"/>
  <c r="E12" i="19"/>
  <c r="F73" i="19" s="1"/>
  <c r="F5" i="20"/>
  <c r="E67" i="5"/>
  <c r="F79" i="5" s="1"/>
  <c r="E79" i="5"/>
  <c r="N6" i="12"/>
  <c r="F90" i="12"/>
  <c r="F16" i="19"/>
  <c r="G11" i="19"/>
  <c r="G38" i="20"/>
  <c r="G15" i="19"/>
  <c r="H15" i="19" s="1"/>
  <c r="I15" i="19" s="1"/>
  <c r="J15" i="19" s="1"/>
  <c r="K15" i="19" s="1"/>
  <c r="L15" i="19" s="1"/>
  <c r="M15" i="19" s="1"/>
  <c r="N15" i="19" s="1"/>
  <c r="O15" i="19" s="1"/>
  <c r="P15" i="19" s="1"/>
  <c r="Q15" i="19" s="1"/>
  <c r="R15" i="19" s="1"/>
  <c r="S15" i="19" s="1"/>
  <c r="T15" i="19" s="1"/>
  <c r="E14" i="19"/>
  <c r="F75" i="19" s="1"/>
  <c r="U165" i="20"/>
  <c r="K60" i="1"/>
  <c r="K33" i="1"/>
  <c r="U88" i="12"/>
  <c r="U89" i="12"/>
  <c r="I2" i="21"/>
  <c r="G60" i="19"/>
  <c r="H60" i="19" s="1"/>
  <c r="I60" i="19" s="1"/>
  <c r="J60" i="19" s="1"/>
  <c r="K60" i="19" s="1"/>
  <c r="L60" i="19" s="1"/>
  <c r="M60" i="19" s="1"/>
  <c r="N60" i="19" s="1"/>
  <c r="O60" i="19" s="1"/>
  <c r="P60" i="19" s="1"/>
  <c r="Q60" i="19" s="1"/>
  <c r="R60" i="19" s="1"/>
  <c r="S60" i="19" s="1"/>
  <c r="T60" i="19" s="1"/>
  <c r="E27" i="19"/>
  <c r="F88" i="19" s="1"/>
  <c r="G88" i="19" s="1"/>
  <c r="H88" i="19" s="1"/>
  <c r="I88" i="19" s="1"/>
  <c r="J88" i="19" s="1"/>
  <c r="K88" i="19" s="1"/>
  <c r="L88" i="19" s="1"/>
  <c r="C69" i="19"/>
  <c r="F96" i="19"/>
  <c r="G35" i="19"/>
  <c r="G37" i="19"/>
  <c r="F98" i="19"/>
  <c r="E61" i="19"/>
  <c r="F122" i="19" s="1"/>
  <c r="G122" i="19" s="1"/>
  <c r="H122" i="19" s="1"/>
  <c r="I122" i="19" s="1"/>
  <c r="J122" i="19" s="1"/>
  <c r="K122" i="19" s="1"/>
  <c r="L122" i="19" s="1"/>
  <c r="G41" i="19"/>
  <c r="F102" i="19"/>
  <c r="H24" i="19"/>
  <c r="I24" i="19" s="1"/>
  <c r="J24" i="19" s="1"/>
  <c r="K24" i="19" s="1"/>
  <c r="L24" i="19" s="1"/>
  <c r="M24" i="19" s="1"/>
  <c r="N24" i="19" s="1"/>
  <c r="O24" i="19" s="1"/>
  <c r="P24" i="19" s="1"/>
  <c r="Q24" i="19" s="1"/>
  <c r="R24" i="19" s="1"/>
  <c r="S24" i="19" s="1"/>
  <c r="T24" i="19" s="1"/>
  <c r="F104" i="19"/>
  <c r="G43" i="19"/>
  <c r="F105" i="19"/>
  <c r="G44" i="19"/>
  <c r="I48" i="19"/>
  <c r="H47" i="19"/>
  <c r="D6" i="22" s="1"/>
  <c r="F24" i="21" s="1"/>
  <c r="G33" i="21" s="1"/>
  <c r="H42" i="21" s="1"/>
  <c r="G34" i="19"/>
  <c r="F95" i="19"/>
  <c r="F32" i="19"/>
  <c r="B5" i="22" s="1"/>
  <c r="G19" i="19"/>
  <c r="H19" i="19" s="1"/>
  <c r="I19" i="19" s="1"/>
  <c r="J19" i="19" s="1"/>
  <c r="K19" i="19" s="1"/>
  <c r="L19" i="19" s="1"/>
  <c r="M19" i="19" s="1"/>
  <c r="N19" i="19" s="1"/>
  <c r="O19" i="19" s="1"/>
  <c r="P19" i="19" s="1"/>
  <c r="Q19" i="19" s="1"/>
  <c r="R19" i="19" s="1"/>
  <c r="S19" i="19" s="1"/>
  <c r="T19" i="19" s="1"/>
  <c r="G36" i="19"/>
  <c r="F97" i="19"/>
  <c r="F106" i="19"/>
  <c r="G45" i="19"/>
  <c r="G25" i="19"/>
  <c r="H25" i="19" s="1"/>
  <c r="I25" i="19" s="1"/>
  <c r="J25" i="19" s="1"/>
  <c r="K25" i="19" s="1"/>
  <c r="L25" i="19" s="1"/>
  <c r="M25" i="19" s="1"/>
  <c r="N25" i="19" s="1"/>
  <c r="O25" i="19" s="1"/>
  <c r="P25" i="19" s="1"/>
  <c r="Q25" i="19" s="1"/>
  <c r="R25" i="19" s="1"/>
  <c r="S25" i="19" s="1"/>
  <c r="T25" i="19" s="1"/>
  <c r="G21" i="19"/>
  <c r="H21" i="19" s="1"/>
  <c r="I21" i="19" s="1"/>
  <c r="J21" i="19" s="1"/>
  <c r="K21" i="19" s="1"/>
  <c r="L21" i="19" s="1"/>
  <c r="M21" i="19" s="1"/>
  <c r="N21" i="19" s="1"/>
  <c r="O21" i="19" s="1"/>
  <c r="P21" i="19" s="1"/>
  <c r="Q21" i="19" s="1"/>
  <c r="R21" i="19" s="1"/>
  <c r="S21" i="19" s="1"/>
  <c r="T21" i="19" s="1"/>
  <c r="G20" i="19"/>
  <c r="H20" i="19" s="1"/>
  <c r="I20" i="19" s="1"/>
  <c r="J20" i="19" s="1"/>
  <c r="K20" i="19" s="1"/>
  <c r="L20" i="19" s="1"/>
  <c r="M20" i="19" s="1"/>
  <c r="N20" i="19" s="1"/>
  <c r="O20" i="19" s="1"/>
  <c r="P20" i="19" s="1"/>
  <c r="Q20" i="19" s="1"/>
  <c r="R20" i="19" s="1"/>
  <c r="S20" i="19" s="1"/>
  <c r="T20" i="19" s="1"/>
  <c r="G42" i="19"/>
  <c r="F103" i="19"/>
  <c r="G18" i="19"/>
  <c r="G26" i="19"/>
  <c r="H26" i="19" s="1"/>
  <c r="I26" i="19" s="1"/>
  <c r="J26" i="19" s="1"/>
  <c r="K26" i="19" s="1"/>
  <c r="L26" i="19" s="1"/>
  <c r="M26" i="19" s="1"/>
  <c r="N26" i="19" s="1"/>
  <c r="O26" i="19" s="1"/>
  <c r="P26" i="19" s="1"/>
  <c r="Q26" i="19" s="1"/>
  <c r="R26" i="19" s="1"/>
  <c r="S26" i="19" s="1"/>
  <c r="T26" i="19" s="1"/>
  <c r="G38" i="19"/>
  <c r="F99" i="19"/>
  <c r="F62" i="12"/>
  <c r="N62" i="12" s="1"/>
  <c r="F34" i="12"/>
  <c r="N34" i="12" s="1"/>
  <c r="X6" i="12"/>
  <c r="N79" i="2"/>
  <c r="N89" i="2" s="1"/>
  <c r="N143" i="20"/>
  <c r="N182" i="20" s="1"/>
  <c r="H152" i="20"/>
  <c r="H182" i="20" s="1"/>
  <c r="I161" i="20"/>
  <c r="I183" i="20" s="1"/>
  <c r="M161" i="20"/>
  <c r="M183" i="20" s="1"/>
  <c r="L152" i="20"/>
  <c r="J161" i="20"/>
  <c r="J183" i="20" s="1"/>
  <c r="I152" i="20"/>
  <c r="I182" i="20" s="1"/>
  <c r="L143" i="20"/>
  <c r="F143" i="20"/>
  <c r="F182" i="20" s="1"/>
  <c r="J143" i="20"/>
  <c r="J182" i="20" s="1"/>
  <c r="P152" i="20"/>
  <c r="Q161" i="20"/>
  <c r="Q183" i="20" s="1"/>
  <c r="J92" i="19"/>
  <c r="J29" i="19"/>
  <c r="F4" i="22" s="1"/>
  <c r="H22" i="21" s="1"/>
  <c r="I31" i="21" s="1"/>
  <c r="J40" i="21" s="1"/>
  <c r="J91" i="19"/>
  <c r="X90" i="12" l="1"/>
  <c r="N90" i="12"/>
  <c r="F67" i="5"/>
  <c r="G79" i="5" s="1"/>
  <c r="G6" i="20"/>
  <c r="H15" i="20"/>
  <c r="D12" i="20"/>
  <c r="E12" i="20" s="1"/>
  <c r="F12" i="20" s="1"/>
  <c r="G12" i="20" s="1"/>
  <c r="H12" i="20" s="1"/>
  <c r="I12" i="20" s="1"/>
  <c r="C169" i="21"/>
  <c r="D25" i="21"/>
  <c r="E34" i="21" s="1"/>
  <c r="F43" i="21" s="1"/>
  <c r="C167" i="21"/>
  <c r="D23" i="21"/>
  <c r="E32" i="21" s="1"/>
  <c r="F41" i="21" s="1"/>
  <c r="K68" i="1"/>
  <c r="K67" i="1"/>
  <c r="K66" i="1"/>
  <c r="K40" i="1"/>
  <c r="K37" i="1"/>
  <c r="K41" i="1"/>
  <c r="K39" i="1"/>
  <c r="K38" i="1"/>
  <c r="E8" i="20"/>
  <c r="E174" i="20" s="1"/>
  <c r="K64" i="1"/>
  <c r="K65" i="1"/>
  <c r="F31" i="20"/>
  <c r="G40" i="20" s="1"/>
  <c r="H49" i="20" s="1"/>
  <c r="I58" i="20" s="1"/>
  <c r="J67" i="20" s="1"/>
  <c r="K76" i="20" s="1"/>
  <c r="L85" i="20" s="1"/>
  <c r="M94" i="20" s="1"/>
  <c r="N103" i="20" s="1"/>
  <c r="O112" i="20" s="1"/>
  <c r="P121" i="20" s="1"/>
  <c r="Q130" i="20" s="1"/>
  <c r="R139" i="20" s="1"/>
  <c r="S148" i="20" s="1"/>
  <c r="T157" i="20" s="1"/>
  <c r="G31" i="20"/>
  <c r="H40" i="20" s="1"/>
  <c r="I49" i="20" s="1"/>
  <c r="J58" i="20" s="1"/>
  <c r="K67" i="20" s="1"/>
  <c r="L76" i="20" s="1"/>
  <c r="M85" i="20" s="1"/>
  <c r="N94" i="20" s="1"/>
  <c r="O103" i="20" s="1"/>
  <c r="P112" i="20" s="1"/>
  <c r="Q121" i="20" s="1"/>
  <c r="R130" i="20" s="1"/>
  <c r="S139" i="20" s="1"/>
  <c r="T148" i="20" s="1"/>
  <c r="U157" i="20" s="1"/>
  <c r="E167" i="20"/>
  <c r="D174" i="21"/>
  <c r="B171" i="20"/>
  <c r="B174" i="20"/>
  <c r="E8" i="21"/>
  <c r="E174" i="21" s="1"/>
  <c r="E5" i="21"/>
  <c r="G5" i="20"/>
  <c r="F8" i="20"/>
  <c r="F174" i="20" s="1"/>
  <c r="I50" i="19"/>
  <c r="E7" i="22" s="1"/>
  <c r="G25" i="21" s="1"/>
  <c r="H34" i="21" s="1"/>
  <c r="I43" i="21" s="1"/>
  <c r="H47" i="20"/>
  <c r="F8" i="19"/>
  <c r="B2" i="22"/>
  <c r="D20" i="21" s="1"/>
  <c r="E29" i="21" s="1"/>
  <c r="F38" i="21" s="1"/>
  <c r="H50" i="19"/>
  <c r="D7" i="22" s="1"/>
  <c r="F25" i="21" s="1"/>
  <c r="G34" i="21" s="1"/>
  <c r="H43" i="21" s="1"/>
  <c r="G7" i="19"/>
  <c r="H11" i="19"/>
  <c r="G9" i="19"/>
  <c r="C2" i="22" s="1"/>
  <c r="E20" i="21" s="1"/>
  <c r="F29" i="21" s="1"/>
  <c r="G38" i="21" s="1"/>
  <c r="E15" i="19"/>
  <c r="F76" i="19" s="1"/>
  <c r="G50" i="19"/>
  <c r="C7" i="22" s="1"/>
  <c r="E25" i="21" s="1"/>
  <c r="F34" i="21" s="1"/>
  <c r="G43" i="21" s="1"/>
  <c r="L60" i="1"/>
  <c r="L33" i="1"/>
  <c r="J2" i="21"/>
  <c r="E60" i="19"/>
  <c r="F121" i="19" s="1"/>
  <c r="G121" i="19" s="1"/>
  <c r="H121" i="19" s="1"/>
  <c r="I121" i="19" s="1"/>
  <c r="J121" i="19" s="1"/>
  <c r="K121" i="19" s="1"/>
  <c r="L121" i="19" s="1"/>
  <c r="E25" i="19"/>
  <c r="F86" i="19" s="1"/>
  <c r="G86" i="19" s="1"/>
  <c r="H86" i="19" s="1"/>
  <c r="I86" i="19" s="1"/>
  <c r="J86" i="19" s="1"/>
  <c r="K86" i="19" s="1"/>
  <c r="L86" i="19" s="1"/>
  <c r="E24" i="19"/>
  <c r="F85" i="19" s="1"/>
  <c r="G85" i="19" s="1"/>
  <c r="H85" i="19" s="1"/>
  <c r="I85" i="19" s="1"/>
  <c r="J85" i="19" s="1"/>
  <c r="K85" i="19" s="1"/>
  <c r="L85" i="19" s="1"/>
  <c r="E21" i="19"/>
  <c r="F82" i="19" s="1"/>
  <c r="G82" i="19" s="1"/>
  <c r="H82" i="19" s="1"/>
  <c r="I82" i="19" s="1"/>
  <c r="J82" i="19" s="1"/>
  <c r="K82" i="19" s="1"/>
  <c r="L82" i="19" s="1"/>
  <c r="H37" i="19"/>
  <c r="G98" i="19"/>
  <c r="H18" i="19"/>
  <c r="G16" i="19"/>
  <c r="C3" i="22" s="1"/>
  <c r="E21" i="21" s="1"/>
  <c r="F30" i="21" s="1"/>
  <c r="G39" i="21" s="1"/>
  <c r="H36" i="19"/>
  <c r="G97" i="19"/>
  <c r="H44" i="19"/>
  <c r="G105" i="19"/>
  <c r="H35" i="19"/>
  <c r="G96" i="19"/>
  <c r="E19" i="19"/>
  <c r="F80" i="19" s="1"/>
  <c r="G80" i="19" s="1"/>
  <c r="H80" i="19" s="1"/>
  <c r="I80" i="19" s="1"/>
  <c r="J80" i="19" s="1"/>
  <c r="K80" i="19" s="1"/>
  <c r="L80" i="19" s="1"/>
  <c r="H34" i="19"/>
  <c r="G32" i="19"/>
  <c r="C5" i="22" s="1"/>
  <c r="E23" i="21" s="1"/>
  <c r="F32" i="21" s="1"/>
  <c r="G41" i="21" s="1"/>
  <c r="G95" i="19"/>
  <c r="H38" i="19"/>
  <c r="G99" i="19"/>
  <c r="H42" i="19"/>
  <c r="G103" i="19"/>
  <c r="H43" i="19"/>
  <c r="G104" i="19"/>
  <c r="B3" i="22"/>
  <c r="J48" i="19"/>
  <c r="I47" i="19"/>
  <c r="E6" i="22" s="1"/>
  <c r="G24" i="21" s="1"/>
  <c r="H33" i="21" s="1"/>
  <c r="I42" i="21" s="1"/>
  <c r="E26" i="19"/>
  <c r="F87" i="19" s="1"/>
  <c r="G87" i="19" s="1"/>
  <c r="H87" i="19" s="1"/>
  <c r="I87" i="19" s="1"/>
  <c r="J87" i="19" s="1"/>
  <c r="K87" i="19" s="1"/>
  <c r="L87" i="19" s="1"/>
  <c r="E20" i="19"/>
  <c r="F81" i="19" s="1"/>
  <c r="G81" i="19" s="1"/>
  <c r="H81" i="19" s="1"/>
  <c r="I81" i="19" s="1"/>
  <c r="J81" i="19" s="1"/>
  <c r="K81" i="19" s="1"/>
  <c r="L81" i="19" s="1"/>
  <c r="H41" i="19"/>
  <c r="G102" i="19"/>
  <c r="H45" i="19"/>
  <c r="G106" i="19"/>
  <c r="F93" i="19"/>
  <c r="B14" i="22" s="1"/>
  <c r="L182" i="20"/>
  <c r="O79" i="2"/>
  <c r="O89" i="2" s="1"/>
  <c r="J90" i="19"/>
  <c r="F13" i="22" s="1"/>
  <c r="H22" i="20" s="1"/>
  <c r="O152" i="20"/>
  <c r="O182" i="20" s="1"/>
  <c r="P161" i="20"/>
  <c r="P183" i="20" s="1"/>
  <c r="L161" i="20"/>
  <c r="L183" i="20" s="1"/>
  <c r="K152" i="20"/>
  <c r="K182" i="20" s="1"/>
  <c r="G152" i="20"/>
  <c r="G182" i="20" s="1"/>
  <c r="H161" i="20"/>
  <c r="H183" i="20" s="1"/>
  <c r="N161" i="20"/>
  <c r="N183" i="20" s="1"/>
  <c r="M152" i="20"/>
  <c r="M182" i="20" s="1"/>
  <c r="K29" i="19"/>
  <c r="G4" i="22" s="1"/>
  <c r="I22" i="21" s="1"/>
  <c r="J31" i="21" s="1"/>
  <c r="K40" i="21" s="1"/>
  <c r="K91" i="19"/>
  <c r="K92" i="19"/>
  <c r="J50" i="19"/>
  <c r="F7" i="22" s="1"/>
  <c r="H25" i="21" s="1"/>
  <c r="I34" i="21" s="1"/>
  <c r="J43" i="21" s="1"/>
  <c r="G67" i="5" l="1"/>
  <c r="H6" i="20"/>
  <c r="J15" i="20" s="1"/>
  <c r="I15" i="20"/>
  <c r="C165" i="21"/>
  <c r="D21" i="21"/>
  <c r="E30" i="21" s="1"/>
  <c r="F39" i="21" s="1"/>
  <c r="C168" i="20"/>
  <c r="D23" i="20"/>
  <c r="F167" i="20"/>
  <c r="L40" i="1"/>
  <c r="L42" i="1"/>
  <c r="L41" i="1"/>
  <c r="L37" i="1"/>
  <c r="L38" i="1"/>
  <c r="L39" i="1"/>
  <c r="L68" i="1"/>
  <c r="L67" i="1"/>
  <c r="L66" i="1"/>
  <c r="L64" i="1"/>
  <c r="L65" i="1"/>
  <c r="H31" i="20"/>
  <c r="I40" i="20" s="1"/>
  <c r="J49" i="20" s="1"/>
  <c r="K58" i="20" s="1"/>
  <c r="L67" i="20" s="1"/>
  <c r="M76" i="20" s="1"/>
  <c r="N85" i="20" s="1"/>
  <c r="O94" i="20" s="1"/>
  <c r="P103" i="20" s="1"/>
  <c r="Q112" i="20" s="1"/>
  <c r="R121" i="20" s="1"/>
  <c r="S130" i="20" s="1"/>
  <c r="T139" i="20" s="1"/>
  <c r="U148" i="20" s="1"/>
  <c r="D17" i="21"/>
  <c r="F8" i="21"/>
  <c r="F174" i="21" s="1"/>
  <c r="F5" i="21"/>
  <c r="H5" i="20"/>
  <c r="G8" i="20"/>
  <c r="G174" i="20" s="1"/>
  <c r="G167" i="20"/>
  <c r="H9" i="19"/>
  <c r="D2" i="22" s="1"/>
  <c r="I11" i="19"/>
  <c r="I56" i="20"/>
  <c r="M60" i="1"/>
  <c r="M33" i="1"/>
  <c r="K2" i="21"/>
  <c r="K48" i="19"/>
  <c r="J47" i="19"/>
  <c r="F6" i="22" s="1"/>
  <c r="H24" i="21" s="1"/>
  <c r="I33" i="21" s="1"/>
  <c r="J42" i="21" s="1"/>
  <c r="I36" i="19"/>
  <c r="H97" i="19"/>
  <c r="G93" i="19"/>
  <c r="C14" i="22" s="1"/>
  <c r="E23" i="20" s="1"/>
  <c r="I43" i="19"/>
  <c r="H104" i="19"/>
  <c r="I45" i="19"/>
  <c r="H106" i="19"/>
  <c r="I34" i="19"/>
  <c r="H32" i="19"/>
  <c r="D5" i="22" s="1"/>
  <c r="F23" i="21" s="1"/>
  <c r="G32" i="21" s="1"/>
  <c r="H41" i="21" s="1"/>
  <c r="H95" i="19"/>
  <c r="I41" i="19"/>
  <c r="H102" i="19"/>
  <c r="I18" i="19"/>
  <c r="H16" i="19"/>
  <c r="D3" i="22" s="1"/>
  <c r="F21" i="21" s="1"/>
  <c r="G30" i="21" s="1"/>
  <c r="H39" i="21" s="1"/>
  <c r="H7" i="19"/>
  <c r="I42" i="19"/>
  <c r="H103" i="19"/>
  <c r="I38" i="19"/>
  <c r="H99" i="19"/>
  <c r="I35" i="19"/>
  <c r="H96" i="19"/>
  <c r="I44" i="19"/>
  <c r="H105" i="19"/>
  <c r="I37" i="19"/>
  <c r="H98" i="19"/>
  <c r="P79" i="2"/>
  <c r="P89" i="2" s="1"/>
  <c r="K90" i="19"/>
  <c r="G13" i="22" s="1"/>
  <c r="I22" i="20" s="1"/>
  <c r="K50" i="19"/>
  <c r="G7" i="22" s="1"/>
  <c r="I25" i="21" s="1"/>
  <c r="J34" i="21" s="1"/>
  <c r="K43" i="21" s="1"/>
  <c r="L29" i="19"/>
  <c r="H4" i="22" s="1"/>
  <c r="J22" i="21" s="1"/>
  <c r="K31" i="21" s="1"/>
  <c r="L40" i="21" s="1"/>
  <c r="L91" i="19"/>
  <c r="L92" i="19"/>
  <c r="H79" i="5" l="1"/>
  <c r="H89" i="5" s="1"/>
  <c r="H67" i="5"/>
  <c r="F20" i="21"/>
  <c r="G29" i="21" s="1"/>
  <c r="H38" i="21" s="1"/>
  <c r="M69" i="1"/>
  <c r="M68" i="1"/>
  <c r="M70" i="1"/>
  <c r="M67" i="1"/>
  <c r="M66" i="1"/>
  <c r="M43" i="1"/>
  <c r="M39" i="1"/>
  <c r="M38" i="1"/>
  <c r="M41" i="1"/>
  <c r="M37" i="1"/>
  <c r="M42" i="1"/>
  <c r="M40" i="1"/>
  <c r="M64" i="1"/>
  <c r="M65" i="1"/>
  <c r="I31" i="20"/>
  <c r="J40" i="20" s="1"/>
  <c r="K49" i="20" s="1"/>
  <c r="L58" i="20" s="1"/>
  <c r="M67" i="20" s="1"/>
  <c r="N76" i="20" s="1"/>
  <c r="O85" i="20" s="1"/>
  <c r="P94" i="20" s="1"/>
  <c r="Q103" i="20" s="1"/>
  <c r="R112" i="20" s="1"/>
  <c r="S121" i="20" s="1"/>
  <c r="T130" i="20" s="1"/>
  <c r="U139" i="20" s="1"/>
  <c r="E32" i="20"/>
  <c r="F41" i="20" s="1"/>
  <c r="G50" i="20" s="1"/>
  <c r="H59" i="20" s="1"/>
  <c r="I68" i="20" s="1"/>
  <c r="J77" i="20" s="1"/>
  <c r="K86" i="20" s="1"/>
  <c r="L95" i="20" s="1"/>
  <c r="M104" i="20" s="1"/>
  <c r="N113" i="20" s="1"/>
  <c r="O122" i="20" s="1"/>
  <c r="P131" i="20" s="1"/>
  <c r="Q140" i="20" s="1"/>
  <c r="R149" i="20" s="1"/>
  <c r="S158" i="20" s="1"/>
  <c r="C164" i="21"/>
  <c r="C170" i="21" s="1"/>
  <c r="G8" i="21"/>
  <c r="G174" i="21" s="1"/>
  <c r="G5" i="21"/>
  <c r="I5" i="20"/>
  <c r="H8" i="20"/>
  <c r="H174" i="20" s="1"/>
  <c r="H167" i="20"/>
  <c r="D168" i="20"/>
  <c r="J65" i="20"/>
  <c r="J11" i="19"/>
  <c r="I9" i="19"/>
  <c r="E2" i="22" s="1"/>
  <c r="N60" i="1"/>
  <c r="N33" i="1"/>
  <c r="L2" i="21"/>
  <c r="H93" i="19"/>
  <c r="D14" i="22" s="1"/>
  <c r="F23" i="20" s="1"/>
  <c r="J44" i="19"/>
  <c r="I105" i="19"/>
  <c r="J18" i="19"/>
  <c r="I16" i="19"/>
  <c r="E3" i="22" s="1"/>
  <c r="G21" i="21" s="1"/>
  <c r="H30" i="21" s="1"/>
  <c r="I39" i="21" s="1"/>
  <c r="I7" i="19"/>
  <c r="J34" i="19"/>
  <c r="I32" i="19"/>
  <c r="E5" i="22" s="1"/>
  <c r="G23" i="21" s="1"/>
  <c r="H32" i="21" s="1"/>
  <c r="I41" i="21" s="1"/>
  <c r="I95" i="19"/>
  <c r="J36" i="19"/>
  <c r="I97" i="19"/>
  <c r="J37" i="19"/>
  <c r="I98" i="19"/>
  <c r="J35" i="19"/>
  <c r="I96" i="19"/>
  <c r="J41" i="19"/>
  <c r="I102" i="19"/>
  <c r="J38" i="19"/>
  <c r="I99" i="19"/>
  <c r="L48" i="19"/>
  <c r="K47" i="19"/>
  <c r="G6" i="22" s="1"/>
  <c r="I24" i="21" s="1"/>
  <c r="J33" i="21" s="1"/>
  <c r="K42" i="21" s="1"/>
  <c r="J43" i="19"/>
  <c r="I104" i="19"/>
  <c r="J45" i="19"/>
  <c r="I106" i="19"/>
  <c r="J42" i="19"/>
  <c r="I103" i="19"/>
  <c r="Q79" i="2"/>
  <c r="Q89" i="2" s="1"/>
  <c r="M29" i="19"/>
  <c r="I4" i="22" s="1"/>
  <c r="K22" i="21" s="1"/>
  <c r="L31" i="21" s="1"/>
  <c r="M40" i="21" s="1"/>
  <c r="M91" i="19"/>
  <c r="L90" i="19"/>
  <c r="H13" i="22" s="1"/>
  <c r="J22" i="20" s="1"/>
  <c r="M92" i="19"/>
  <c r="L50" i="19"/>
  <c r="H7" i="22" s="1"/>
  <c r="J25" i="21" s="1"/>
  <c r="K34" i="21" s="1"/>
  <c r="L43" i="21" s="1"/>
  <c r="I67" i="5" l="1"/>
  <c r="I79" i="5"/>
  <c r="I89" i="5" s="1"/>
  <c r="G20" i="21"/>
  <c r="H29" i="21" s="1"/>
  <c r="I38" i="21" s="1"/>
  <c r="N71" i="1"/>
  <c r="N68" i="1"/>
  <c r="N66" i="1"/>
  <c r="N69" i="1"/>
  <c r="N70" i="1"/>
  <c r="N67" i="1"/>
  <c r="N41" i="1"/>
  <c r="N43" i="1"/>
  <c r="N39" i="1"/>
  <c r="N38" i="1"/>
  <c r="N42" i="1"/>
  <c r="N37" i="1"/>
  <c r="N44" i="1"/>
  <c r="N40" i="1"/>
  <c r="N64" i="1"/>
  <c r="N65" i="1"/>
  <c r="F32" i="20"/>
  <c r="G41" i="20" s="1"/>
  <c r="H50" i="20" s="1"/>
  <c r="I59" i="20" s="1"/>
  <c r="J68" i="20" s="1"/>
  <c r="K77" i="20" s="1"/>
  <c r="L86" i="20" s="1"/>
  <c r="M95" i="20" s="1"/>
  <c r="N104" i="20" s="1"/>
  <c r="O113" i="20" s="1"/>
  <c r="P122" i="20" s="1"/>
  <c r="Q131" i="20" s="1"/>
  <c r="R140" i="20" s="1"/>
  <c r="S149" i="20" s="1"/>
  <c r="T158" i="20" s="1"/>
  <c r="J31" i="20"/>
  <c r="K40" i="20" s="1"/>
  <c r="L49" i="20" s="1"/>
  <c r="M58" i="20" s="1"/>
  <c r="N67" i="20" s="1"/>
  <c r="O76" i="20" s="1"/>
  <c r="P85" i="20" s="1"/>
  <c r="Q94" i="20" s="1"/>
  <c r="R103" i="20" s="1"/>
  <c r="S112" i="20" s="1"/>
  <c r="T121" i="20" s="1"/>
  <c r="U130" i="20" s="1"/>
  <c r="G47" i="21"/>
  <c r="H56" i="21" s="1"/>
  <c r="I65" i="21" s="1"/>
  <c r="D164" i="21"/>
  <c r="H5" i="21"/>
  <c r="H8" i="21"/>
  <c r="H174" i="21" s="1"/>
  <c r="J5" i="20"/>
  <c r="I8" i="20"/>
  <c r="I174" i="20" s="1"/>
  <c r="I167" i="20"/>
  <c r="K11" i="19"/>
  <c r="J9" i="19"/>
  <c r="F2" i="22" s="1"/>
  <c r="H20" i="21" s="1"/>
  <c r="I29" i="21" s="1"/>
  <c r="J38" i="21" s="1"/>
  <c r="E168" i="20"/>
  <c r="K74" i="20"/>
  <c r="O33" i="1"/>
  <c r="O60" i="1"/>
  <c r="M2" i="21"/>
  <c r="K18" i="19"/>
  <c r="J7" i="19"/>
  <c r="J16" i="19"/>
  <c r="F3" i="22" s="1"/>
  <c r="H21" i="21" s="1"/>
  <c r="I30" i="21" s="1"/>
  <c r="J39" i="21" s="1"/>
  <c r="M48" i="19"/>
  <c r="L47" i="19"/>
  <c r="H6" i="22" s="1"/>
  <c r="J24" i="21" s="1"/>
  <c r="K33" i="21" s="1"/>
  <c r="L42" i="21" s="1"/>
  <c r="K37" i="19"/>
  <c r="J98" i="19"/>
  <c r="K38" i="19"/>
  <c r="J99" i="19"/>
  <c r="K45" i="19"/>
  <c r="J106" i="19"/>
  <c r="K41" i="19"/>
  <c r="J102" i="19"/>
  <c r="K36" i="19"/>
  <c r="J97" i="19"/>
  <c r="K44" i="19"/>
  <c r="J105" i="19"/>
  <c r="K42" i="19"/>
  <c r="J103" i="19"/>
  <c r="K34" i="19"/>
  <c r="J32" i="19"/>
  <c r="F5" i="22" s="1"/>
  <c r="H23" i="21" s="1"/>
  <c r="I32" i="21" s="1"/>
  <c r="J41" i="21" s="1"/>
  <c r="J95" i="19"/>
  <c r="K43" i="19"/>
  <c r="J104" i="19"/>
  <c r="K35" i="19"/>
  <c r="J96" i="19"/>
  <c r="I93" i="19"/>
  <c r="E14" i="22" s="1"/>
  <c r="G23" i="20" s="1"/>
  <c r="R79" i="2"/>
  <c r="R89" i="2" s="1"/>
  <c r="N92" i="19"/>
  <c r="M90" i="19"/>
  <c r="I13" i="22" s="1"/>
  <c r="K22" i="20" s="1"/>
  <c r="N29" i="19"/>
  <c r="J4" i="22" s="1"/>
  <c r="L22" i="21" s="1"/>
  <c r="M31" i="21" s="1"/>
  <c r="N40" i="21" s="1"/>
  <c r="N91" i="19"/>
  <c r="M50" i="19"/>
  <c r="I7" i="22" s="1"/>
  <c r="K25" i="21" s="1"/>
  <c r="L34" i="21" s="1"/>
  <c r="M43" i="21" s="1"/>
  <c r="J79" i="5" l="1"/>
  <c r="J89" i="5" s="1"/>
  <c r="J67" i="5"/>
  <c r="O71" i="1"/>
  <c r="O69" i="1"/>
  <c r="O72" i="1"/>
  <c r="O68" i="1"/>
  <c r="O70" i="1"/>
  <c r="O67" i="1"/>
  <c r="O66" i="1"/>
  <c r="O44" i="1"/>
  <c r="O42" i="1"/>
  <c r="O39" i="1"/>
  <c r="O38" i="1"/>
  <c r="O40" i="1"/>
  <c r="O45" i="1"/>
  <c r="O37" i="1"/>
  <c r="O43" i="1"/>
  <c r="O41" i="1"/>
  <c r="J167" i="20"/>
  <c r="O64" i="1"/>
  <c r="O65" i="1"/>
  <c r="G32" i="20"/>
  <c r="H41" i="20" s="1"/>
  <c r="I50" i="20" s="1"/>
  <c r="J59" i="20" s="1"/>
  <c r="K68" i="20" s="1"/>
  <c r="L77" i="20" s="1"/>
  <c r="M86" i="20" s="1"/>
  <c r="N95" i="20" s="1"/>
  <c r="O104" i="20" s="1"/>
  <c r="P113" i="20" s="1"/>
  <c r="Q122" i="20" s="1"/>
  <c r="R131" i="20" s="1"/>
  <c r="S140" i="20" s="1"/>
  <c r="T149" i="20" s="1"/>
  <c r="U158" i="20" s="1"/>
  <c r="K31" i="20"/>
  <c r="L40" i="20" s="1"/>
  <c r="M49" i="20" s="1"/>
  <c r="N58" i="20" s="1"/>
  <c r="O67" i="20" s="1"/>
  <c r="P76" i="20" s="1"/>
  <c r="Q85" i="20" s="1"/>
  <c r="R94" i="20" s="1"/>
  <c r="S103" i="20" s="1"/>
  <c r="T112" i="20" s="1"/>
  <c r="U121" i="20" s="1"/>
  <c r="J74" i="21"/>
  <c r="I5" i="21"/>
  <c r="I8" i="21"/>
  <c r="I174" i="21" s="1"/>
  <c r="K5" i="20"/>
  <c r="J8" i="20"/>
  <c r="J174" i="20" s="1"/>
  <c r="F168" i="20"/>
  <c r="L83" i="20"/>
  <c r="L11" i="19"/>
  <c r="K9" i="19"/>
  <c r="G2" i="22" s="1"/>
  <c r="I20" i="21" s="1"/>
  <c r="J29" i="21" s="1"/>
  <c r="K38" i="21" s="1"/>
  <c r="P60" i="1"/>
  <c r="P33" i="1"/>
  <c r="N2" i="21"/>
  <c r="L45" i="19"/>
  <c r="K106" i="19"/>
  <c r="L41" i="19"/>
  <c r="K102" i="19"/>
  <c r="L43" i="19"/>
  <c r="K104" i="19"/>
  <c r="L44" i="19"/>
  <c r="K105" i="19"/>
  <c r="N48" i="19"/>
  <c r="M47" i="19"/>
  <c r="I6" i="22" s="1"/>
  <c r="K24" i="21" s="1"/>
  <c r="L33" i="21" s="1"/>
  <c r="M42" i="21" s="1"/>
  <c r="J93" i="19"/>
  <c r="F14" i="22" s="1"/>
  <c r="H23" i="20" s="1"/>
  <c r="L38" i="19"/>
  <c r="K99" i="19"/>
  <c r="L42" i="19"/>
  <c r="K103" i="19"/>
  <c r="L36" i="19"/>
  <c r="K97" i="19"/>
  <c r="L18" i="19"/>
  <c r="K7" i="19"/>
  <c r="K16" i="19"/>
  <c r="G3" i="22" s="1"/>
  <c r="I21" i="21" s="1"/>
  <c r="J30" i="21" s="1"/>
  <c r="K39" i="21" s="1"/>
  <c r="L35" i="19"/>
  <c r="K96" i="19"/>
  <c r="L34" i="19"/>
  <c r="K32" i="19"/>
  <c r="G5" i="22" s="1"/>
  <c r="I23" i="21" s="1"/>
  <c r="J32" i="21" s="1"/>
  <c r="K41" i="21" s="1"/>
  <c r="K95" i="19"/>
  <c r="L37" i="19"/>
  <c r="K98" i="19"/>
  <c r="S79" i="2"/>
  <c r="S89" i="2" s="1"/>
  <c r="N50" i="19"/>
  <c r="J7" i="22" s="1"/>
  <c r="L25" i="21" s="1"/>
  <c r="M34" i="21" s="1"/>
  <c r="N43" i="21" s="1"/>
  <c r="O92" i="19"/>
  <c r="O29" i="19"/>
  <c r="K4" i="22" s="1"/>
  <c r="M22" i="21" s="1"/>
  <c r="N31" i="21" s="1"/>
  <c r="O40" i="21" s="1"/>
  <c r="O91" i="19"/>
  <c r="N90" i="19"/>
  <c r="J13" i="22" s="1"/>
  <c r="L22" i="20" s="1"/>
  <c r="K67" i="5" l="1"/>
  <c r="K79" i="5"/>
  <c r="K89" i="5" s="1"/>
  <c r="P42" i="1"/>
  <c r="P43" i="1"/>
  <c r="P44" i="1"/>
  <c r="P39" i="1"/>
  <c r="P38" i="1"/>
  <c r="P46" i="1"/>
  <c r="P45" i="1"/>
  <c r="P40" i="1"/>
  <c r="P41" i="1"/>
  <c r="P37" i="1"/>
  <c r="P73" i="1"/>
  <c r="P71" i="1"/>
  <c r="P69" i="1"/>
  <c r="P72" i="1"/>
  <c r="P68" i="1"/>
  <c r="P70" i="1"/>
  <c r="P67" i="1"/>
  <c r="P66" i="1"/>
  <c r="K167" i="20"/>
  <c r="P64" i="1"/>
  <c r="P65" i="1"/>
  <c r="L31" i="20"/>
  <c r="M40" i="20" s="1"/>
  <c r="N49" i="20" s="1"/>
  <c r="O58" i="20" s="1"/>
  <c r="P67" i="20" s="1"/>
  <c r="Q76" i="20" s="1"/>
  <c r="R85" i="20" s="1"/>
  <c r="S94" i="20" s="1"/>
  <c r="T103" i="20" s="1"/>
  <c r="U112" i="20" s="1"/>
  <c r="H32" i="20"/>
  <c r="I41" i="20" s="1"/>
  <c r="J50" i="20" s="1"/>
  <c r="K59" i="20" s="1"/>
  <c r="L68" i="20" s="1"/>
  <c r="M77" i="20" s="1"/>
  <c r="N86" i="20" s="1"/>
  <c r="O95" i="20" s="1"/>
  <c r="P104" i="20" s="1"/>
  <c r="Q113" i="20" s="1"/>
  <c r="R122" i="20" s="1"/>
  <c r="S131" i="20" s="1"/>
  <c r="T140" i="20" s="1"/>
  <c r="U149" i="20" s="1"/>
  <c r="K83" i="21"/>
  <c r="J5" i="21"/>
  <c r="J8" i="21"/>
  <c r="J174" i="21" s="1"/>
  <c r="G168" i="20"/>
  <c r="K8" i="20"/>
  <c r="K174" i="20" s="1"/>
  <c r="L5" i="20"/>
  <c r="M11" i="19"/>
  <c r="L9" i="19"/>
  <c r="H2" i="22" s="1"/>
  <c r="J20" i="21" s="1"/>
  <c r="K29" i="21" s="1"/>
  <c r="L38" i="21" s="1"/>
  <c r="M92" i="20"/>
  <c r="Q60" i="1"/>
  <c r="Q33" i="1"/>
  <c r="O2" i="21"/>
  <c r="M35" i="19"/>
  <c r="L96" i="19"/>
  <c r="M38" i="19"/>
  <c r="L99" i="19"/>
  <c r="M43" i="19"/>
  <c r="L104" i="19"/>
  <c r="M41" i="19"/>
  <c r="L102" i="19"/>
  <c r="O48" i="19"/>
  <c r="N47" i="19"/>
  <c r="J6" i="22" s="1"/>
  <c r="L24" i="21" s="1"/>
  <c r="M33" i="21" s="1"/>
  <c r="N42" i="21" s="1"/>
  <c r="M44" i="19"/>
  <c r="L105" i="19"/>
  <c r="M18" i="19"/>
  <c r="L7" i="19"/>
  <c r="L16" i="19"/>
  <c r="H3" i="22" s="1"/>
  <c r="J21" i="21" s="1"/>
  <c r="K30" i="21" s="1"/>
  <c r="L39" i="21" s="1"/>
  <c r="M36" i="19"/>
  <c r="L97" i="19"/>
  <c r="M45" i="19"/>
  <c r="L106" i="19"/>
  <c r="M42" i="19"/>
  <c r="L103" i="19"/>
  <c r="M34" i="19"/>
  <c r="L32" i="19"/>
  <c r="H5" i="22" s="1"/>
  <c r="J23" i="21" s="1"/>
  <c r="K32" i="21" s="1"/>
  <c r="L41" i="21" s="1"/>
  <c r="L95" i="19"/>
  <c r="M37" i="19"/>
  <c r="L98" i="19"/>
  <c r="K93" i="19"/>
  <c r="G14" i="22" s="1"/>
  <c r="I23" i="20" s="1"/>
  <c r="T79" i="2"/>
  <c r="T89" i="2" s="1"/>
  <c r="P92" i="19"/>
  <c r="O90" i="19"/>
  <c r="K13" i="22" s="1"/>
  <c r="M22" i="20" s="1"/>
  <c r="P29" i="19"/>
  <c r="L4" i="22" s="1"/>
  <c r="N22" i="21" s="1"/>
  <c r="O31" i="21" s="1"/>
  <c r="P40" i="21" s="1"/>
  <c r="P91" i="19"/>
  <c r="O50" i="19"/>
  <c r="K7" i="22" s="1"/>
  <c r="M25" i="21" s="1"/>
  <c r="N34" i="21" s="1"/>
  <c r="O43" i="21" s="1"/>
  <c r="L67" i="5" l="1"/>
  <c r="L79" i="5"/>
  <c r="L89" i="5" s="1"/>
  <c r="Q42" i="1"/>
  <c r="Q41" i="1"/>
  <c r="Q45" i="1"/>
  <c r="Q40" i="1"/>
  <c r="Q39" i="1"/>
  <c r="Q44" i="1"/>
  <c r="Q43" i="1"/>
  <c r="Q38" i="1"/>
  <c r="Q46" i="1"/>
  <c r="Q47" i="1"/>
  <c r="Q37" i="1"/>
  <c r="Q68" i="1"/>
  <c r="Q70" i="1"/>
  <c r="Q67" i="1"/>
  <c r="Q66" i="1"/>
  <c r="Q71" i="1"/>
  <c r="Q69" i="1"/>
  <c r="Q72" i="1"/>
  <c r="Q73" i="1"/>
  <c r="Q74" i="1"/>
  <c r="Q64" i="1"/>
  <c r="Q65" i="1"/>
  <c r="I32" i="20"/>
  <c r="J41" i="20" s="1"/>
  <c r="K50" i="20" s="1"/>
  <c r="L59" i="20" s="1"/>
  <c r="M68" i="20" s="1"/>
  <c r="N77" i="20" s="1"/>
  <c r="O86" i="20" s="1"/>
  <c r="P95" i="20" s="1"/>
  <c r="Q104" i="20" s="1"/>
  <c r="R113" i="20" s="1"/>
  <c r="S122" i="20" s="1"/>
  <c r="T131" i="20" s="1"/>
  <c r="U140" i="20" s="1"/>
  <c r="M31" i="20"/>
  <c r="N40" i="20" s="1"/>
  <c r="O49" i="20" s="1"/>
  <c r="P58" i="20" s="1"/>
  <c r="Q67" i="20" s="1"/>
  <c r="R76" i="20" s="1"/>
  <c r="S85" i="20" s="1"/>
  <c r="T94" i="20" s="1"/>
  <c r="U103" i="20" s="1"/>
  <c r="L92" i="21"/>
  <c r="K5" i="21"/>
  <c r="K8" i="21"/>
  <c r="K174" i="21" s="1"/>
  <c r="M5" i="20"/>
  <c r="L8" i="20"/>
  <c r="L174" i="20" s="1"/>
  <c r="L167" i="20"/>
  <c r="H168" i="20"/>
  <c r="N11" i="19"/>
  <c r="M9" i="19"/>
  <c r="I2" i="22" s="1"/>
  <c r="K20" i="21" s="1"/>
  <c r="L29" i="21" s="1"/>
  <c r="M38" i="21" s="1"/>
  <c r="N101" i="20"/>
  <c r="R60" i="1"/>
  <c r="R33" i="1"/>
  <c r="P2" i="21"/>
  <c r="N44" i="19"/>
  <c r="M105" i="19"/>
  <c r="N43" i="19"/>
  <c r="M104" i="19"/>
  <c r="L93" i="19"/>
  <c r="H14" i="22" s="1"/>
  <c r="J23" i="20" s="1"/>
  <c r="N36" i="19"/>
  <c r="M97" i="19"/>
  <c r="N45" i="19"/>
  <c r="M106" i="19"/>
  <c r="P48" i="19"/>
  <c r="O47" i="19"/>
  <c r="K6" i="22" s="1"/>
  <c r="M24" i="21" s="1"/>
  <c r="N33" i="21" s="1"/>
  <c r="O42" i="21" s="1"/>
  <c r="N38" i="19"/>
  <c r="M99" i="19"/>
  <c r="N34" i="19"/>
  <c r="M32" i="19"/>
  <c r="I5" i="22" s="1"/>
  <c r="K23" i="21" s="1"/>
  <c r="L32" i="21" s="1"/>
  <c r="M41" i="21" s="1"/>
  <c r="M95" i="19"/>
  <c r="N41" i="19"/>
  <c r="M102" i="19"/>
  <c r="N18" i="19"/>
  <c r="M7" i="19"/>
  <c r="M16" i="19"/>
  <c r="I3" i="22" s="1"/>
  <c r="K21" i="21" s="1"/>
  <c r="L30" i="21" s="1"/>
  <c r="M39" i="21" s="1"/>
  <c r="N37" i="19"/>
  <c r="M98" i="19"/>
  <c r="N42" i="19"/>
  <c r="M103" i="19"/>
  <c r="N35" i="19"/>
  <c r="M96" i="19"/>
  <c r="U79" i="2"/>
  <c r="U89" i="2" s="1"/>
  <c r="P90" i="19"/>
  <c r="L13" i="22" s="1"/>
  <c r="N22" i="20" s="1"/>
  <c r="Q29" i="19"/>
  <c r="M4" i="22" s="1"/>
  <c r="O22" i="21" s="1"/>
  <c r="P31" i="21" s="1"/>
  <c r="Q40" i="21" s="1"/>
  <c r="Q91" i="19"/>
  <c r="P50" i="19"/>
  <c r="L7" i="22" s="1"/>
  <c r="N25" i="21" s="1"/>
  <c r="O34" i="21" s="1"/>
  <c r="P43" i="21" s="1"/>
  <c r="Q92" i="19"/>
  <c r="M67" i="5" l="1"/>
  <c r="M79" i="5"/>
  <c r="M89" i="5" s="1"/>
  <c r="R68" i="1"/>
  <c r="R70" i="1"/>
  <c r="R67" i="1"/>
  <c r="R66" i="1"/>
  <c r="R69" i="1"/>
  <c r="R71" i="1"/>
  <c r="R72" i="1"/>
  <c r="R75" i="1"/>
  <c r="R73" i="1"/>
  <c r="R74" i="1"/>
  <c r="R37" i="1"/>
  <c r="R44" i="1"/>
  <c r="R39" i="1"/>
  <c r="R42" i="1"/>
  <c r="R40" i="1"/>
  <c r="R43" i="1"/>
  <c r="R41" i="1"/>
  <c r="R38" i="1"/>
  <c r="R45" i="1"/>
  <c r="R48" i="1"/>
  <c r="R46" i="1"/>
  <c r="R47" i="1"/>
  <c r="M167" i="20"/>
  <c r="R64" i="1"/>
  <c r="R65" i="1"/>
  <c r="N31" i="20"/>
  <c r="O40" i="20" s="1"/>
  <c r="P49" i="20" s="1"/>
  <c r="Q58" i="20" s="1"/>
  <c r="R67" i="20" s="1"/>
  <c r="S76" i="20" s="1"/>
  <c r="T85" i="20" s="1"/>
  <c r="U94" i="20" s="1"/>
  <c r="J32" i="20"/>
  <c r="K41" i="20" s="1"/>
  <c r="L50" i="20" s="1"/>
  <c r="M59" i="20" s="1"/>
  <c r="N68" i="20" s="1"/>
  <c r="O77" i="20" s="1"/>
  <c r="P86" i="20" s="1"/>
  <c r="Q95" i="20" s="1"/>
  <c r="R104" i="20" s="1"/>
  <c r="S113" i="20" s="1"/>
  <c r="T122" i="20" s="1"/>
  <c r="U131" i="20" s="1"/>
  <c r="M101" i="21"/>
  <c r="L5" i="21"/>
  <c r="L8" i="21"/>
  <c r="L174" i="21" s="1"/>
  <c r="N5" i="20"/>
  <c r="M8" i="20"/>
  <c r="M174" i="20" s="1"/>
  <c r="O11" i="19"/>
  <c r="N9" i="19"/>
  <c r="J2" i="22" s="1"/>
  <c r="L20" i="21" s="1"/>
  <c r="M29" i="21" s="1"/>
  <c r="N38" i="21" s="1"/>
  <c r="I168" i="20"/>
  <c r="O110" i="20"/>
  <c r="S60" i="1"/>
  <c r="S33" i="1"/>
  <c r="O38" i="19"/>
  <c r="N99" i="19"/>
  <c r="O35" i="19"/>
  <c r="N96" i="19"/>
  <c r="O18" i="19"/>
  <c r="N16" i="19"/>
  <c r="J3" i="22" s="1"/>
  <c r="L21" i="21" s="1"/>
  <c r="M30" i="21" s="1"/>
  <c r="N39" i="21" s="1"/>
  <c r="N7" i="19"/>
  <c r="O34" i="19"/>
  <c r="N32" i="19"/>
  <c r="J5" i="22" s="1"/>
  <c r="L23" i="21" s="1"/>
  <c r="M32" i="21" s="1"/>
  <c r="N41" i="21" s="1"/>
  <c r="N95" i="19"/>
  <c r="O42" i="19"/>
  <c r="N103" i="19"/>
  <c r="O45" i="19"/>
  <c r="N106" i="19"/>
  <c r="M93" i="19"/>
  <c r="I14" i="22" s="1"/>
  <c r="K23" i="20" s="1"/>
  <c r="O41" i="19"/>
  <c r="N102" i="19"/>
  <c r="O43" i="19"/>
  <c r="N104" i="19"/>
  <c r="O37" i="19"/>
  <c r="N98" i="19"/>
  <c r="Q48" i="19"/>
  <c r="P47" i="19"/>
  <c r="L6" i="22" s="1"/>
  <c r="N24" i="21" s="1"/>
  <c r="O33" i="21" s="1"/>
  <c r="P42" i="21" s="1"/>
  <c r="O36" i="19"/>
  <c r="N97" i="19"/>
  <c r="O44" i="19"/>
  <c r="N105" i="19"/>
  <c r="V79" i="2"/>
  <c r="V89" i="2" s="1"/>
  <c r="Q90" i="19"/>
  <c r="M13" i="22" s="1"/>
  <c r="O22" i="20" s="1"/>
  <c r="R92" i="19"/>
  <c r="Q50" i="19"/>
  <c r="M7" i="22" s="1"/>
  <c r="O25" i="21" s="1"/>
  <c r="P34" i="21" s="1"/>
  <c r="Q43" i="21" s="1"/>
  <c r="R29" i="19"/>
  <c r="N4" i="22" s="1"/>
  <c r="P22" i="21" s="1"/>
  <c r="Q31" i="21" s="1"/>
  <c r="R40" i="21" s="1"/>
  <c r="R91" i="19"/>
  <c r="N67" i="5" l="1"/>
  <c r="N79" i="5"/>
  <c r="N89" i="5" s="1"/>
  <c r="S46" i="1"/>
  <c r="S47" i="1"/>
  <c r="S40" i="1"/>
  <c r="S37" i="1"/>
  <c r="S43" i="1"/>
  <c r="S49" i="1"/>
  <c r="S41" i="1"/>
  <c r="S44" i="1"/>
  <c r="S42" i="1"/>
  <c r="S39" i="1"/>
  <c r="S38" i="1"/>
  <c r="S45" i="1"/>
  <c r="S48" i="1"/>
  <c r="S73" i="1"/>
  <c r="S74" i="1"/>
  <c r="S68" i="1"/>
  <c r="S70" i="1"/>
  <c r="S67" i="1"/>
  <c r="S66" i="1"/>
  <c r="S71" i="1"/>
  <c r="S76" i="1"/>
  <c r="S69" i="1"/>
  <c r="S72" i="1"/>
  <c r="S75" i="1"/>
  <c r="S64" i="1"/>
  <c r="S65" i="1"/>
  <c r="O31" i="20"/>
  <c r="P40" i="20" s="1"/>
  <c r="Q49" i="20" s="1"/>
  <c r="R58" i="20" s="1"/>
  <c r="S67" i="20" s="1"/>
  <c r="T76" i="20" s="1"/>
  <c r="U85" i="20" s="1"/>
  <c r="K32" i="20"/>
  <c r="L41" i="20" s="1"/>
  <c r="M50" i="20" s="1"/>
  <c r="N59" i="20" s="1"/>
  <c r="O68" i="20" s="1"/>
  <c r="P77" i="20" s="1"/>
  <c r="Q86" i="20" s="1"/>
  <c r="R95" i="20" s="1"/>
  <c r="S104" i="20" s="1"/>
  <c r="T113" i="20" s="1"/>
  <c r="U122" i="20" s="1"/>
  <c r="N110" i="21"/>
  <c r="M5" i="21"/>
  <c r="M8" i="21"/>
  <c r="M174" i="21" s="1"/>
  <c r="O5" i="20"/>
  <c r="N8" i="20"/>
  <c r="N174" i="20" s="1"/>
  <c r="N167" i="20"/>
  <c r="P11" i="19"/>
  <c r="O9" i="19"/>
  <c r="K2" i="22" s="1"/>
  <c r="M20" i="21" s="1"/>
  <c r="N29" i="21" s="1"/>
  <c r="O38" i="21" s="1"/>
  <c r="P119" i="20"/>
  <c r="J168" i="20"/>
  <c r="T60" i="1"/>
  <c r="T33" i="1"/>
  <c r="R8" i="21"/>
  <c r="R174" i="21" s="1"/>
  <c r="R2" i="21"/>
  <c r="P37" i="19"/>
  <c r="O98" i="19"/>
  <c r="P18" i="19"/>
  <c r="O7" i="19"/>
  <c r="O16" i="19"/>
  <c r="K3" i="22" s="1"/>
  <c r="M21" i="21" s="1"/>
  <c r="N30" i="21" s="1"/>
  <c r="O39" i="21" s="1"/>
  <c r="P36" i="19"/>
  <c r="O97" i="19"/>
  <c r="N93" i="19"/>
  <c r="P42" i="19"/>
  <c r="O103" i="19"/>
  <c r="P35" i="19"/>
  <c r="O96" i="19"/>
  <c r="P41" i="19"/>
  <c r="O102" i="19"/>
  <c r="R48" i="19"/>
  <c r="Q47" i="19"/>
  <c r="M6" i="22" s="1"/>
  <c r="O24" i="21" s="1"/>
  <c r="P33" i="21" s="1"/>
  <c r="Q42" i="21" s="1"/>
  <c r="P43" i="19"/>
  <c r="O104" i="19"/>
  <c r="P34" i="19"/>
  <c r="O95" i="19"/>
  <c r="O32" i="19"/>
  <c r="K5" i="22" s="1"/>
  <c r="M23" i="21" s="1"/>
  <c r="N32" i="21" s="1"/>
  <c r="O41" i="21" s="1"/>
  <c r="P45" i="19"/>
  <c r="O106" i="19"/>
  <c r="P44" i="19"/>
  <c r="O105" i="19"/>
  <c r="P38" i="19"/>
  <c r="O99" i="19"/>
  <c r="W79" i="2"/>
  <c r="W89" i="2" s="1"/>
  <c r="R50" i="19"/>
  <c r="N7" i="22" s="1"/>
  <c r="P25" i="21" s="1"/>
  <c r="Q34" i="21" s="1"/>
  <c r="R43" i="21" s="1"/>
  <c r="S92" i="19"/>
  <c r="S29" i="19"/>
  <c r="O4" i="22" s="1"/>
  <c r="Q22" i="21" s="1"/>
  <c r="R31" i="21" s="1"/>
  <c r="S40" i="21" s="1"/>
  <c r="S91" i="19"/>
  <c r="R90" i="19"/>
  <c r="N13" i="22" s="1"/>
  <c r="P22" i="20" s="1"/>
  <c r="O67" i="5" l="1"/>
  <c r="O79" i="5"/>
  <c r="O89" i="5" s="1"/>
  <c r="T45" i="1"/>
  <c r="T48" i="1"/>
  <c r="T40" i="1"/>
  <c r="T46" i="1"/>
  <c r="T47" i="1"/>
  <c r="T43" i="1"/>
  <c r="T41" i="1"/>
  <c r="T37" i="1"/>
  <c r="T44" i="1"/>
  <c r="T50" i="1"/>
  <c r="T42" i="1"/>
  <c r="T49" i="1"/>
  <c r="T38" i="1"/>
  <c r="T39" i="1"/>
  <c r="T72" i="1"/>
  <c r="T75" i="1"/>
  <c r="T73" i="1"/>
  <c r="T74" i="1"/>
  <c r="T68" i="1"/>
  <c r="T70" i="1"/>
  <c r="T77" i="1"/>
  <c r="T67" i="1"/>
  <c r="T66" i="1"/>
  <c r="T71" i="1"/>
  <c r="T76" i="1"/>
  <c r="T69" i="1"/>
  <c r="T64" i="1"/>
  <c r="T65" i="1"/>
  <c r="L32" i="20"/>
  <c r="M41" i="20" s="1"/>
  <c r="N50" i="20" s="1"/>
  <c r="O59" i="20" s="1"/>
  <c r="P68" i="20" s="1"/>
  <c r="Q77" i="20" s="1"/>
  <c r="R86" i="20" s="1"/>
  <c r="S95" i="20" s="1"/>
  <c r="T104" i="20" s="1"/>
  <c r="U113" i="20" s="1"/>
  <c r="P31" i="20"/>
  <c r="Q40" i="20" s="1"/>
  <c r="R49" i="20" s="1"/>
  <c r="S58" i="20" s="1"/>
  <c r="T67" i="20" s="1"/>
  <c r="U76" i="20" s="1"/>
  <c r="O119" i="21"/>
  <c r="N8" i="21"/>
  <c r="N174" i="21" s="1"/>
  <c r="N5" i="21"/>
  <c r="P5" i="20"/>
  <c r="O8" i="20"/>
  <c r="O174" i="20" s="1"/>
  <c r="O167" i="20"/>
  <c r="Q11" i="19"/>
  <c r="P9" i="19"/>
  <c r="L2" i="22" s="1"/>
  <c r="N20" i="21" s="1"/>
  <c r="O29" i="21" s="1"/>
  <c r="P38" i="21" s="1"/>
  <c r="Q128" i="20"/>
  <c r="U60" i="1"/>
  <c r="U33" i="1"/>
  <c r="S2" i="21"/>
  <c r="S8" i="21"/>
  <c r="S174" i="21" s="1"/>
  <c r="Q35" i="19"/>
  <c r="P96" i="19"/>
  <c r="Q38" i="19"/>
  <c r="P99" i="19"/>
  <c r="Q45" i="19"/>
  <c r="P106" i="19"/>
  <c r="Q42" i="19"/>
  <c r="P103" i="19"/>
  <c r="Q18" i="19"/>
  <c r="P7" i="19"/>
  <c r="P16" i="19"/>
  <c r="L3" i="22" s="1"/>
  <c r="N21" i="21" s="1"/>
  <c r="O30" i="21" s="1"/>
  <c r="P39" i="21" s="1"/>
  <c r="S48" i="19"/>
  <c r="R47" i="19"/>
  <c r="N6" i="22" s="1"/>
  <c r="P24" i="21" s="1"/>
  <c r="Q33" i="21" s="1"/>
  <c r="R42" i="21" s="1"/>
  <c r="N69" i="19"/>
  <c r="J14" i="22"/>
  <c r="Q34" i="19"/>
  <c r="P32" i="19"/>
  <c r="L5" i="22" s="1"/>
  <c r="N23" i="21" s="1"/>
  <c r="O32" i="21" s="1"/>
  <c r="P41" i="21" s="1"/>
  <c r="P95" i="19"/>
  <c r="Q36" i="19"/>
  <c r="P97" i="19"/>
  <c r="Q41" i="19"/>
  <c r="P102" i="19"/>
  <c r="Q37" i="19"/>
  <c r="P98" i="19"/>
  <c r="O93" i="19"/>
  <c r="Q44" i="19"/>
  <c r="P105" i="19"/>
  <c r="Q43" i="19"/>
  <c r="P104" i="19"/>
  <c r="X79" i="2"/>
  <c r="X89" i="2" s="1"/>
  <c r="S50" i="19"/>
  <c r="O7" i="22" s="1"/>
  <c r="Q25" i="21" s="1"/>
  <c r="R34" i="21" s="1"/>
  <c r="S43" i="21" s="1"/>
  <c r="S90" i="19"/>
  <c r="O13" i="22" s="1"/>
  <c r="Q22" i="20" s="1"/>
  <c r="T29" i="19"/>
  <c r="P4" i="22" s="1"/>
  <c r="R22" i="21" s="1"/>
  <c r="S31" i="21" s="1"/>
  <c r="T40" i="21" s="1"/>
  <c r="T91" i="19"/>
  <c r="T92" i="19"/>
  <c r="P79" i="5" l="1"/>
  <c r="P89" i="5" s="1"/>
  <c r="P67" i="5"/>
  <c r="K168" i="20"/>
  <c r="L23" i="20"/>
  <c r="U69" i="1"/>
  <c r="U78" i="1"/>
  <c r="U72" i="1"/>
  <c r="U75" i="1"/>
  <c r="U73" i="1"/>
  <c r="U74" i="1"/>
  <c r="U68" i="1"/>
  <c r="U70" i="1"/>
  <c r="U77" i="1"/>
  <c r="U67" i="1"/>
  <c r="U66" i="1"/>
  <c r="U71" i="1"/>
  <c r="U76" i="1"/>
  <c r="U51" i="1"/>
  <c r="U44" i="1"/>
  <c r="U43" i="1"/>
  <c r="U39" i="1"/>
  <c r="U38" i="1"/>
  <c r="U40" i="1"/>
  <c r="U45" i="1"/>
  <c r="U48" i="1"/>
  <c r="U41" i="1"/>
  <c r="U46" i="1"/>
  <c r="U47" i="1"/>
  <c r="U37" i="1"/>
  <c r="U50" i="1"/>
  <c r="U42" i="1"/>
  <c r="U49" i="1"/>
  <c r="U64" i="1"/>
  <c r="U65" i="1"/>
  <c r="Q31" i="20"/>
  <c r="R40" i="20" s="1"/>
  <c r="S49" i="20" s="1"/>
  <c r="T58" i="20" s="1"/>
  <c r="U67" i="20" s="1"/>
  <c r="P128" i="21"/>
  <c r="O5" i="21"/>
  <c r="O8" i="21"/>
  <c r="O174" i="21" s="1"/>
  <c r="Q5" i="20"/>
  <c r="P8" i="20"/>
  <c r="P174" i="20" s="1"/>
  <c r="P167" i="20"/>
  <c r="R11" i="19"/>
  <c r="Q9" i="19"/>
  <c r="M2" i="22" s="1"/>
  <c r="O20" i="21" s="1"/>
  <c r="P29" i="21" s="1"/>
  <c r="Q38" i="21" s="1"/>
  <c r="R137" i="20"/>
  <c r="V60" i="1"/>
  <c r="V33" i="1"/>
  <c r="T2" i="21"/>
  <c r="T8" i="21"/>
  <c r="T174" i="21" s="1"/>
  <c r="R45" i="19"/>
  <c r="Q106" i="19"/>
  <c r="R18" i="19"/>
  <c r="Q16" i="19"/>
  <c r="M3" i="22" s="1"/>
  <c r="O21" i="21" s="1"/>
  <c r="P30" i="21" s="1"/>
  <c r="Q39" i="21" s="1"/>
  <c r="Q7" i="19"/>
  <c r="R41" i="19"/>
  <c r="Q102" i="19"/>
  <c r="R38" i="19"/>
  <c r="Q99" i="19"/>
  <c r="R44" i="19"/>
  <c r="Q105" i="19"/>
  <c r="O69" i="19"/>
  <c r="K14" i="22"/>
  <c r="M23" i="20" s="1"/>
  <c r="R36" i="19"/>
  <c r="Q97" i="19"/>
  <c r="R43" i="19"/>
  <c r="Q104" i="19"/>
  <c r="R34" i="19"/>
  <c r="Q95" i="19"/>
  <c r="Q32" i="19"/>
  <c r="M5" i="22" s="1"/>
  <c r="O23" i="21" s="1"/>
  <c r="P32" i="21" s="1"/>
  <c r="Q41" i="21" s="1"/>
  <c r="P93" i="19"/>
  <c r="R37" i="19"/>
  <c r="Q98" i="19"/>
  <c r="T48" i="19"/>
  <c r="S47" i="19"/>
  <c r="O6" i="22" s="1"/>
  <c r="Q24" i="21" s="1"/>
  <c r="R33" i="21" s="1"/>
  <c r="S42" i="21" s="1"/>
  <c r="R42" i="19"/>
  <c r="Q103" i="19"/>
  <c r="R35" i="19"/>
  <c r="Q96" i="19"/>
  <c r="Y79" i="2"/>
  <c r="Y89" i="2" s="1"/>
  <c r="U92" i="19"/>
  <c r="T50" i="19"/>
  <c r="P7" i="22" s="1"/>
  <c r="R25" i="21" s="1"/>
  <c r="S34" i="21" s="1"/>
  <c r="T43" i="21" s="1"/>
  <c r="E52" i="19"/>
  <c r="T90" i="19"/>
  <c r="P13" i="22" s="1"/>
  <c r="R22" i="20" s="1"/>
  <c r="U29" i="19"/>
  <c r="Q4" i="22" s="1"/>
  <c r="S22" i="21" s="1"/>
  <c r="T31" i="21" s="1"/>
  <c r="U40" i="21" s="1"/>
  <c r="U91" i="19"/>
  <c r="Q79" i="5" l="1"/>
  <c r="Q89" i="5" s="1"/>
  <c r="Q67" i="5"/>
  <c r="Q167" i="20"/>
  <c r="V49" i="1"/>
  <c r="V41" i="1"/>
  <c r="V37" i="1"/>
  <c r="V51" i="1"/>
  <c r="V44" i="1"/>
  <c r="V39" i="1"/>
  <c r="V38" i="1"/>
  <c r="V50" i="1"/>
  <c r="V45" i="1"/>
  <c r="V48" i="1"/>
  <c r="V46" i="1"/>
  <c r="V47" i="1"/>
  <c r="V42" i="1"/>
  <c r="V52" i="1"/>
  <c r="V43" i="1"/>
  <c r="V40" i="1"/>
  <c r="V71" i="1"/>
  <c r="V76" i="1"/>
  <c r="V70" i="1"/>
  <c r="V77" i="1"/>
  <c r="V69" i="1"/>
  <c r="V78" i="1"/>
  <c r="V66" i="1"/>
  <c r="V72" i="1"/>
  <c r="V75" i="1"/>
  <c r="V73" i="1"/>
  <c r="V74" i="1"/>
  <c r="V79" i="1"/>
  <c r="V68" i="1"/>
  <c r="V67" i="1"/>
  <c r="V64" i="1"/>
  <c r="V65" i="1"/>
  <c r="M32" i="20"/>
  <c r="N41" i="20" s="1"/>
  <c r="O50" i="20" s="1"/>
  <c r="P59" i="20" s="1"/>
  <c r="Q68" i="20" s="1"/>
  <c r="R77" i="20" s="1"/>
  <c r="S86" i="20" s="1"/>
  <c r="T95" i="20" s="1"/>
  <c r="U104" i="20" s="1"/>
  <c r="U107" i="20" s="1"/>
  <c r="R31" i="20"/>
  <c r="S40" i="20" s="1"/>
  <c r="T49" i="20" s="1"/>
  <c r="U58" i="20" s="1"/>
  <c r="Q137" i="21"/>
  <c r="P8" i="21"/>
  <c r="P174" i="21" s="1"/>
  <c r="P5" i="21"/>
  <c r="Q8" i="21" s="1"/>
  <c r="Q174" i="21" s="1"/>
  <c r="R5" i="20"/>
  <c r="Q8" i="20"/>
  <c r="Q174" i="20" s="1"/>
  <c r="L168" i="20"/>
  <c r="S11" i="19"/>
  <c r="R9" i="19"/>
  <c r="N2" i="22" s="1"/>
  <c r="P20" i="21" s="1"/>
  <c r="Q29" i="21" s="1"/>
  <c r="R38" i="21" s="1"/>
  <c r="S146" i="20"/>
  <c r="W33" i="1"/>
  <c r="W60" i="1"/>
  <c r="U2" i="21"/>
  <c r="U8" i="21"/>
  <c r="U174" i="21" s="1"/>
  <c r="S18" i="19"/>
  <c r="R16" i="19"/>
  <c r="N3" i="22" s="1"/>
  <c r="P21" i="21" s="1"/>
  <c r="Q30" i="21" s="1"/>
  <c r="R39" i="21" s="1"/>
  <c r="R7" i="19"/>
  <c r="U48" i="19"/>
  <c r="T47" i="19"/>
  <c r="P6" i="22" s="1"/>
  <c r="R24" i="21" s="1"/>
  <c r="S33" i="21" s="1"/>
  <c r="T42" i="21" s="1"/>
  <c r="Q93" i="19"/>
  <c r="S36" i="19"/>
  <c r="R97" i="19"/>
  <c r="S38" i="19"/>
  <c r="R99" i="19"/>
  <c r="S37" i="19"/>
  <c r="R98" i="19"/>
  <c r="S34" i="19"/>
  <c r="R32" i="19"/>
  <c r="N5" i="22" s="1"/>
  <c r="P23" i="21" s="1"/>
  <c r="Q32" i="21" s="1"/>
  <c r="R41" i="21" s="1"/>
  <c r="R95" i="19"/>
  <c r="S45" i="19"/>
  <c r="R106" i="19"/>
  <c r="S43" i="19"/>
  <c r="R104" i="19"/>
  <c r="S42" i="19"/>
  <c r="R103" i="19"/>
  <c r="S35" i="19"/>
  <c r="R96" i="19"/>
  <c r="P69" i="19"/>
  <c r="L14" i="22"/>
  <c r="N23" i="20" s="1"/>
  <c r="S44" i="19"/>
  <c r="R105" i="19"/>
  <c r="S41" i="19"/>
  <c r="R102" i="19"/>
  <c r="Z79" i="2"/>
  <c r="Z89" i="2" s="1"/>
  <c r="U90" i="19"/>
  <c r="Q13" i="22" s="1"/>
  <c r="S22" i="20" s="1"/>
  <c r="F113" i="19"/>
  <c r="F111" i="19" s="1"/>
  <c r="B16" i="22" s="1"/>
  <c r="V92" i="19"/>
  <c r="V29" i="19"/>
  <c r="R4" i="22" s="1"/>
  <c r="T22" i="21" s="1"/>
  <c r="U31" i="21" s="1"/>
  <c r="V91" i="19"/>
  <c r="R79" i="5" l="1"/>
  <c r="R89" i="5" s="1"/>
  <c r="R67" i="5"/>
  <c r="C170" i="20"/>
  <c r="D25" i="20"/>
  <c r="W71" i="1"/>
  <c r="W76" i="1"/>
  <c r="W69" i="1"/>
  <c r="W78" i="1"/>
  <c r="W79" i="1"/>
  <c r="W72" i="1"/>
  <c r="W75" i="1"/>
  <c r="W73" i="1"/>
  <c r="W74" i="1"/>
  <c r="W68" i="1"/>
  <c r="W70" i="1"/>
  <c r="W77" i="1"/>
  <c r="W67" i="1"/>
  <c r="W66" i="1"/>
  <c r="W80" i="1"/>
  <c r="W37" i="1"/>
  <c r="W49" i="1"/>
  <c r="W51" i="1"/>
  <c r="W44" i="1"/>
  <c r="W42" i="1"/>
  <c r="W39" i="1"/>
  <c r="W38" i="1"/>
  <c r="W45" i="1"/>
  <c r="W48" i="1"/>
  <c r="W52" i="1"/>
  <c r="W53" i="1"/>
  <c r="W46" i="1"/>
  <c r="W47" i="1"/>
  <c r="W40" i="1"/>
  <c r="W50" i="1"/>
  <c r="W43" i="1"/>
  <c r="W41" i="1"/>
  <c r="W64" i="1"/>
  <c r="W65" i="1"/>
  <c r="R167" i="20"/>
  <c r="S31" i="20"/>
  <c r="T40" i="20" s="1"/>
  <c r="U49" i="20" s="1"/>
  <c r="N32" i="20"/>
  <c r="O41" i="20" s="1"/>
  <c r="P50" i="20" s="1"/>
  <c r="Q59" i="20" s="1"/>
  <c r="R68" i="20" s="1"/>
  <c r="S77" i="20" s="1"/>
  <c r="T86" i="20" s="1"/>
  <c r="U95" i="20" s="1"/>
  <c r="U98" i="20" s="1"/>
  <c r="R146" i="21"/>
  <c r="S155" i="21" s="1"/>
  <c r="M168" i="20"/>
  <c r="S5" i="20"/>
  <c r="R8" i="20"/>
  <c r="R174" i="20" s="1"/>
  <c r="T11" i="19"/>
  <c r="T9" i="19" s="1"/>
  <c r="P2" i="22" s="1"/>
  <c r="R20" i="21" s="1"/>
  <c r="S29" i="21" s="1"/>
  <c r="T38" i="21" s="1"/>
  <c r="S9" i="19"/>
  <c r="O2" i="22" s="1"/>
  <c r="Q20" i="21" s="1"/>
  <c r="R29" i="21" s="1"/>
  <c r="S38" i="21" s="1"/>
  <c r="T155" i="20"/>
  <c r="T165" i="20" s="1"/>
  <c r="R93" i="19"/>
  <c r="N14" i="22" s="1"/>
  <c r="P23" i="20" s="1"/>
  <c r="T41" i="19"/>
  <c r="S102" i="19"/>
  <c r="M14" i="22"/>
  <c r="O23" i="20" s="1"/>
  <c r="Q69" i="19"/>
  <c r="T44" i="19"/>
  <c r="S105" i="19"/>
  <c r="T34" i="19"/>
  <c r="S32" i="19"/>
  <c r="O5" i="22" s="1"/>
  <c r="Q23" i="21" s="1"/>
  <c r="R32" i="21" s="1"/>
  <c r="S41" i="21" s="1"/>
  <c r="S95" i="19"/>
  <c r="T42" i="19"/>
  <c r="S103" i="19"/>
  <c r="T43" i="19"/>
  <c r="S104" i="19"/>
  <c r="U47" i="19"/>
  <c r="Q6" i="22" s="1"/>
  <c r="S24" i="21" s="1"/>
  <c r="T33" i="21" s="1"/>
  <c r="U42" i="21" s="1"/>
  <c r="E48" i="19"/>
  <c r="G109" i="19" s="1"/>
  <c r="G108" i="19" s="1"/>
  <c r="C15" i="22" s="1"/>
  <c r="T36" i="19"/>
  <c r="S97" i="19"/>
  <c r="T45" i="19"/>
  <c r="S106" i="19"/>
  <c r="T35" i="19"/>
  <c r="S96" i="19"/>
  <c r="T38" i="19"/>
  <c r="S99" i="19"/>
  <c r="T18" i="19"/>
  <c r="S7" i="19"/>
  <c r="S16" i="19"/>
  <c r="O3" i="22" s="1"/>
  <c r="Q21" i="21" s="1"/>
  <c r="R30" i="21" s="1"/>
  <c r="S39" i="21" s="1"/>
  <c r="T37" i="19"/>
  <c r="S98" i="19"/>
  <c r="W29" i="19"/>
  <c r="S4" i="22" s="1"/>
  <c r="U22" i="21" s="1"/>
  <c r="W91" i="19"/>
  <c r="W92" i="19"/>
  <c r="V90" i="19"/>
  <c r="R13" i="22" s="1"/>
  <c r="T22" i="20" s="1"/>
  <c r="G113" i="19"/>
  <c r="S67" i="5" l="1"/>
  <c r="S79" i="5"/>
  <c r="S89" i="5" s="1"/>
  <c r="D169" i="20"/>
  <c r="E24" i="20"/>
  <c r="O32" i="20"/>
  <c r="P41" i="20" s="1"/>
  <c r="Q50" i="20" s="1"/>
  <c r="R59" i="20" s="1"/>
  <c r="S68" i="20" s="1"/>
  <c r="T77" i="20" s="1"/>
  <c r="U86" i="20" s="1"/>
  <c r="U89" i="20" s="1"/>
  <c r="U179" i="20" s="1"/>
  <c r="E34" i="20"/>
  <c r="F43" i="20" s="1"/>
  <c r="G52" i="20" s="1"/>
  <c r="H61" i="20" s="1"/>
  <c r="I70" i="20" s="1"/>
  <c r="J79" i="20" s="1"/>
  <c r="K88" i="20" s="1"/>
  <c r="L97" i="20" s="1"/>
  <c r="M106" i="20" s="1"/>
  <c r="N115" i="20" s="1"/>
  <c r="O124" i="20" s="1"/>
  <c r="P133" i="20" s="1"/>
  <c r="Q142" i="20" s="1"/>
  <c r="R151" i="20" s="1"/>
  <c r="S160" i="20" s="1"/>
  <c r="T31" i="20"/>
  <c r="U40" i="20" s="1"/>
  <c r="T5" i="20"/>
  <c r="S8" i="20"/>
  <c r="S174" i="20" s="1"/>
  <c r="N168" i="20"/>
  <c r="R69" i="19"/>
  <c r="E11" i="19"/>
  <c r="S167" i="20"/>
  <c r="X60" i="1"/>
  <c r="X33" i="1"/>
  <c r="T16" i="19"/>
  <c r="P3" i="22" s="1"/>
  <c r="R21" i="21" s="1"/>
  <c r="S30" i="21" s="1"/>
  <c r="T39" i="21" s="1"/>
  <c r="T7" i="19"/>
  <c r="E18" i="19"/>
  <c r="F79" i="19" s="1"/>
  <c r="U37" i="19"/>
  <c r="T98" i="19"/>
  <c r="U36" i="19"/>
  <c r="T97" i="19"/>
  <c r="U38" i="19"/>
  <c r="T99" i="19"/>
  <c r="H109" i="19"/>
  <c r="I109" i="19" s="1"/>
  <c r="U34" i="19"/>
  <c r="T95" i="19"/>
  <c r="T32" i="19"/>
  <c r="P5" i="22" s="1"/>
  <c r="R23" i="21" s="1"/>
  <c r="S32" i="21" s="1"/>
  <c r="T41" i="21" s="1"/>
  <c r="U43" i="19"/>
  <c r="T104" i="19"/>
  <c r="U44" i="19"/>
  <c r="T105" i="19"/>
  <c r="U31" i="20"/>
  <c r="U35" i="19"/>
  <c r="T96" i="19"/>
  <c r="U45" i="19"/>
  <c r="T106" i="19"/>
  <c r="U42" i="19"/>
  <c r="T103" i="19"/>
  <c r="S93" i="19"/>
  <c r="U41" i="19"/>
  <c r="T102" i="19"/>
  <c r="X92" i="19"/>
  <c r="W90" i="19"/>
  <c r="S13" i="22" s="1"/>
  <c r="U22" i="20" s="1"/>
  <c r="G111" i="19"/>
  <c r="C16" i="22" s="1"/>
  <c r="H113" i="19"/>
  <c r="X29" i="19"/>
  <c r="T4" i="22" s="1"/>
  <c r="X91" i="19"/>
  <c r="T67" i="5" l="1"/>
  <c r="T79" i="5"/>
  <c r="T89" i="5" s="1"/>
  <c r="D170" i="20"/>
  <c r="E25" i="20"/>
  <c r="F72" i="19"/>
  <c r="F70" i="19" s="1"/>
  <c r="E70" i="19" s="1"/>
  <c r="X53" i="1"/>
  <c r="X46" i="1"/>
  <c r="X54" i="1"/>
  <c r="X42" i="1"/>
  <c r="X49" i="1"/>
  <c r="X36" i="1"/>
  <c r="X51" i="1"/>
  <c r="X44" i="1"/>
  <c r="X39" i="1"/>
  <c r="X38" i="1"/>
  <c r="X45" i="1"/>
  <c r="X48" i="1"/>
  <c r="X40" i="1"/>
  <c r="X47" i="1"/>
  <c r="X43" i="1"/>
  <c r="X52" i="1"/>
  <c r="X41" i="1"/>
  <c r="X37" i="1"/>
  <c r="X50" i="1"/>
  <c r="X80" i="1"/>
  <c r="X81" i="1"/>
  <c r="X74" i="1"/>
  <c r="X71" i="1"/>
  <c r="X76" i="1"/>
  <c r="X69" i="1"/>
  <c r="X78" i="1"/>
  <c r="X73" i="1"/>
  <c r="X72" i="1"/>
  <c r="X75" i="1"/>
  <c r="X79" i="1"/>
  <c r="X68" i="1"/>
  <c r="X70" i="1"/>
  <c r="X77" i="1"/>
  <c r="X67" i="1"/>
  <c r="X66" i="1"/>
  <c r="X65" i="1"/>
  <c r="P32" i="20"/>
  <c r="Q41" i="20" s="1"/>
  <c r="R50" i="20" s="1"/>
  <c r="S59" i="20" s="1"/>
  <c r="T68" i="20" s="1"/>
  <c r="U77" i="20" s="1"/>
  <c r="U80" i="20" s="1"/>
  <c r="F33" i="20"/>
  <c r="G42" i="20" s="1"/>
  <c r="H51" i="20" s="1"/>
  <c r="I60" i="20" s="1"/>
  <c r="J69" i="20" s="1"/>
  <c r="K78" i="20" s="1"/>
  <c r="L87" i="20" s="1"/>
  <c r="M96" i="20" s="1"/>
  <c r="N105" i="20" s="1"/>
  <c r="O114" i="20" s="1"/>
  <c r="P123" i="20" s="1"/>
  <c r="Q132" i="20" s="1"/>
  <c r="R141" i="20" s="1"/>
  <c r="S150" i="20" s="1"/>
  <c r="T159" i="20" s="1"/>
  <c r="Q32" i="20"/>
  <c r="R41" i="20" s="1"/>
  <c r="S50" i="20" s="1"/>
  <c r="T59" i="20" s="1"/>
  <c r="U68" i="20" s="1"/>
  <c r="U71" i="20" s="1"/>
  <c r="T167" i="20"/>
  <c r="U5" i="20"/>
  <c r="U8" i="20" s="1"/>
  <c r="U174" i="20" s="1"/>
  <c r="T8" i="20"/>
  <c r="T174" i="20" s="1"/>
  <c r="H108" i="19"/>
  <c r="D15" i="22" s="1"/>
  <c r="O168" i="20"/>
  <c r="V36" i="19"/>
  <c r="U97" i="19"/>
  <c r="T93" i="19"/>
  <c r="V41" i="19"/>
  <c r="U102" i="19"/>
  <c r="V43" i="19"/>
  <c r="U104" i="19"/>
  <c r="V34" i="19"/>
  <c r="U32" i="19"/>
  <c r="Q5" i="22" s="1"/>
  <c r="S23" i="21" s="1"/>
  <c r="T32" i="21" s="1"/>
  <c r="U41" i="21" s="1"/>
  <c r="U95" i="19"/>
  <c r="U7" i="19"/>
  <c r="O14" i="22"/>
  <c r="Q23" i="20" s="1"/>
  <c r="S69" i="19"/>
  <c r="V35" i="19"/>
  <c r="U96" i="19"/>
  <c r="V37" i="19"/>
  <c r="U98" i="19"/>
  <c r="V42" i="19"/>
  <c r="U103" i="19"/>
  <c r="F77" i="19"/>
  <c r="V45" i="19"/>
  <c r="U106" i="19"/>
  <c r="V44" i="19"/>
  <c r="U105" i="19"/>
  <c r="V38" i="19"/>
  <c r="U99" i="19"/>
  <c r="J109" i="19"/>
  <c r="I108" i="19"/>
  <c r="E15" i="22" s="1"/>
  <c r="G24" i="20" s="1"/>
  <c r="X90" i="19"/>
  <c r="T13" i="22" s="1"/>
  <c r="H111" i="19"/>
  <c r="D16" i="22" s="1"/>
  <c r="F25" i="20" s="1"/>
  <c r="I113" i="19"/>
  <c r="U67" i="5" l="1"/>
  <c r="U79" i="5"/>
  <c r="U89" i="5" s="1"/>
  <c r="E169" i="20"/>
  <c r="F24" i="20"/>
  <c r="F69" i="19"/>
  <c r="B11" i="22"/>
  <c r="D20" i="20" s="1"/>
  <c r="P168" i="20"/>
  <c r="F34" i="20"/>
  <c r="G43" i="20" s="1"/>
  <c r="H52" i="20" s="1"/>
  <c r="I61" i="20" s="1"/>
  <c r="J70" i="20" s="1"/>
  <c r="K79" i="20" s="1"/>
  <c r="L88" i="20" s="1"/>
  <c r="M97" i="20" s="1"/>
  <c r="N106" i="20" s="1"/>
  <c r="O115" i="20" s="1"/>
  <c r="P124" i="20" s="1"/>
  <c r="Q133" i="20" s="1"/>
  <c r="R142" i="20" s="1"/>
  <c r="S151" i="20" s="1"/>
  <c r="T160" i="20" s="1"/>
  <c r="U178" i="20"/>
  <c r="U167" i="20"/>
  <c r="E170" i="20"/>
  <c r="G79" i="19"/>
  <c r="G77" i="19" s="1"/>
  <c r="W43" i="19"/>
  <c r="V104" i="19"/>
  <c r="W45" i="19"/>
  <c r="V106" i="19"/>
  <c r="W41" i="19"/>
  <c r="V102" i="19"/>
  <c r="P14" i="22"/>
  <c r="R23" i="20" s="1"/>
  <c r="T69" i="19"/>
  <c r="B12" i="22"/>
  <c r="W42" i="19"/>
  <c r="V103" i="19"/>
  <c r="W37" i="19"/>
  <c r="V98" i="19"/>
  <c r="U93" i="19"/>
  <c r="W44" i="19"/>
  <c r="V105" i="19"/>
  <c r="W38" i="19"/>
  <c r="V99" i="19"/>
  <c r="W35" i="19"/>
  <c r="V96" i="19"/>
  <c r="W34" i="19"/>
  <c r="V32" i="19"/>
  <c r="R5" i="22" s="1"/>
  <c r="T23" i="21" s="1"/>
  <c r="U32" i="21" s="1"/>
  <c r="V95" i="19"/>
  <c r="V7" i="19"/>
  <c r="W36" i="19"/>
  <c r="V97" i="19"/>
  <c r="E30" i="19"/>
  <c r="J113" i="19"/>
  <c r="I111" i="19"/>
  <c r="E16" i="22" s="1"/>
  <c r="G25" i="20" s="1"/>
  <c r="E31" i="19"/>
  <c r="K109" i="19"/>
  <c r="J108" i="19"/>
  <c r="F15" i="22" s="1"/>
  <c r="H24" i="20" s="1"/>
  <c r="V67" i="5" l="1"/>
  <c r="V79" i="5"/>
  <c r="V89" i="5" s="1"/>
  <c r="C166" i="20"/>
  <c r="D21" i="20"/>
  <c r="C165" i="20"/>
  <c r="G33" i="20"/>
  <c r="H42" i="20" s="1"/>
  <c r="I51" i="20" s="1"/>
  <c r="J60" i="20" s="1"/>
  <c r="K69" i="20" s="1"/>
  <c r="L78" i="20" s="1"/>
  <c r="M87" i="20" s="1"/>
  <c r="N96" i="20" s="1"/>
  <c r="O105" i="20" s="1"/>
  <c r="P114" i="20" s="1"/>
  <c r="Q123" i="20" s="1"/>
  <c r="R132" i="20" s="1"/>
  <c r="S141" i="20" s="1"/>
  <c r="T150" i="20" s="1"/>
  <c r="U159" i="20" s="1"/>
  <c r="R32" i="20"/>
  <c r="S41" i="20" s="1"/>
  <c r="T50" i="20" s="1"/>
  <c r="U59" i="20" s="1"/>
  <c r="U62" i="20" s="1"/>
  <c r="G34" i="20"/>
  <c r="H43" i="20" s="1"/>
  <c r="I52" i="20" s="1"/>
  <c r="J61" i="20" s="1"/>
  <c r="K70" i="20" s="1"/>
  <c r="L79" i="20" s="1"/>
  <c r="M88" i="20" s="1"/>
  <c r="N97" i="20" s="1"/>
  <c r="O106" i="20" s="1"/>
  <c r="P115" i="20" s="1"/>
  <c r="Q124" i="20" s="1"/>
  <c r="R133" i="20" s="1"/>
  <c r="S142" i="20" s="1"/>
  <c r="T151" i="20" s="1"/>
  <c r="U160" i="20" s="1"/>
  <c r="H33" i="20"/>
  <c r="I42" i="20" s="1"/>
  <c r="J51" i="20" s="1"/>
  <c r="K60" i="20" s="1"/>
  <c r="L69" i="20" s="1"/>
  <c r="M78" i="20" s="1"/>
  <c r="N87" i="20" s="1"/>
  <c r="O96" i="20" s="1"/>
  <c r="P105" i="20" s="1"/>
  <c r="Q114" i="20" s="1"/>
  <c r="R123" i="20" s="1"/>
  <c r="S132" i="20" s="1"/>
  <c r="T141" i="20" s="1"/>
  <c r="U150" i="20" s="1"/>
  <c r="H79" i="19"/>
  <c r="I79" i="19" s="1"/>
  <c r="G69" i="19"/>
  <c r="C12" i="22"/>
  <c r="E21" i="20" s="1"/>
  <c r="F169" i="20"/>
  <c r="F170" i="20"/>
  <c r="Q168" i="20"/>
  <c r="X14" i="5"/>
  <c r="X4" i="5"/>
  <c r="X60" i="5"/>
  <c r="X63" i="1"/>
  <c r="X44" i="5" s="1"/>
  <c r="X64" i="1"/>
  <c r="X10" i="5"/>
  <c r="X9" i="5"/>
  <c r="X11" i="5"/>
  <c r="X23" i="5"/>
  <c r="X40" i="5"/>
  <c r="X61" i="5"/>
  <c r="X15" i="5"/>
  <c r="X19" i="5"/>
  <c r="X41" i="5"/>
  <c r="X62" i="5"/>
  <c r="X6" i="5"/>
  <c r="X3" i="5"/>
  <c r="X2" i="5"/>
  <c r="X7" i="5"/>
  <c r="X5" i="5"/>
  <c r="X16" i="5"/>
  <c r="X13" i="5"/>
  <c r="X12" i="5"/>
  <c r="X17" i="5"/>
  <c r="X8" i="5"/>
  <c r="X20" i="5"/>
  <c r="X18" i="5"/>
  <c r="X41" i="19"/>
  <c r="W102" i="19"/>
  <c r="X43" i="19"/>
  <c r="W104" i="19"/>
  <c r="X36" i="19"/>
  <c r="W97" i="19"/>
  <c r="Q14" i="22"/>
  <c r="S23" i="20" s="1"/>
  <c r="U69" i="19"/>
  <c r="V93" i="19"/>
  <c r="X44" i="19"/>
  <c r="W105" i="19"/>
  <c r="X37" i="19"/>
  <c r="W98" i="19"/>
  <c r="X34" i="19"/>
  <c r="W7" i="19"/>
  <c r="W95" i="19"/>
  <c r="W32" i="19"/>
  <c r="S5" i="22" s="1"/>
  <c r="U23" i="21" s="1"/>
  <c r="X38" i="19"/>
  <c r="W99" i="19"/>
  <c r="X35" i="19"/>
  <c r="W96" i="19"/>
  <c r="X42" i="19"/>
  <c r="W103" i="19"/>
  <c r="X45" i="19"/>
  <c r="W106" i="19"/>
  <c r="L109" i="19"/>
  <c r="K108" i="19"/>
  <c r="G15" i="22" s="1"/>
  <c r="I24" i="20" s="1"/>
  <c r="K113" i="19"/>
  <c r="J111" i="19"/>
  <c r="F16" i="22" s="1"/>
  <c r="H25" i="20" s="1"/>
  <c r="D80" i="10"/>
  <c r="C80" i="10"/>
  <c r="B80" i="10"/>
  <c r="D79" i="10"/>
  <c r="C79" i="10"/>
  <c r="B79" i="10"/>
  <c r="D78" i="10"/>
  <c r="C78" i="10"/>
  <c r="B78" i="10"/>
  <c r="D77" i="10"/>
  <c r="C77" i="10"/>
  <c r="B77" i="10"/>
  <c r="D76" i="10"/>
  <c r="C76" i="10"/>
  <c r="B76" i="10"/>
  <c r="D75" i="10"/>
  <c r="C75" i="10"/>
  <c r="B75" i="10"/>
  <c r="D74" i="10"/>
  <c r="C74" i="10"/>
  <c r="B74" i="10"/>
  <c r="D73" i="10"/>
  <c r="C73" i="10"/>
  <c r="B73" i="10"/>
  <c r="O72" i="10"/>
  <c r="D72" i="10"/>
  <c r="C72" i="10"/>
  <c r="B72" i="10"/>
  <c r="O71" i="10"/>
  <c r="D71" i="10"/>
  <c r="C71" i="10"/>
  <c r="B71" i="10"/>
  <c r="O70" i="10"/>
  <c r="D70" i="10"/>
  <c r="C70" i="10"/>
  <c r="B70" i="10"/>
  <c r="O69" i="10"/>
  <c r="D69" i="10"/>
  <c r="C69" i="10"/>
  <c r="B69" i="10"/>
  <c r="O68" i="10"/>
  <c r="D68" i="10"/>
  <c r="C68" i="10"/>
  <c r="B68" i="10"/>
  <c r="O67" i="10"/>
  <c r="D67" i="10"/>
  <c r="C67" i="10"/>
  <c r="B67" i="10"/>
  <c r="O66" i="10"/>
  <c r="D66" i="10"/>
  <c r="C66" i="10"/>
  <c r="B66" i="10"/>
  <c r="O65" i="10"/>
  <c r="D65" i="10"/>
  <c r="C65" i="10"/>
  <c r="B65" i="10"/>
  <c r="O64" i="10"/>
  <c r="D64" i="10"/>
  <c r="C64" i="10"/>
  <c r="B64" i="10"/>
  <c r="O63" i="10"/>
  <c r="D63" i="10"/>
  <c r="C63" i="10"/>
  <c r="B63" i="10"/>
  <c r="O62" i="10"/>
  <c r="D62" i="10"/>
  <c r="C62" i="10"/>
  <c r="B62" i="10"/>
  <c r="V61" i="10"/>
  <c r="U61" i="10"/>
  <c r="T61" i="10"/>
  <c r="S61" i="10"/>
  <c r="R61" i="10"/>
  <c r="O61" i="10"/>
  <c r="D61" i="10"/>
  <c r="C61" i="10"/>
  <c r="B61" i="10"/>
  <c r="V60" i="10"/>
  <c r="U60" i="10"/>
  <c r="T60" i="10"/>
  <c r="S60" i="10"/>
  <c r="R60" i="10"/>
  <c r="Q60" i="10"/>
  <c r="O60" i="10"/>
  <c r="D60" i="10"/>
  <c r="C60" i="10"/>
  <c r="B60" i="10"/>
  <c r="V59" i="10"/>
  <c r="U59" i="10"/>
  <c r="T59" i="10"/>
  <c r="S59" i="10"/>
  <c r="R59" i="10"/>
  <c r="Q59" i="10"/>
  <c r="O59" i="10"/>
  <c r="D59" i="10"/>
  <c r="C59" i="10"/>
  <c r="B59" i="10"/>
  <c r="Y58" i="10"/>
  <c r="X58" i="10"/>
  <c r="W58" i="10"/>
  <c r="V58" i="10"/>
  <c r="U58" i="10"/>
  <c r="T58" i="10"/>
  <c r="S58" i="10"/>
  <c r="R58" i="10"/>
  <c r="Q58" i="10"/>
  <c r="O58" i="10"/>
  <c r="D58" i="10"/>
  <c r="C58" i="10"/>
  <c r="B58" i="10"/>
  <c r="D53" i="10"/>
  <c r="C53" i="10"/>
  <c r="B53" i="10"/>
  <c r="D52" i="10"/>
  <c r="C52" i="10"/>
  <c r="B52" i="10"/>
  <c r="D51" i="10"/>
  <c r="C51" i="10"/>
  <c r="B51" i="10"/>
  <c r="D50" i="10"/>
  <c r="C50" i="10"/>
  <c r="B50" i="10"/>
  <c r="D49" i="10"/>
  <c r="C49" i="10"/>
  <c r="B49" i="10"/>
  <c r="O48" i="10"/>
  <c r="D48" i="10"/>
  <c r="C48" i="10"/>
  <c r="B48" i="10"/>
  <c r="O47" i="10"/>
  <c r="D47" i="10"/>
  <c r="C47" i="10"/>
  <c r="B47" i="10"/>
  <c r="O46" i="10"/>
  <c r="D46" i="10"/>
  <c r="C46" i="10"/>
  <c r="B46" i="10"/>
  <c r="O45" i="10"/>
  <c r="D45" i="10"/>
  <c r="C45" i="10"/>
  <c r="B45" i="10"/>
  <c r="O44" i="10"/>
  <c r="D44" i="10"/>
  <c r="C44" i="10"/>
  <c r="B44" i="10"/>
  <c r="O43" i="10"/>
  <c r="D43" i="10"/>
  <c r="C43" i="10"/>
  <c r="B43" i="10"/>
  <c r="O42" i="10"/>
  <c r="D42" i="10"/>
  <c r="C42" i="10"/>
  <c r="B42" i="10"/>
  <c r="O41" i="10"/>
  <c r="D41" i="10"/>
  <c r="C41" i="10"/>
  <c r="B41" i="10"/>
  <c r="O40" i="10"/>
  <c r="D40" i="10"/>
  <c r="C40" i="10"/>
  <c r="B40" i="10"/>
  <c r="O39" i="10"/>
  <c r="D39" i="10"/>
  <c r="C39" i="10"/>
  <c r="B39" i="10"/>
  <c r="O38" i="10"/>
  <c r="D38" i="10"/>
  <c r="C38" i="10"/>
  <c r="B38" i="10"/>
  <c r="O37" i="10"/>
  <c r="D37" i="10"/>
  <c r="C37" i="10"/>
  <c r="B37" i="10"/>
  <c r="O36" i="10"/>
  <c r="D36" i="10"/>
  <c r="C36" i="10"/>
  <c r="B36" i="10"/>
  <c r="O35" i="10"/>
  <c r="D35" i="10"/>
  <c r="C35" i="10"/>
  <c r="B35" i="10"/>
  <c r="V34" i="10"/>
  <c r="U34" i="10"/>
  <c r="T34" i="10"/>
  <c r="S34" i="10"/>
  <c r="R34" i="10"/>
  <c r="Q34" i="10"/>
  <c r="O34" i="10"/>
  <c r="D34" i="10"/>
  <c r="C34" i="10"/>
  <c r="B34" i="10"/>
  <c r="V33" i="10"/>
  <c r="U33" i="10"/>
  <c r="T33" i="10"/>
  <c r="S33" i="10"/>
  <c r="R33" i="10"/>
  <c r="Q33" i="10"/>
  <c r="O33" i="10"/>
  <c r="D33" i="10"/>
  <c r="C33" i="10"/>
  <c r="B33" i="10"/>
  <c r="V32" i="10"/>
  <c r="U32" i="10"/>
  <c r="T32" i="10"/>
  <c r="S32" i="10"/>
  <c r="R32" i="10"/>
  <c r="Q32" i="10"/>
  <c r="O32" i="10"/>
  <c r="D32" i="10"/>
  <c r="C32" i="10"/>
  <c r="B32" i="10"/>
  <c r="Y31" i="10"/>
  <c r="X31" i="10"/>
  <c r="V31" i="10"/>
  <c r="U31" i="10"/>
  <c r="T31" i="10"/>
  <c r="S31" i="10"/>
  <c r="R31" i="10"/>
  <c r="O31" i="10"/>
  <c r="D31" i="10"/>
  <c r="C31" i="10"/>
  <c r="W79" i="5" l="1"/>
  <c r="W89" i="5" s="1"/>
  <c r="W67" i="5"/>
  <c r="H77" i="19"/>
  <c r="D12" i="22" s="1"/>
  <c r="F21" i="20" s="1"/>
  <c r="D165" i="20"/>
  <c r="E29" i="20"/>
  <c r="G169" i="20"/>
  <c r="S32" i="20"/>
  <c r="T41" i="20" s="1"/>
  <c r="U50" i="20" s="1"/>
  <c r="U53" i="20" s="1"/>
  <c r="U177" i="20" s="1"/>
  <c r="I33" i="20"/>
  <c r="J42" i="20" s="1"/>
  <c r="K51" i="20" s="1"/>
  <c r="L60" i="20" s="1"/>
  <c r="M69" i="20" s="1"/>
  <c r="N78" i="20" s="1"/>
  <c r="O87" i="20" s="1"/>
  <c r="P96" i="20" s="1"/>
  <c r="Q105" i="20" s="1"/>
  <c r="R114" i="20" s="1"/>
  <c r="S123" i="20" s="1"/>
  <c r="T132" i="20" s="1"/>
  <c r="U141" i="20" s="1"/>
  <c r="H34" i="20"/>
  <c r="I43" i="20" s="1"/>
  <c r="J52" i="20" s="1"/>
  <c r="K61" i="20" s="1"/>
  <c r="L70" i="20" s="1"/>
  <c r="M79" i="20" s="1"/>
  <c r="N88" i="20" s="1"/>
  <c r="O97" i="20" s="1"/>
  <c r="P106" i="20" s="1"/>
  <c r="Q115" i="20" s="1"/>
  <c r="R124" i="20" s="1"/>
  <c r="S133" i="20" s="1"/>
  <c r="T142" i="20" s="1"/>
  <c r="U151" i="20" s="1"/>
  <c r="E30" i="20"/>
  <c r="F39" i="20" s="1"/>
  <c r="G48" i="20" s="1"/>
  <c r="H57" i="20" s="1"/>
  <c r="I66" i="20" s="1"/>
  <c r="J75" i="20" s="1"/>
  <c r="K84" i="20" s="1"/>
  <c r="L93" i="20" s="1"/>
  <c r="M102" i="20" s="1"/>
  <c r="N111" i="20" s="1"/>
  <c r="O120" i="20" s="1"/>
  <c r="P129" i="20" s="1"/>
  <c r="Q138" i="20" s="1"/>
  <c r="R147" i="20" s="1"/>
  <c r="S156" i="20" s="1"/>
  <c r="H169" i="20"/>
  <c r="X68" i="5"/>
  <c r="R168" i="20"/>
  <c r="G170" i="20"/>
  <c r="D166" i="20"/>
  <c r="X98" i="19"/>
  <c r="J79" i="19"/>
  <c r="I77" i="19"/>
  <c r="X106" i="19"/>
  <c r="X97" i="19"/>
  <c r="X102" i="19"/>
  <c r="X105" i="19"/>
  <c r="X103" i="19"/>
  <c r="W93" i="19"/>
  <c r="X99" i="19"/>
  <c r="E34" i="19"/>
  <c r="X95" i="19"/>
  <c r="X32" i="19"/>
  <c r="T5" i="22" s="1"/>
  <c r="X7" i="19"/>
  <c r="R14" i="22"/>
  <c r="T23" i="20" s="1"/>
  <c r="V69" i="19"/>
  <c r="X96" i="19"/>
  <c r="X104" i="19"/>
  <c r="Z59" i="10"/>
  <c r="Z58" i="10"/>
  <c r="E90" i="19"/>
  <c r="K111" i="19"/>
  <c r="G16" i="22" s="1"/>
  <c r="I25" i="20" s="1"/>
  <c r="L113" i="19"/>
  <c r="L111" i="19" s="1"/>
  <c r="L108" i="19"/>
  <c r="H15" i="22" s="1"/>
  <c r="J24" i="20" s="1"/>
  <c r="M109" i="19"/>
  <c r="H69" i="19" l="1"/>
  <c r="X79" i="5"/>
  <c r="X89" i="5" s="1"/>
  <c r="X67" i="5"/>
  <c r="I169" i="20"/>
  <c r="E165" i="20"/>
  <c r="F38" i="20"/>
  <c r="I34" i="20"/>
  <c r="J43" i="20" s="1"/>
  <c r="K52" i="20" s="1"/>
  <c r="L61" i="20" s="1"/>
  <c r="M70" i="20" s="1"/>
  <c r="N79" i="20" s="1"/>
  <c r="O88" i="20" s="1"/>
  <c r="P97" i="20" s="1"/>
  <c r="Q106" i="20" s="1"/>
  <c r="R115" i="20" s="1"/>
  <c r="S124" i="20" s="1"/>
  <c r="T133" i="20" s="1"/>
  <c r="U142" i="20" s="1"/>
  <c r="T32" i="20"/>
  <c r="U41" i="20" s="1"/>
  <c r="U44" i="20" s="1"/>
  <c r="F30" i="20"/>
  <c r="G39" i="20" s="1"/>
  <c r="H48" i="20" s="1"/>
  <c r="I57" i="20" s="1"/>
  <c r="J66" i="20" s="1"/>
  <c r="K75" i="20" s="1"/>
  <c r="L84" i="20" s="1"/>
  <c r="M93" i="20" s="1"/>
  <c r="N102" i="20" s="1"/>
  <c r="O111" i="20" s="1"/>
  <c r="P120" i="20" s="1"/>
  <c r="Q129" i="20" s="1"/>
  <c r="R138" i="20" s="1"/>
  <c r="S147" i="20" s="1"/>
  <c r="T156" i="20" s="1"/>
  <c r="J33" i="20"/>
  <c r="K42" i="20" s="1"/>
  <c r="L51" i="20" s="1"/>
  <c r="M60" i="20" s="1"/>
  <c r="N69" i="20" s="1"/>
  <c r="O78" i="20" s="1"/>
  <c r="P87" i="20" s="1"/>
  <c r="Q96" i="20" s="1"/>
  <c r="R105" i="20" s="1"/>
  <c r="S114" i="20" s="1"/>
  <c r="T123" i="20" s="1"/>
  <c r="U132" i="20" s="1"/>
  <c r="H170" i="20"/>
  <c r="S168" i="20"/>
  <c r="E166" i="20"/>
  <c r="E37" i="19"/>
  <c r="E43" i="19"/>
  <c r="U32" i="20"/>
  <c r="E44" i="19"/>
  <c r="E41" i="19"/>
  <c r="E45" i="19"/>
  <c r="W69" i="19"/>
  <c r="S14" i="22"/>
  <c r="U23" i="20" s="1"/>
  <c r="E35" i="19"/>
  <c r="E42" i="19"/>
  <c r="E36" i="19"/>
  <c r="E7" i="19"/>
  <c r="E38" i="19"/>
  <c r="J77" i="19"/>
  <c r="K79" i="19"/>
  <c r="X93" i="19"/>
  <c r="E12" i="22"/>
  <c r="G21" i="20" s="1"/>
  <c r="I69" i="19"/>
  <c r="E111" i="19"/>
  <c r="H16" i="22"/>
  <c r="J25" i="20" s="1"/>
  <c r="M108" i="19"/>
  <c r="I15" i="22" s="1"/>
  <c r="K24" i="20" s="1"/>
  <c r="C44" i="5"/>
  <c r="D44" i="5"/>
  <c r="E44" i="5"/>
  <c r="C23" i="5"/>
  <c r="D23" i="5"/>
  <c r="E23" i="5"/>
  <c r="AF111" i="9"/>
  <c r="Q111" i="9"/>
  <c r="AF110" i="9"/>
  <c r="Q110" i="9"/>
  <c r="AF109" i="9"/>
  <c r="Q109" i="9"/>
  <c r="AF108" i="9"/>
  <c r="Q108" i="9"/>
  <c r="AF107" i="9"/>
  <c r="Q107" i="9"/>
  <c r="AF106" i="9"/>
  <c r="Q106" i="9"/>
  <c r="AF105" i="9"/>
  <c r="Q105" i="9"/>
  <c r="AF104" i="9"/>
  <c r="Q104" i="9"/>
  <c r="AF103" i="9"/>
  <c r="Q103" i="9"/>
  <c r="AF102" i="9"/>
  <c r="Q102" i="9"/>
  <c r="AF101" i="9"/>
  <c r="Q101" i="9"/>
  <c r="AF100" i="9"/>
  <c r="Q100" i="9"/>
  <c r="AF99" i="9"/>
  <c r="Q99" i="9"/>
  <c r="AF98" i="9"/>
  <c r="Q98" i="9"/>
  <c r="AF97" i="9"/>
  <c r="Q97" i="9"/>
  <c r="AF96" i="9"/>
  <c r="Q96" i="9"/>
  <c r="AF95" i="9"/>
  <c r="Q95" i="9"/>
  <c r="AF94" i="9"/>
  <c r="Q94" i="9"/>
  <c r="AF93" i="9"/>
  <c r="Q93" i="9"/>
  <c r="AF92" i="9"/>
  <c r="AA92" i="9"/>
  <c r="Z92" i="9"/>
  <c r="Y92" i="9"/>
  <c r="X92" i="9"/>
  <c r="W92" i="9"/>
  <c r="V92" i="9"/>
  <c r="Q92" i="9"/>
  <c r="S92" i="9" s="1"/>
  <c r="I63" i="7" s="1"/>
  <c r="AF91" i="9"/>
  <c r="AA91" i="9"/>
  <c r="Z91" i="9"/>
  <c r="Y91" i="9"/>
  <c r="X91" i="9"/>
  <c r="W91" i="9"/>
  <c r="V91" i="9"/>
  <c r="Q91" i="9"/>
  <c r="S91" i="9" s="1"/>
  <c r="I62" i="7" s="1"/>
  <c r="AF90" i="9"/>
  <c r="AA90" i="9"/>
  <c r="Z90" i="9"/>
  <c r="Y90" i="9"/>
  <c r="X90" i="9"/>
  <c r="W90" i="9"/>
  <c r="V90" i="9"/>
  <c r="Q90" i="9"/>
  <c r="S90" i="9" s="1"/>
  <c r="I61" i="7" s="1"/>
  <c r="AF89" i="9"/>
  <c r="AA89" i="9"/>
  <c r="Z89" i="9"/>
  <c r="Y89" i="9"/>
  <c r="X89" i="9"/>
  <c r="W89" i="9"/>
  <c r="V89" i="9"/>
  <c r="Q89" i="9"/>
  <c r="S89" i="9" s="1"/>
  <c r="I60" i="7" s="1"/>
  <c r="AF83" i="9"/>
  <c r="AE83" i="9"/>
  <c r="Q83" i="9"/>
  <c r="AF82" i="9"/>
  <c r="AE82" i="9"/>
  <c r="Q82" i="9"/>
  <c r="AF81" i="9"/>
  <c r="AE81" i="9"/>
  <c r="Q81" i="9"/>
  <c r="AF80" i="9"/>
  <c r="AE80" i="9"/>
  <c r="Q80" i="9"/>
  <c r="AF79" i="9"/>
  <c r="AE79" i="9"/>
  <c r="Q79" i="9"/>
  <c r="AF78" i="9"/>
  <c r="AE78" i="9"/>
  <c r="Q78" i="9"/>
  <c r="AF77" i="9"/>
  <c r="AE77" i="9"/>
  <c r="Q77" i="9"/>
  <c r="AF76" i="9"/>
  <c r="AE76" i="9"/>
  <c r="Q76" i="9"/>
  <c r="AF75" i="9"/>
  <c r="AE75" i="9"/>
  <c r="Q75" i="9"/>
  <c r="AF74" i="9"/>
  <c r="AE74" i="9"/>
  <c r="Q74" i="9"/>
  <c r="AF73" i="9"/>
  <c r="AE73" i="9"/>
  <c r="Q73" i="9"/>
  <c r="AF72" i="9"/>
  <c r="AE72" i="9"/>
  <c r="Q72" i="9"/>
  <c r="AF71" i="9"/>
  <c r="AE71" i="9"/>
  <c r="Q71" i="9"/>
  <c r="AF70" i="9"/>
  <c r="AE70" i="9"/>
  <c r="Q70" i="9"/>
  <c r="AF69" i="9"/>
  <c r="AE69" i="9"/>
  <c r="Q69" i="9"/>
  <c r="AF68" i="9"/>
  <c r="AE68" i="9"/>
  <c r="Q68" i="9"/>
  <c r="AF67" i="9"/>
  <c r="AE67" i="9"/>
  <c r="Q67" i="9"/>
  <c r="AF66" i="9"/>
  <c r="AE66" i="9"/>
  <c r="Q66" i="9"/>
  <c r="AF65" i="9"/>
  <c r="AE65" i="9"/>
  <c r="Q65" i="9"/>
  <c r="AF64" i="9"/>
  <c r="AA64" i="9"/>
  <c r="Z64" i="9"/>
  <c r="Y64" i="9"/>
  <c r="X64" i="9"/>
  <c r="W64" i="9"/>
  <c r="V64" i="9"/>
  <c r="Q64" i="9"/>
  <c r="S64" i="9" s="1"/>
  <c r="G63" i="7" s="1"/>
  <c r="AF63" i="9"/>
  <c r="AA63" i="9"/>
  <c r="Z63" i="9"/>
  <c r="Y63" i="9"/>
  <c r="X63" i="9"/>
  <c r="W63" i="9"/>
  <c r="V63" i="9"/>
  <c r="Q63" i="9"/>
  <c r="S63" i="9" s="1"/>
  <c r="G62" i="7" s="1"/>
  <c r="AF62" i="9"/>
  <c r="AA62" i="9"/>
  <c r="Z62" i="9"/>
  <c r="Y62" i="9"/>
  <c r="X62" i="9"/>
  <c r="W62" i="9"/>
  <c r="V62" i="9"/>
  <c r="Q62" i="9"/>
  <c r="S62" i="9" s="1"/>
  <c r="G61" i="7" s="1"/>
  <c r="AF61" i="9"/>
  <c r="AA61" i="9"/>
  <c r="Z61" i="9"/>
  <c r="Y61" i="9"/>
  <c r="X61" i="9"/>
  <c r="W61" i="9"/>
  <c r="V61" i="9"/>
  <c r="Q61" i="9"/>
  <c r="S61" i="9" s="1"/>
  <c r="G60" i="7" s="1"/>
  <c r="AF55" i="9"/>
  <c r="AE55" i="9"/>
  <c r="Q55" i="9"/>
  <c r="AF54" i="9"/>
  <c r="AE54" i="9"/>
  <c r="Q54" i="9"/>
  <c r="AF53" i="9"/>
  <c r="AE53" i="9"/>
  <c r="Q53" i="9"/>
  <c r="AF52" i="9"/>
  <c r="AE52" i="9"/>
  <c r="Q52" i="9"/>
  <c r="AF51" i="9"/>
  <c r="AE51" i="9"/>
  <c r="Q51" i="9"/>
  <c r="AF50" i="9"/>
  <c r="AE50" i="9"/>
  <c r="Q50" i="9"/>
  <c r="AF49" i="9"/>
  <c r="AE49" i="9"/>
  <c r="Q49" i="9"/>
  <c r="AF48" i="9"/>
  <c r="AE48" i="9"/>
  <c r="Q48" i="9"/>
  <c r="AF47" i="9"/>
  <c r="AE47" i="9"/>
  <c r="Q47" i="9"/>
  <c r="AF46" i="9"/>
  <c r="AE46" i="9"/>
  <c r="Q46" i="9"/>
  <c r="AF45" i="9"/>
  <c r="AE45" i="9"/>
  <c r="Q45" i="9"/>
  <c r="AF44" i="9"/>
  <c r="AE44" i="9"/>
  <c r="Q44" i="9"/>
  <c r="AF43" i="9"/>
  <c r="AE43" i="9"/>
  <c r="Q43" i="9"/>
  <c r="AF42" i="9"/>
  <c r="AE42" i="9"/>
  <c r="Q42" i="9"/>
  <c r="AF41" i="9"/>
  <c r="AE41" i="9"/>
  <c r="Q41" i="9"/>
  <c r="AF40" i="9"/>
  <c r="AE40" i="9"/>
  <c r="Q40" i="9"/>
  <c r="AF39" i="9"/>
  <c r="AE39" i="9"/>
  <c r="Q39" i="9"/>
  <c r="AF38" i="9"/>
  <c r="AE38" i="9"/>
  <c r="Q38" i="9"/>
  <c r="AF37" i="9"/>
  <c r="AE37" i="9"/>
  <c r="Q37" i="9"/>
  <c r="AF36" i="9"/>
  <c r="AA36" i="9"/>
  <c r="Z36" i="9"/>
  <c r="Y36" i="9"/>
  <c r="X36" i="9"/>
  <c r="W36" i="9"/>
  <c r="V36" i="9"/>
  <c r="Q36" i="9"/>
  <c r="S36" i="9" s="1"/>
  <c r="E63" i="7" s="1"/>
  <c r="AF35" i="9"/>
  <c r="AA35" i="9"/>
  <c r="Z35" i="9"/>
  <c r="Y35" i="9"/>
  <c r="X35" i="9"/>
  <c r="W35" i="9"/>
  <c r="V35" i="9"/>
  <c r="Q35" i="9"/>
  <c r="S35" i="9" s="1"/>
  <c r="E62" i="7" s="1"/>
  <c r="AF34" i="9"/>
  <c r="AA34" i="9"/>
  <c r="Z34" i="9"/>
  <c r="Y34" i="9"/>
  <c r="X34" i="9"/>
  <c r="W34" i="9"/>
  <c r="V34" i="9"/>
  <c r="Q34" i="9"/>
  <c r="S34" i="9" s="1"/>
  <c r="E61" i="7" s="1"/>
  <c r="AF33" i="9"/>
  <c r="AA33" i="9"/>
  <c r="Z33" i="9"/>
  <c r="Y33" i="9"/>
  <c r="X33" i="9"/>
  <c r="W33" i="9"/>
  <c r="V33" i="9"/>
  <c r="Q33" i="9"/>
  <c r="F165" i="20" l="1"/>
  <c r="G47" i="20"/>
  <c r="K33" i="20"/>
  <c r="L42" i="20" s="1"/>
  <c r="M51" i="20" s="1"/>
  <c r="N60" i="20" s="1"/>
  <c r="O69" i="20" s="1"/>
  <c r="P78" i="20" s="1"/>
  <c r="Q87" i="20" s="1"/>
  <c r="R96" i="20" s="1"/>
  <c r="S105" i="20" s="1"/>
  <c r="T114" i="20" s="1"/>
  <c r="U123" i="20" s="1"/>
  <c r="G30" i="20"/>
  <c r="H39" i="20" s="1"/>
  <c r="I48" i="20" s="1"/>
  <c r="J57" i="20" s="1"/>
  <c r="K66" i="20" s="1"/>
  <c r="L75" i="20" s="1"/>
  <c r="M84" i="20" s="1"/>
  <c r="N93" i="20" s="1"/>
  <c r="O102" i="20" s="1"/>
  <c r="P111" i="20" s="1"/>
  <c r="Q120" i="20" s="1"/>
  <c r="R129" i="20" s="1"/>
  <c r="S138" i="20" s="1"/>
  <c r="T147" i="20" s="1"/>
  <c r="U156" i="20" s="1"/>
  <c r="U161" i="20" s="1"/>
  <c r="U183" i="20" s="1"/>
  <c r="J34" i="20"/>
  <c r="K43" i="20" s="1"/>
  <c r="L52" i="20" s="1"/>
  <c r="M61" i="20" s="1"/>
  <c r="N70" i="20" s="1"/>
  <c r="O79" i="20" s="1"/>
  <c r="P88" i="20" s="1"/>
  <c r="Q97" i="20" s="1"/>
  <c r="R106" i="20" s="1"/>
  <c r="S115" i="20" s="1"/>
  <c r="T124" i="20" s="1"/>
  <c r="U133" i="20" s="1"/>
  <c r="J62" i="7"/>
  <c r="R33" i="9"/>
  <c r="U33" i="9" s="1"/>
  <c r="S33" i="9"/>
  <c r="E60" i="7" s="1"/>
  <c r="T168" i="20"/>
  <c r="R35" i="9"/>
  <c r="R90" i="9"/>
  <c r="R62" i="9"/>
  <c r="R34" i="9"/>
  <c r="R91" i="9"/>
  <c r="R92" i="9"/>
  <c r="R63" i="9"/>
  <c r="R64" i="9"/>
  <c r="R36" i="9"/>
  <c r="R89" i="9"/>
  <c r="R61" i="9"/>
  <c r="F166" i="20"/>
  <c r="I170" i="20"/>
  <c r="J169" i="20"/>
  <c r="E6" i="19"/>
  <c r="E8" i="19"/>
  <c r="U35" i="20"/>
  <c r="U176" i="20" s="1"/>
  <c r="F12" i="22"/>
  <c r="H21" i="20" s="1"/>
  <c r="J69" i="19"/>
  <c r="E93" i="19"/>
  <c r="X69" i="19"/>
  <c r="T14" i="22"/>
  <c r="L79" i="19"/>
  <c r="L77" i="19" s="1"/>
  <c r="K77" i="19"/>
  <c r="M69" i="19"/>
  <c r="E108" i="19"/>
  <c r="B3" i="5"/>
  <c r="G165" i="20" l="1"/>
  <c r="H56" i="20"/>
  <c r="J170" i="20"/>
  <c r="K34" i="20"/>
  <c r="K170" i="20" s="1"/>
  <c r="H30" i="20"/>
  <c r="I39" i="20" s="1"/>
  <c r="J48" i="20" s="1"/>
  <c r="K57" i="20" s="1"/>
  <c r="L66" i="20" s="1"/>
  <c r="M75" i="20" s="1"/>
  <c r="N84" i="20" s="1"/>
  <c r="O93" i="20" s="1"/>
  <c r="P102" i="20" s="1"/>
  <c r="Q111" i="20" s="1"/>
  <c r="R120" i="20" s="1"/>
  <c r="S129" i="20" s="1"/>
  <c r="T138" i="20" s="1"/>
  <c r="U147" i="20" s="1"/>
  <c r="U152" i="20" s="1"/>
  <c r="K169" i="20"/>
  <c r="L33" i="20"/>
  <c r="L169" i="20" s="1"/>
  <c r="G166" i="20"/>
  <c r="U34" i="9"/>
  <c r="U92" i="9"/>
  <c r="U89" i="9"/>
  <c r="U64" i="9"/>
  <c r="U91" i="9"/>
  <c r="U35" i="9"/>
  <c r="U168" i="20"/>
  <c r="U61" i="9"/>
  <c r="U36" i="9"/>
  <c r="U63" i="9"/>
  <c r="U62" i="9"/>
  <c r="U90" i="9"/>
  <c r="E77" i="19"/>
  <c r="E67" i="19" s="1"/>
  <c r="G12" i="22"/>
  <c r="I21" i="20" s="1"/>
  <c r="K69" i="19"/>
  <c r="H12" i="22"/>
  <c r="J21" i="20" s="1"/>
  <c r="L69" i="19"/>
  <c r="U17" i="20"/>
  <c r="U26" i="20"/>
  <c r="B24" i="2"/>
  <c r="B3" i="2"/>
  <c r="H165" i="20" l="1"/>
  <c r="I65" i="20"/>
  <c r="I30" i="20"/>
  <c r="J39" i="20" s="1"/>
  <c r="K48" i="20" s="1"/>
  <c r="L57" i="20" s="1"/>
  <c r="M66" i="20" s="1"/>
  <c r="N75" i="20" s="1"/>
  <c r="O84" i="20" s="1"/>
  <c r="P93" i="20" s="1"/>
  <c r="Q102" i="20" s="1"/>
  <c r="R111" i="20" s="1"/>
  <c r="S120" i="20" s="1"/>
  <c r="T129" i="20" s="1"/>
  <c r="U138" i="20" s="1"/>
  <c r="U143" i="20" s="1"/>
  <c r="U182" i="20" s="1"/>
  <c r="H166" i="20"/>
  <c r="E69" i="19"/>
  <c r="K30" i="20"/>
  <c r="M42" i="20"/>
  <c r="M169" i="20" s="1"/>
  <c r="U175" i="20"/>
  <c r="L43" i="20"/>
  <c r="L170" i="20" s="1"/>
  <c r="X59" i="2"/>
  <c r="Y59" i="2" s="1"/>
  <c r="Z59" i="2" s="1"/>
  <c r="W58" i="2"/>
  <c r="X58" i="2" s="1"/>
  <c r="Y58" i="2" s="1"/>
  <c r="Z58" i="2" s="1"/>
  <c r="V57" i="2"/>
  <c r="W57" i="2" s="1"/>
  <c r="X57" i="2" s="1"/>
  <c r="Y57" i="2" s="1"/>
  <c r="Z57" i="2" s="1"/>
  <c r="U56" i="2"/>
  <c r="V56" i="2" s="1"/>
  <c r="W56" i="2" s="1"/>
  <c r="X56" i="2" s="1"/>
  <c r="Y56" i="2" s="1"/>
  <c r="Z56" i="2" s="1"/>
  <c r="T55" i="2"/>
  <c r="U55" i="2" s="1"/>
  <c r="V55" i="2" s="1"/>
  <c r="W55" i="2" s="1"/>
  <c r="X55" i="2" s="1"/>
  <c r="Y55" i="2" s="1"/>
  <c r="Z55" i="2" s="1"/>
  <c r="S54" i="2"/>
  <c r="T54" i="2" s="1"/>
  <c r="U54" i="2" s="1"/>
  <c r="V54" i="2" s="1"/>
  <c r="W54" i="2" s="1"/>
  <c r="X54" i="2" s="1"/>
  <c r="Y54" i="2" s="1"/>
  <c r="Z54" i="2" s="1"/>
  <c r="R53" i="2"/>
  <c r="S53" i="2" s="1"/>
  <c r="T53" i="2" s="1"/>
  <c r="U53" i="2" s="1"/>
  <c r="V53" i="2" s="1"/>
  <c r="W53" i="2" s="1"/>
  <c r="X53" i="2" s="1"/>
  <c r="Y53" i="2" s="1"/>
  <c r="Z53" i="2" s="1"/>
  <c r="Q52" i="2"/>
  <c r="R52" i="2" s="1"/>
  <c r="S52" i="2" s="1"/>
  <c r="T52" i="2" s="1"/>
  <c r="U52" i="2" s="1"/>
  <c r="V52" i="2" s="1"/>
  <c r="W52" i="2" s="1"/>
  <c r="X52" i="2" s="1"/>
  <c r="Y52" i="2" s="1"/>
  <c r="Z52" i="2" s="1"/>
  <c r="P51" i="2"/>
  <c r="Q51" i="2" s="1"/>
  <c r="R51" i="2" s="1"/>
  <c r="S51" i="2" s="1"/>
  <c r="T51" i="2" s="1"/>
  <c r="U51" i="2" s="1"/>
  <c r="V51" i="2" s="1"/>
  <c r="W51" i="2" s="1"/>
  <c r="X51" i="2" s="1"/>
  <c r="Y51" i="2" s="1"/>
  <c r="Z51" i="2" s="1"/>
  <c r="O50" i="2"/>
  <c r="P50" i="2" s="1"/>
  <c r="Q50" i="2" s="1"/>
  <c r="R50" i="2" s="1"/>
  <c r="S50" i="2" s="1"/>
  <c r="T50" i="2" s="1"/>
  <c r="U50" i="2" s="1"/>
  <c r="V50" i="2" s="1"/>
  <c r="W50" i="2" s="1"/>
  <c r="X50" i="2" s="1"/>
  <c r="Y50" i="2" s="1"/>
  <c r="Z50" i="2" s="1"/>
  <c r="N49" i="2"/>
  <c r="O49" i="2" s="1"/>
  <c r="P49" i="2" s="1"/>
  <c r="Q49" i="2" s="1"/>
  <c r="R49" i="2" s="1"/>
  <c r="S49" i="2" s="1"/>
  <c r="T49" i="2" s="1"/>
  <c r="U49" i="2" s="1"/>
  <c r="V49" i="2" s="1"/>
  <c r="W49" i="2" s="1"/>
  <c r="X49" i="2" s="1"/>
  <c r="Y49" i="2" s="1"/>
  <c r="Z49" i="2" s="1"/>
  <c r="M48" i="2"/>
  <c r="L47" i="2"/>
  <c r="Y39" i="2"/>
  <c r="Z39" i="2" s="1"/>
  <c r="X38" i="2"/>
  <c r="Y38" i="2" s="1"/>
  <c r="Z38" i="2" s="1"/>
  <c r="W37" i="2"/>
  <c r="X37" i="2" s="1"/>
  <c r="Y37" i="2" s="1"/>
  <c r="Z37" i="2" s="1"/>
  <c r="V36" i="2"/>
  <c r="W36" i="2" s="1"/>
  <c r="X36" i="2" s="1"/>
  <c r="Y36" i="2" s="1"/>
  <c r="Z36" i="2" s="1"/>
  <c r="U35" i="2"/>
  <c r="V35" i="2" s="1"/>
  <c r="W35" i="2" s="1"/>
  <c r="X35" i="2" s="1"/>
  <c r="Y35" i="2" s="1"/>
  <c r="Z35" i="2" s="1"/>
  <c r="T34" i="2"/>
  <c r="U34" i="2" s="1"/>
  <c r="V34" i="2" s="1"/>
  <c r="W34" i="2" s="1"/>
  <c r="X34" i="2" s="1"/>
  <c r="Y34" i="2" s="1"/>
  <c r="Z34" i="2" s="1"/>
  <c r="S33" i="2"/>
  <c r="T33" i="2" s="1"/>
  <c r="U33" i="2" s="1"/>
  <c r="V33" i="2" s="1"/>
  <c r="W33" i="2" s="1"/>
  <c r="X33" i="2" s="1"/>
  <c r="Y33" i="2" s="1"/>
  <c r="Z33" i="2" s="1"/>
  <c r="R32" i="2"/>
  <c r="S32" i="2" s="1"/>
  <c r="T32" i="2" s="1"/>
  <c r="U32" i="2" s="1"/>
  <c r="V32" i="2" s="1"/>
  <c r="W32" i="2" s="1"/>
  <c r="X32" i="2" s="1"/>
  <c r="Y32" i="2" s="1"/>
  <c r="Z32" i="2" s="1"/>
  <c r="Q31" i="2"/>
  <c r="R31" i="2" s="1"/>
  <c r="S31" i="2" s="1"/>
  <c r="T31" i="2" s="1"/>
  <c r="U31" i="2" s="1"/>
  <c r="V31" i="2" s="1"/>
  <c r="W31" i="2" s="1"/>
  <c r="X31" i="2" s="1"/>
  <c r="Y31" i="2" s="1"/>
  <c r="Z31" i="2" s="1"/>
  <c r="P30" i="2"/>
  <c r="Q30" i="2" s="1"/>
  <c r="R30" i="2" s="1"/>
  <c r="S30" i="2" s="1"/>
  <c r="T30" i="2" s="1"/>
  <c r="U30" i="2" s="1"/>
  <c r="V30" i="2" s="1"/>
  <c r="W30" i="2" s="1"/>
  <c r="X30" i="2" s="1"/>
  <c r="Y30" i="2" s="1"/>
  <c r="Z30" i="2" s="1"/>
  <c r="O29" i="2"/>
  <c r="P29" i="2" s="1"/>
  <c r="Q29" i="2" s="1"/>
  <c r="R29" i="2" s="1"/>
  <c r="S29" i="2" s="1"/>
  <c r="T29" i="2" s="1"/>
  <c r="U29" i="2" s="1"/>
  <c r="V29" i="2" s="1"/>
  <c r="W29" i="2" s="1"/>
  <c r="X29" i="2" s="1"/>
  <c r="Y29" i="2" s="1"/>
  <c r="Z29" i="2" s="1"/>
  <c r="N28" i="2"/>
  <c r="O28" i="2" s="1"/>
  <c r="P28" i="2" s="1"/>
  <c r="Q28" i="2" s="1"/>
  <c r="R28" i="2" s="1"/>
  <c r="S28" i="2" s="1"/>
  <c r="T28" i="2" s="1"/>
  <c r="U28" i="2" s="1"/>
  <c r="V28" i="2" s="1"/>
  <c r="W28" i="2" s="1"/>
  <c r="X28" i="2" s="1"/>
  <c r="Y28" i="2" s="1"/>
  <c r="Z28" i="2" s="1"/>
  <c r="M27" i="2"/>
  <c r="L26" i="2"/>
  <c r="I165" i="20" l="1"/>
  <c r="J74" i="20"/>
  <c r="M47" i="2"/>
  <c r="N47" i="2" s="1"/>
  <c r="O47" i="2" s="1"/>
  <c r="P47" i="2" s="1"/>
  <c r="Q47" i="2" s="1"/>
  <c r="R47" i="2" s="1"/>
  <c r="S47" i="2" s="1"/>
  <c r="T47" i="2" s="1"/>
  <c r="U47" i="2" s="1"/>
  <c r="V47" i="2" s="1"/>
  <c r="W47" i="2" s="1"/>
  <c r="X47" i="2" s="1"/>
  <c r="Y47" i="2" s="1"/>
  <c r="Z47" i="2" s="1"/>
  <c r="X47" i="5" s="1"/>
  <c r="M26" i="2"/>
  <c r="N26" i="2" s="1"/>
  <c r="O26" i="2" s="1"/>
  <c r="P26" i="2" s="1"/>
  <c r="Q26" i="2" s="1"/>
  <c r="R26" i="2" s="1"/>
  <c r="S26" i="2" s="1"/>
  <c r="T26" i="2" s="1"/>
  <c r="U26" i="2" s="1"/>
  <c r="V26" i="2" s="1"/>
  <c r="W26" i="2" s="1"/>
  <c r="X26" i="2" s="1"/>
  <c r="Y26" i="2" s="1"/>
  <c r="Z26" i="2" s="1"/>
  <c r="X26" i="5" s="1"/>
  <c r="J30" i="20"/>
  <c r="K39" i="20" s="1"/>
  <c r="N48" i="2"/>
  <c r="N27" i="2"/>
  <c r="I166" i="20"/>
  <c r="J69" i="2"/>
  <c r="J70" i="2"/>
  <c r="N51" i="20"/>
  <c r="N169" i="20" s="1"/>
  <c r="M52" i="20"/>
  <c r="M170" i="20" s="1"/>
  <c r="X55" i="5"/>
  <c r="X56" i="5"/>
  <c r="X34" i="5"/>
  <c r="X35" i="5"/>
  <c r="X36" i="5"/>
  <c r="X49" i="5"/>
  <c r="X57" i="5"/>
  <c r="X29" i="5"/>
  <c r="X37" i="5"/>
  <c r="X50" i="5"/>
  <c r="X58" i="5"/>
  <c r="X30" i="5"/>
  <c r="X38" i="5"/>
  <c r="X51" i="5"/>
  <c r="X59" i="5"/>
  <c r="X28" i="5"/>
  <c r="X31" i="5"/>
  <c r="X39" i="5"/>
  <c r="X52" i="5"/>
  <c r="X32" i="5"/>
  <c r="X53" i="5"/>
  <c r="X33" i="5"/>
  <c r="X54" i="5"/>
  <c r="J165" i="20" l="1"/>
  <c r="K83" i="20"/>
  <c r="J166" i="20"/>
  <c r="L48" i="20"/>
  <c r="M57" i="20" s="1"/>
  <c r="N66" i="20" s="1"/>
  <c r="O75" i="20" s="1"/>
  <c r="P84" i="20" s="1"/>
  <c r="Q93" i="20" s="1"/>
  <c r="R102" i="20" s="1"/>
  <c r="S111" i="20" s="1"/>
  <c r="T120" i="20" s="1"/>
  <c r="U129" i="20" s="1"/>
  <c r="U134" i="20" s="1"/>
  <c r="K166" i="20"/>
  <c r="O48" i="2"/>
  <c r="O27" i="2"/>
  <c r="K69" i="2"/>
  <c r="K70" i="2"/>
  <c r="N61" i="20"/>
  <c r="N170" i="20" s="1"/>
  <c r="L39" i="20"/>
  <c r="O60" i="20"/>
  <c r="O169" i="20" s="1"/>
  <c r="D73" i="5"/>
  <c r="E73" i="5" s="1"/>
  <c r="F73" i="5" s="1"/>
  <c r="G73" i="5" s="1"/>
  <c r="H73" i="5" s="1"/>
  <c r="I73" i="5" s="1"/>
  <c r="J73" i="5" s="1"/>
  <c r="K73" i="5" s="1"/>
  <c r="L73" i="5" s="1"/>
  <c r="M73" i="5" s="1"/>
  <c r="N73" i="5" s="1"/>
  <c r="O73" i="5" s="1"/>
  <c r="P73" i="5" s="1"/>
  <c r="Q73" i="5" s="1"/>
  <c r="R73" i="5" s="1"/>
  <c r="S73" i="5" s="1"/>
  <c r="T73" i="5" s="1"/>
  <c r="U73" i="5" s="1"/>
  <c r="V73" i="5" s="1"/>
  <c r="W73" i="5" s="1"/>
  <c r="X73" i="5" s="1"/>
  <c r="E132" i="7"/>
  <c r="E128" i="7"/>
  <c r="E123" i="7"/>
  <c r="E136" i="7"/>
  <c r="D136" i="7"/>
  <c r="E135" i="7"/>
  <c r="D135" i="7"/>
  <c r="E134" i="7"/>
  <c r="D134" i="7"/>
  <c r="E133" i="7"/>
  <c r="D133" i="7"/>
  <c r="E131" i="7"/>
  <c r="D131" i="7"/>
  <c r="E130" i="7"/>
  <c r="D130" i="7"/>
  <c r="E129" i="7"/>
  <c r="D129" i="7"/>
  <c r="D128" i="7"/>
  <c r="E127" i="7"/>
  <c r="D127" i="7"/>
  <c r="E126" i="7"/>
  <c r="D126" i="7"/>
  <c r="E125" i="7"/>
  <c r="D125" i="7"/>
  <c r="E124" i="7"/>
  <c r="D123" i="7"/>
  <c r="E122" i="7"/>
  <c r="D122" i="7"/>
  <c r="E121" i="7"/>
  <c r="D121" i="7"/>
  <c r="E120" i="7"/>
  <c r="D120" i="7"/>
  <c r="E119" i="7"/>
  <c r="D119" i="7"/>
  <c r="E118" i="7"/>
  <c r="E117" i="7"/>
  <c r="D117" i="7"/>
  <c r="E116" i="7"/>
  <c r="E115" i="7"/>
  <c r="E114" i="7"/>
  <c r="D114" i="7"/>
  <c r="W64" i="5"/>
  <c r="V64" i="5"/>
  <c r="U64" i="5"/>
  <c r="T64" i="5"/>
  <c r="S64" i="5"/>
  <c r="R64" i="5"/>
  <c r="Q64" i="5"/>
  <c r="P64" i="5"/>
  <c r="O64" i="5"/>
  <c r="N64" i="5"/>
  <c r="M64" i="5"/>
  <c r="L64" i="5"/>
  <c r="K64" i="5"/>
  <c r="J64" i="5"/>
  <c r="I64" i="5"/>
  <c r="H64" i="5"/>
  <c r="G64" i="5"/>
  <c r="F64" i="5"/>
  <c r="E64" i="5"/>
  <c r="D64" i="5"/>
  <c r="C64" i="5"/>
  <c r="W63" i="5"/>
  <c r="V63" i="5"/>
  <c r="U63" i="5"/>
  <c r="T63" i="5"/>
  <c r="S63" i="5"/>
  <c r="R63" i="5"/>
  <c r="Q63" i="5"/>
  <c r="P63" i="5"/>
  <c r="O63" i="5"/>
  <c r="N63" i="5"/>
  <c r="M63" i="5"/>
  <c r="L63" i="5"/>
  <c r="K63" i="5"/>
  <c r="J63" i="5"/>
  <c r="I63" i="5"/>
  <c r="H63" i="5"/>
  <c r="G63" i="5"/>
  <c r="F63" i="5"/>
  <c r="E63" i="5"/>
  <c r="D63" i="5"/>
  <c r="C63" i="5"/>
  <c r="W62" i="5"/>
  <c r="V62" i="5"/>
  <c r="U62" i="5"/>
  <c r="T62" i="5"/>
  <c r="S62" i="5"/>
  <c r="R62" i="5"/>
  <c r="Q62" i="5"/>
  <c r="P62" i="5"/>
  <c r="O62" i="5"/>
  <c r="N62" i="5"/>
  <c r="M62" i="5"/>
  <c r="L62" i="5"/>
  <c r="K62" i="5"/>
  <c r="J62" i="5"/>
  <c r="I62" i="5"/>
  <c r="H62" i="5"/>
  <c r="G62" i="5"/>
  <c r="F62" i="5"/>
  <c r="E62" i="5"/>
  <c r="D62" i="5"/>
  <c r="C62" i="5"/>
  <c r="V61" i="5"/>
  <c r="U61" i="5"/>
  <c r="T61" i="5"/>
  <c r="S61" i="5"/>
  <c r="R61" i="5"/>
  <c r="Q61" i="5"/>
  <c r="P61" i="5"/>
  <c r="O61" i="5"/>
  <c r="N61" i="5"/>
  <c r="M61" i="5"/>
  <c r="L61" i="5"/>
  <c r="K61" i="5"/>
  <c r="J61" i="5"/>
  <c r="I61" i="5"/>
  <c r="H61" i="5"/>
  <c r="G61" i="5"/>
  <c r="F61" i="5"/>
  <c r="E61" i="5"/>
  <c r="D61" i="5"/>
  <c r="C61" i="5"/>
  <c r="U60" i="5"/>
  <c r="T60" i="5"/>
  <c r="S60" i="5"/>
  <c r="R60" i="5"/>
  <c r="Q60" i="5"/>
  <c r="P60" i="5"/>
  <c r="O60" i="5"/>
  <c r="N60" i="5"/>
  <c r="M60" i="5"/>
  <c r="L60" i="5"/>
  <c r="K60" i="5"/>
  <c r="J60" i="5"/>
  <c r="I60" i="5"/>
  <c r="H60" i="5"/>
  <c r="G60" i="5"/>
  <c r="F60" i="5"/>
  <c r="E60" i="5"/>
  <c r="D60" i="5"/>
  <c r="C60" i="5"/>
  <c r="T59" i="5"/>
  <c r="S59" i="5"/>
  <c r="R59" i="5"/>
  <c r="Q59" i="5"/>
  <c r="P59" i="5"/>
  <c r="O59" i="5"/>
  <c r="N59" i="5"/>
  <c r="M59" i="5"/>
  <c r="L59" i="5"/>
  <c r="K59" i="5"/>
  <c r="J59" i="5"/>
  <c r="I59" i="5"/>
  <c r="H59" i="5"/>
  <c r="G59" i="5"/>
  <c r="F59" i="5"/>
  <c r="E59" i="5"/>
  <c r="D59" i="5"/>
  <c r="C59" i="5"/>
  <c r="S58" i="5"/>
  <c r="R58" i="5"/>
  <c r="Q58" i="5"/>
  <c r="P58" i="5"/>
  <c r="O58" i="5"/>
  <c r="N58" i="5"/>
  <c r="M58" i="5"/>
  <c r="L58" i="5"/>
  <c r="K58" i="5"/>
  <c r="J58" i="5"/>
  <c r="I58" i="5"/>
  <c r="H58" i="5"/>
  <c r="G58" i="5"/>
  <c r="F58" i="5"/>
  <c r="E58" i="5"/>
  <c r="D58" i="5"/>
  <c r="C58" i="5"/>
  <c r="R57" i="5"/>
  <c r="Q57" i="5"/>
  <c r="P57" i="5"/>
  <c r="O57" i="5"/>
  <c r="N57" i="5"/>
  <c r="M57" i="5"/>
  <c r="L57" i="5"/>
  <c r="K57" i="5"/>
  <c r="J57" i="5"/>
  <c r="I57" i="5"/>
  <c r="H57" i="5"/>
  <c r="G57" i="5"/>
  <c r="F57" i="5"/>
  <c r="E57" i="5"/>
  <c r="D57" i="5"/>
  <c r="C57" i="5"/>
  <c r="Q56" i="5"/>
  <c r="P56" i="5"/>
  <c r="O56" i="5"/>
  <c r="N56" i="5"/>
  <c r="M56" i="5"/>
  <c r="L56" i="5"/>
  <c r="K56" i="5"/>
  <c r="J56" i="5"/>
  <c r="I56" i="5"/>
  <c r="H56" i="5"/>
  <c r="G56" i="5"/>
  <c r="F56" i="5"/>
  <c r="E56" i="5"/>
  <c r="D56" i="5"/>
  <c r="C56" i="5"/>
  <c r="P55" i="5"/>
  <c r="O55" i="5"/>
  <c r="N55" i="5"/>
  <c r="M55" i="5"/>
  <c r="L55" i="5"/>
  <c r="K55" i="5"/>
  <c r="J55" i="5"/>
  <c r="I55" i="5"/>
  <c r="H55" i="5"/>
  <c r="G55" i="5"/>
  <c r="F55" i="5"/>
  <c r="E55" i="5"/>
  <c r="D55" i="5"/>
  <c r="C55" i="5"/>
  <c r="O54" i="5"/>
  <c r="N54" i="5"/>
  <c r="M54" i="5"/>
  <c r="L54" i="5"/>
  <c r="K54" i="5"/>
  <c r="J54" i="5"/>
  <c r="I54" i="5"/>
  <c r="H54" i="5"/>
  <c r="G54" i="5"/>
  <c r="F54" i="5"/>
  <c r="E54" i="5"/>
  <c r="D54" i="5"/>
  <c r="C54" i="5"/>
  <c r="N53" i="5"/>
  <c r="M53" i="5"/>
  <c r="L53" i="5"/>
  <c r="K53" i="5"/>
  <c r="J53" i="5"/>
  <c r="I53" i="5"/>
  <c r="H53" i="5"/>
  <c r="G53" i="5"/>
  <c r="F53" i="5"/>
  <c r="E53" i="5"/>
  <c r="D53" i="5"/>
  <c r="C53" i="5"/>
  <c r="M52" i="5"/>
  <c r="L52" i="5"/>
  <c r="K52" i="5"/>
  <c r="J52" i="5"/>
  <c r="I52" i="5"/>
  <c r="H52" i="5"/>
  <c r="G52" i="5"/>
  <c r="F52" i="5"/>
  <c r="E52" i="5"/>
  <c r="D52" i="5"/>
  <c r="C52" i="5"/>
  <c r="L51" i="5"/>
  <c r="K51" i="5"/>
  <c r="J51" i="5"/>
  <c r="I51" i="5"/>
  <c r="H51" i="5"/>
  <c r="G51" i="5"/>
  <c r="F51" i="5"/>
  <c r="E51" i="5"/>
  <c r="D51" i="5"/>
  <c r="C51" i="5"/>
  <c r="K50" i="5"/>
  <c r="J50" i="5"/>
  <c r="I50" i="5"/>
  <c r="H50" i="5"/>
  <c r="G50" i="5"/>
  <c r="F50" i="5"/>
  <c r="E50" i="5"/>
  <c r="D50" i="5"/>
  <c r="C50" i="5"/>
  <c r="J49" i="5"/>
  <c r="I49" i="5"/>
  <c r="H49" i="5"/>
  <c r="G49" i="5"/>
  <c r="F49" i="5"/>
  <c r="E49" i="5"/>
  <c r="D49" i="5"/>
  <c r="C49" i="5"/>
  <c r="I48" i="5"/>
  <c r="H48" i="5"/>
  <c r="G48" i="5"/>
  <c r="F48" i="5"/>
  <c r="E48" i="5"/>
  <c r="D48" i="5"/>
  <c r="C48" i="5"/>
  <c r="H47" i="5"/>
  <c r="G47" i="5"/>
  <c r="F47" i="5"/>
  <c r="E47" i="5"/>
  <c r="D47" i="5"/>
  <c r="C47" i="5"/>
  <c r="G46" i="5"/>
  <c r="F46" i="5"/>
  <c r="E46" i="5"/>
  <c r="D46" i="5"/>
  <c r="C46" i="5"/>
  <c r="F45" i="5"/>
  <c r="E45" i="5"/>
  <c r="D45" i="5"/>
  <c r="C45" i="5"/>
  <c r="B45" i="5"/>
  <c r="W43" i="5"/>
  <c r="V43" i="5"/>
  <c r="U43" i="5"/>
  <c r="T43" i="5"/>
  <c r="S43" i="5"/>
  <c r="R43" i="5"/>
  <c r="Q43" i="5"/>
  <c r="P43" i="5"/>
  <c r="O43" i="5"/>
  <c r="N43" i="5"/>
  <c r="M43" i="5"/>
  <c r="L43" i="5"/>
  <c r="K43" i="5"/>
  <c r="J43" i="5"/>
  <c r="I43" i="5"/>
  <c r="H43" i="5"/>
  <c r="G43" i="5"/>
  <c r="F43" i="5"/>
  <c r="E43" i="5"/>
  <c r="D43" i="5"/>
  <c r="C43" i="5"/>
  <c r="W42" i="5"/>
  <c r="V42" i="5"/>
  <c r="U42" i="5"/>
  <c r="T42" i="5"/>
  <c r="S42" i="5"/>
  <c r="R42" i="5"/>
  <c r="Q42" i="5"/>
  <c r="P42" i="5"/>
  <c r="O42" i="5"/>
  <c r="N42" i="5"/>
  <c r="M42" i="5"/>
  <c r="L42" i="5"/>
  <c r="K42" i="5"/>
  <c r="J42" i="5"/>
  <c r="I42" i="5"/>
  <c r="H42" i="5"/>
  <c r="G42" i="5"/>
  <c r="F42" i="5"/>
  <c r="E42" i="5"/>
  <c r="D42" i="5"/>
  <c r="C42" i="5"/>
  <c r="W41" i="5"/>
  <c r="V41" i="5"/>
  <c r="U41" i="5"/>
  <c r="T41" i="5"/>
  <c r="S41" i="5"/>
  <c r="R41" i="5"/>
  <c r="Q41" i="5"/>
  <c r="P41" i="5"/>
  <c r="O41" i="5"/>
  <c r="N41" i="5"/>
  <c r="M41" i="5"/>
  <c r="L41" i="5"/>
  <c r="K41" i="5"/>
  <c r="J41" i="5"/>
  <c r="I41" i="5"/>
  <c r="H41" i="5"/>
  <c r="G41" i="5"/>
  <c r="F41" i="5"/>
  <c r="E41" i="5"/>
  <c r="D41" i="5"/>
  <c r="C41" i="5"/>
  <c r="V40" i="5"/>
  <c r="U40" i="5"/>
  <c r="T40" i="5"/>
  <c r="S40" i="5"/>
  <c r="R40" i="5"/>
  <c r="Q40" i="5"/>
  <c r="P40" i="5"/>
  <c r="O40" i="5"/>
  <c r="N40" i="5"/>
  <c r="M40" i="5"/>
  <c r="L40" i="5"/>
  <c r="K40" i="5"/>
  <c r="J40" i="5"/>
  <c r="I40" i="5"/>
  <c r="H40" i="5"/>
  <c r="G40" i="5"/>
  <c r="F40" i="5"/>
  <c r="E40" i="5"/>
  <c r="D40" i="5"/>
  <c r="C40" i="5"/>
  <c r="U39" i="5"/>
  <c r="T39" i="5"/>
  <c r="S39" i="5"/>
  <c r="R39" i="5"/>
  <c r="Q39" i="5"/>
  <c r="P39" i="5"/>
  <c r="O39" i="5"/>
  <c r="N39" i="5"/>
  <c r="M39" i="5"/>
  <c r="L39" i="5"/>
  <c r="K39" i="5"/>
  <c r="J39" i="5"/>
  <c r="I39" i="5"/>
  <c r="H39" i="5"/>
  <c r="G39" i="5"/>
  <c r="F39" i="5"/>
  <c r="E39" i="5"/>
  <c r="D39" i="5"/>
  <c r="C39" i="5"/>
  <c r="T38" i="5"/>
  <c r="S38" i="5"/>
  <c r="R38" i="5"/>
  <c r="Q38" i="5"/>
  <c r="P38" i="5"/>
  <c r="O38" i="5"/>
  <c r="N38" i="5"/>
  <c r="M38" i="5"/>
  <c r="L38" i="5"/>
  <c r="K38" i="5"/>
  <c r="J38" i="5"/>
  <c r="I38" i="5"/>
  <c r="H38" i="5"/>
  <c r="G38" i="5"/>
  <c r="F38" i="5"/>
  <c r="E38" i="5"/>
  <c r="D38" i="5"/>
  <c r="C38" i="5"/>
  <c r="S37" i="5"/>
  <c r="R37" i="5"/>
  <c r="Q37" i="5"/>
  <c r="P37" i="5"/>
  <c r="O37" i="5"/>
  <c r="N37" i="5"/>
  <c r="M37" i="5"/>
  <c r="L37" i="5"/>
  <c r="K37" i="5"/>
  <c r="J37" i="5"/>
  <c r="I37" i="5"/>
  <c r="H37" i="5"/>
  <c r="F37" i="5"/>
  <c r="E37" i="5"/>
  <c r="D37" i="5"/>
  <c r="C37" i="5"/>
  <c r="R36" i="5"/>
  <c r="Q36" i="5"/>
  <c r="P36" i="5"/>
  <c r="O36" i="5"/>
  <c r="N36" i="5"/>
  <c r="M36" i="5"/>
  <c r="L36" i="5"/>
  <c r="K36" i="5"/>
  <c r="J36" i="5"/>
  <c r="I36" i="5"/>
  <c r="H36" i="5"/>
  <c r="G36" i="5"/>
  <c r="F36" i="5"/>
  <c r="E36" i="5"/>
  <c r="D36" i="5"/>
  <c r="C36" i="5"/>
  <c r="Q35" i="5"/>
  <c r="P35" i="5"/>
  <c r="O35" i="5"/>
  <c r="N35" i="5"/>
  <c r="M35" i="5"/>
  <c r="L35" i="5"/>
  <c r="K35" i="5"/>
  <c r="J35" i="5"/>
  <c r="I35" i="5"/>
  <c r="H35" i="5"/>
  <c r="G35" i="5"/>
  <c r="F35" i="5"/>
  <c r="E35" i="5"/>
  <c r="D35" i="5"/>
  <c r="C35" i="5"/>
  <c r="P34" i="5"/>
  <c r="O34" i="5"/>
  <c r="N34" i="5"/>
  <c r="M34" i="5"/>
  <c r="L34" i="5"/>
  <c r="K34" i="5"/>
  <c r="J34" i="5"/>
  <c r="I34" i="5"/>
  <c r="H34" i="5"/>
  <c r="G34" i="5"/>
  <c r="F34" i="5"/>
  <c r="E34" i="5"/>
  <c r="D34" i="5"/>
  <c r="C34" i="5"/>
  <c r="O33" i="5"/>
  <c r="N33" i="5"/>
  <c r="M33" i="5"/>
  <c r="L33" i="5"/>
  <c r="K33" i="5"/>
  <c r="J33" i="5"/>
  <c r="I33" i="5"/>
  <c r="H33" i="5"/>
  <c r="G33" i="5"/>
  <c r="F33" i="5"/>
  <c r="E33" i="5"/>
  <c r="D33" i="5"/>
  <c r="C33" i="5"/>
  <c r="N32" i="5"/>
  <c r="M32" i="5"/>
  <c r="L32" i="5"/>
  <c r="K32" i="5"/>
  <c r="J32" i="5"/>
  <c r="I32" i="5"/>
  <c r="H32" i="5"/>
  <c r="G32" i="5"/>
  <c r="F32" i="5"/>
  <c r="E32" i="5"/>
  <c r="D32" i="5"/>
  <c r="C32" i="5"/>
  <c r="M31" i="5"/>
  <c r="L31" i="5"/>
  <c r="K31" i="5"/>
  <c r="J31" i="5"/>
  <c r="I31" i="5"/>
  <c r="H31" i="5"/>
  <c r="G31" i="5"/>
  <c r="F31" i="5"/>
  <c r="E31" i="5"/>
  <c r="D31" i="5"/>
  <c r="C31" i="5"/>
  <c r="L30" i="5"/>
  <c r="K30" i="5"/>
  <c r="J30" i="5"/>
  <c r="I30" i="5"/>
  <c r="H30" i="5"/>
  <c r="G30" i="5"/>
  <c r="F30" i="5"/>
  <c r="E30" i="5"/>
  <c r="D30" i="5"/>
  <c r="C30" i="5"/>
  <c r="K29" i="5"/>
  <c r="J29" i="5"/>
  <c r="I29" i="5"/>
  <c r="H29" i="5"/>
  <c r="G29" i="5"/>
  <c r="F29" i="5"/>
  <c r="E29" i="5"/>
  <c r="D29" i="5"/>
  <c r="C29" i="5"/>
  <c r="J28" i="5"/>
  <c r="I28" i="5"/>
  <c r="H28" i="5"/>
  <c r="G28" i="5"/>
  <c r="F28" i="5"/>
  <c r="E28" i="5"/>
  <c r="D28" i="5"/>
  <c r="C28" i="5"/>
  <c r="I27" i="5"/>
  <c r="H27" i="5"/>
  <c r="G27" i="5"/>
  <c r="F27" i="5"/>
  <c r="E27" i="5"/>
  <c r="D27" i="5"/>
  <c r="C27" i="5"/>
  <c r="H26" i="5"/>
  <c r="G26" i="5"/>
  <c r="F26" i="5"/>
  <c r="E26" i="5"/>
  <c r="D26" i="5"/>
  <c r="C26" i="5"/>
  <c r="G25" i="5"/>
  <c r="F25" i="5"/>
  <c r="E25" i="5"/>
  <c r="D25" i="5"/>
  <c r="C25" i="5"/>
  <c r="F24" i="5"/>
  <c r="E24" i="5"/>
  <c r="D24" i="5"/>
  <c r="C24" i="5"/>
  <c r="B24" i="5"/>
  <c r="W22" i="5"/>
  <c r="V22" i="5"/>
  <c r="U22" i="5"/>
  <c r="T22" i="5"/>
  <c r="S22" i="5"/>
  <c r="R22" i="5"/>
  <c r="Q22" i="5"/>
  <c r="P22" i="5"/>
  <c r="O22" i="5"/>
  <c r="N22" i="5"/>
  <c r="M22" i="5"/>
  <c r="L22" i="5"/>
  <c r="K22" i="5"/>
  <c r="J22" i="5"/>
  <c r="I22" i="5"/>
  <c r="H22" i="5"/>
  <c r="G22" i="5"/>
  <c r="F22" i="5"/>
  <c r="E22" i="5"/>
  <c r="D22" i="5"/>
  <c r="C22" i="5"/>
  <c r="W21" i="5"/>
  <c r="V21" i="5"/>
  <c r="U21" i="5"/>
  <c r="T21" i="5"/>
  <c r="S21" i="5"/>
  <c r="R21" i="5"/>
  <c r="Q21" i="5"/>
  <c r="P21" i="5"/>
  <c r="O21" i="5"/>
  <c r="N21" i="5"/>
  <c r="M21" i="5"/>
  <c r="L21" i="5"/>
  <c r="K21" i="5"/>
  <c r="J21" i="5"/>
  <c r="I21" i="5"/>
  <c r="H21" i="5"/>
  <c r="G21" i="5"/>
  <c r="F21" i="5"/>
  <c r="E21" i="5"/>
  <c r="D21" i="5"/>
  <c r="C21" i="5"/>
  <c r="W20" i="5"/>
  <c r="V20" i="5"/>
  <c r="U20" i="5"/>
  <c r="T20" i="5"/>
  <c r="S20" i="5"/>
  <c r="R20" i="5"/>
  <c r="Q20" i="5"/>
  <c r="P20" i="5"/>
  <c r="O20" i="5"/>
  <c r="N20" i="5"/>
  <c r="M20" i="5"/>
  <c r="L20" i="5"/>
  <c r="K20" i="5"/>
  <c r="J20" i="5"/>
  <c r="I20" i="5"/>
  <c r="H20" i="5"/>
  <c r="G20" i="5"/>
  <c r="F20" i="5"/>
  <c r="E20" i="5"/>
  <c r="D20" i="5"/>
  <c r="C20" i="5"/>
  <c r="V19" i="5"/>
  <c r="U19" i="5"/>
  <c r="T19" i="5"/>
  <c r="S19" i="5"/>
  <c r="R19" i="5"/>
  <c r="Q19" i="5"/>
  <c r="P19" i="5"/>
  <c r="O19" i="5"/>
  <c r="N19" i="5"/>
  <c r="M19" i="5"/>
  <c r="L19" i="5"/>
  <c r="K19" i="5"/>
  <c r="J19" i="5"/>
  <c r="I19" i="5"/>
  <c r="H19" i="5"/>
  <c r="G19" i="5"/>
  <c r="F19" i="5"/>
  <c r="E19" i="5"/>
  <c r="D19" i="5"/>
  <c r="C19" i="5"/>
  <c r="U18" i="5"/>
  <c r="T18" i="5"/>
  <c r="S18" i="5"/>
  <c r="R18" i="5"/>
  <c r="Q18" i="5"/>
  <c r="P18" i="5"/>
  <c r="O18" i="5"/>
  <c r="N18" i="5"/>
  <c r="M18" i="5"/>
  <c r="L18" i="5"/>
  <c r="K18" i="5"/>
  <c r="J18" i="5"/>
  <c r="I18" i="5"/>
  <c r="H18" i="5"/>
  <c r="G18" i="5"/>
  <c r="F18" i="5"/>
  <c r="E18" i="5"/>
  <c r="D18" i="5"/>
  <c r="C18" i="5"/>
  <c r="T17" i="5"/>
  <c r="S17" i="5"/>
  <c r="R17" i="5"/>
  <c r="Q17" i="5"/>
  <c r="P17" i="5"/>
  <c r="O17" i="5"/>
  <c r="N17" i="5"/>
  <c r="M17" i="5"/>
  <c r="L17" i="5"/>
  <c r="K17" i="5"/>
  <c r="J17" i="5"/>
  <c r="I17" i="5"/>
  <c r="H17" i="5"/>
  <c r="G17" i="5"/>
  <c r="F17" i="5"/>
  <c r="E17" i="5"/>
  <c r="D17" i="5"/>
  <c r="C17" i="5"/>
  <c r="S16" i="5"/>
  <c r="R16" i="5"/>
  <c r="Q16" i="5"/>
  <c r="P16" i="5"/>
  <c r="O16" i="5"/>
  <c r="N16" i="5"/>
  <c r="M16" i="5"/>
  <c r="L16" i="5"/>
  <c r="K16" i="5"/>
  <c r="J16" i="5"/>
  <c r="I16" i="5"/>
  <c r="H16" i="5"/>
  <c r="G16" i="5"/>
  <c r="F16" i="5"/>
  <c r="E16" i="5"/>
  <c r="D16" i="5"/>
  <c r="C16" i="5"/>
  <c r="R15" i="5"/>
  <c r="Q15" i="5"/>
  <c r="P15" i="5"/>
  <c r="O15" i="5"/>
  <c r="N15" i="5"/>
  <c r="M15" i="5"/>
  <c r="L15" i="5"/>
  <c r="K15" i="5"/>
  <c r="J15" i="5"/>
  <c r="I15" i="5"/>
  <c r="H15" i="5"/>
  <c r="G15" i="5"/>
  <c r="F15" i="5"/>
  <c r="E15" i="5"/>
  <c r="D15" i="5"/>
  <c r="C15" i="5"/>
  <c r="Q14" i="5"/>
  <c r="P14" i="5"/>
  <c r="O14" i="5"/>
  <c r="N14" i="5"/>
  <c r="M14" i="5"/>
  <c r="L14" i="5"/>
  <c r="K14" i="5"/>
  <c r="J14" i="5"/>
  <c r="I14" i="5"/>
  <c r="H14" i="5"/>
  <c r="G14" i="5"/>
  <c r="F14" i="5"/>
  <c r="E14" i="5"/>
  <c r="D14" i="5"/>
  <c r="C14" i="5"/>
  <c r="P13" i="5"/>
  <c r="O13" i="5"/>
  <c r="N13" i="5"/>
  <c r="M13" i="5"/>
  <c r="L13" i="5"/>
  <c r="K13" i="5"/>
  <c r="J13" i="5"/>
  <c r="I13" i="5"/>
  <c r="H13" i="5"/>
  <c r="G13" i="5"/>
  <c r="F13" i="5"/>
  <c r="E13" i="5"/>
  <c r="D13" i="5"/>
  <c r="C13" i="5"/>
  <c r="O12" i="5"/>
  <c r="N12" i="5"/>
  <c r="M12" i="5"/>
  <c r="L12" i="5"/>
  <c r="K12" i="5"/>
  <c r="J12" i="5"/>
  <c r="I12" i="5"/>
  <c r="H12" i="5"/>
  <c r="G12" i="5"/>
  <c r="F12" i="5"/>
  <c r="E12" i="5"/>
  <c r="D12" i="5"/>
  <c r="C12" i="5"/>
  <c r="N11" i="5"/>
  <c r="M11" i="5"/>
  <c r="L11" i="5"/>
  <c r="K11" i="5"/>
  <c r="J11" i="5"/>
  <c r="I11" i="5"/>
  <c r="H11" i="5"/>
  <c r="G11" i="5"/>
  <c r="F11" i="5"/>
  <c r="E11" i="5"/>
  <c r="D11" i="5"/>
  <c r="C11" i="5"/>
  <c r="M10" i="5"/>
  <c r="L10" i="5"/>
  <c r="K10" i="5"/>
  <c r="J10" i="5"/>
  <c r="I10" i="5"/>
  <c r="H10" i="5"/>
  <c r="G10" i="5"/>
  <c r="F10" i="5"/>
  <c r="E10" i="5"/>
  <c r="D10" i="5"/>
  <c r="C10" i="5"/>
  <c r="L9" i="5"/>
  <c r="K9" i="5"/>
  <c r="J9" i="5"/>
  <c r="I9" i="5"/>
  <c r="H9" i="5"/>
  <c r="G9" i="5"/>
  <c r="F9" i="5"/>
  <c r="E9" i="5"/>
  <c r="D9" i="5"/>
  <c r="C9" i="5"/>
  <c r="K8" i="5"/>
  <c r="J8" i="5"/>
  <c r="I8" i="5"/>
  <c r="H8" i="5"/>
  <c r="G8" i="5"/>
  <c r="F8" i="5"/>
  <c r="E8" i="5"/>
  <c r="D8" i="5"/>
  <c r="C8" i="5"/>
  <c r="J7" i="5"/>
  <c r="I7" i="5"/>
  <c r="H7" i="5"/>
  <c r="G7" i="5"/>
  <c r="F7" i="5"/>
  <c r="E7" i="5"/>
  <c r="D7" i="5"/>
  <c r="C7" i="5"/>
  <c r="I6" i="5"/>
  <c r="H6" i="5"/>
  <c r="G6" i="5"/>
  <c r="F6" i="5"/>
  <c r="E6" i="5"/>
  <c r="D6" i="5"/>
  <c r="C6" i="5"/>
  <c r="H5" i="5"/>
  <c r="G5" i="5"/>
  <c r="F5" i="5"/>
  <c r="E5" i="5"/>
  <c r="D5" i="5"/>
  <c r="C5" i="5"/>
  <c r="G4" i="5"/>
  <c r="F4" i="5"/>
  <c r="E4" i="5"/>
  <c r="D4" i="5"/>
  <c r="C4" i="5"/>
  <c r="E3" i="5"/>
  <c r="D3" i="5"/>
  <c r="C3" i="5"/>
  <c r="B4" i="5"/>
  <c r="D1" i="5"/>
  <c r="E1" i="5" s="1"/>
  <c r="F1" i="5" s="1"/>
  <c r="G1" i="5" s="1"/>
  <c r="H1" i="5" s="1"/>
  <c r="I1" i="5" s="1"/>
  <c r="J1" i="5" s="1"/>
  <c r="K1" i="5" s="1"/>
  <c r="L1" i="5" s="1"/>
  <c r="M1" i="5" s="1"/>
  <c r="N1" i="5" s="1"/>
  <c r="O1" i="5" s="1"/>
  <c r="P1" i="5" s="1"/>
  <c r="Q1" i="5" s="1"/>
  <c r="R1" i="5" s="1"/>
  <c r="S1" i="5" s="1"/>
  <c r="T1" i="5" s="1"/>
  <c r="U1" i="5" s="1"/>
  <c r="V1" i="5" s="1"/>
  <c r="W1" i="5" s="1"/>
  <c r="F73" i="2"/>
  <c r="G73" i="2" s="1"/>
  <c r="H73" i="2" s="1"/>
  <c r="I73" i="2" s="1"/>
  <c r="J73" i="2" s="1"/>
  <c r="K73" i="2" s="1"/>
  <c r="L73" i="2" s="1"/>
  <c r="M73" i="2" s="1"/>
  <c r="N73" i="2" s="1"/>
  <c r="O73" i="2" s="1"/>
  <c r="P73" i="2" s="1"/>
  <c r="Q73" i="2" s="1"/>
  <c r="R73" i="2" s="1"/>
  <c r="S73" i="2" s="1"/>
  <c r="T73" i="2" s="1"/>
  <c r="U73" i="2" s="1"/>
  <c r="V73" i="2" s="1"/>
  <c r="W73" i="2" s="1"/>
  <c r="X73" i="2" s="1"/>
  <c r="Y73" i="2" s="1"/>
  <c r="Z73" i="2" s="1"/>
  <c r="F67" i="2"/>
  <c r="G67" i="2" s="1"/>
  <c r="H67" i="2" s="1"/>
  <c r="I67" i="2" s="1"/>
  <c r="J67" i="2" s="1"/>
  <c r="K67" i="2" s="1"/>
  <c r="L67" i="2" s="1"/>
  <c r="M67" i="2" s="1"/>
  <c r="N67" i="2" s="1"/>
  <c r="O67" i="2" s="1"/>
  <c r="P67" i="2" s="1"/>
  <c r="Q67" i="2" s="1"/>
  <c r="R67" i="2" s="1"/>
  <c r="S67" i="2" s="1"/>
  <c r="T67" i="2" s="1"/>
  <c r="U67" i="2" s="1"/>
  <c r="V67" i="2" s="1"/>
  <c r="W67" i="2" s="1"/>
  <c r="X67" i="2" s="1"/>
  <c r="Y67" i="2" s="1"/>
  <c r="Z67" i="2" s="1"/>
  <c r="B45" i="2"/>
  <c r="B25" i="2"/>
  <c r="B4" i="2"/>
  <c r="F1" i="2"/>
  <c r="G1" i="2" s="1"/>
  <c r="H1" i="2" s="1"/>
  <c r="I1" i="2" s="1"/>
  <c r="J1" i="2" s="1"/>
  <c r="K1" i="2" s="1"/>
  <c r="L1" i="2" s="1"/>
  <c r="M1" i="2" s="1"/>
  <c r="N1" i="2" s="1"/>
  <c r="O1" i="2" s="1"/>
  <c r="P1" i="2" s="1"/>
  <c r="Q1" i="2" s="1"/>
  <c r="R1" i="2" s="1"/>
  <c r="S1" i="2" s="1"/>
  <c r="T1" i="2" s="1"/>
  <c r="U1" i="2" s="1"/>
  <c r="V1" i="2" s="1"/>
  <c r="W1" i="2" s="1"/>
  <c r="X1" i="2" s="1"/>
  <c r="Y1" i="2" s="1"/>
  <c r="Z1" i="2" s="1"/>
  <c r="F29" i="8"/>
  <c r="F28" i="8"/>
  <c r="F27" i="8"/>
  <c r="F26" i="8"/>
  <c r="F25" i="8"/>
  <c r="F24" i="8"/>
  <c r="F23" i="8"/>
  <c r="F22" i="8"/>
  <c r="F21" i="8"/>
  <c r="F20" i="8"/>
  <c r="F19" i="8"/>
  <c r="F18" i="8"/>
  <c r="F17" i="8"/>
  <c r="F16" i="8"/>
  <c r="F15" i="8"/>
  <c r="F14" i="8"/>
  <c r="F13" i="8"/>
  <c r="F12" i="8"/>
  <c r="F11" i="8"/>
  <c r="F10" i="8"/>
  <c r="F9" i="8"/>
  <c r="F6" i="8"/>
  <c r="K127" i="8"/>
  <c r="F127" i="8"/>
  <c r="K126" i="8"/>
  <c r="F126" i="8"/>
  <c r="K125" i="8"/>
  <c r="F125" i="8"/>
  <c r="K124" i="8"/>
  <c r="F124" i="8"/>
  <c r="K123" i="8"/>
  <c r="F123" i="8"/>
  <c r="K122" i="8"/>
  <c r="F122" i="8"/>
  <c r="K121" i="8"/>
  <c r="F121" i="8"/>
  <c r="K120" i="8"/>
  <c r="F120" i="8"/>
  <c r="K119" i="8"/>
  <c r="F119" i="8"/>
  <c r="K118" i="8"/>
  <c r="F118" i="8"/>
  <c r="K117" i="8"/>
  <c r="F117" i="8"/>
  <c r="K116" i="8"/>
  <c r="F116" i="8"/>
  <c r="K115" i="8"/>
  <c r="F115" i="8"/>
  <c r="K114" i="8"/>
  <c r="F114" i="8"/>
  <c r="K113" i="8"/>
  <c r="F113" i="8"/>
  <c r="K112" i="8"/>
  <c r="F112" i="8"/>
  <c r="K111" i="8"/>
  <c r="F111" i="8"/>
  <c r="K110" i="8"/>
  <c r="F110" i="8"/>
  <c r="K109" i="8"/>
  <c r="F109" i="8"/>
  <c r="K108" i="8"/>
  <c r="K10" i="8" s="1"/>
  <c r="AB7" i="10" s="1"/>
  <c r="F108" i="8"/>
  <c r="K107" i="8"/>
  <c r="F107" i="8"/>
  <c r="G106" i="8"/>
  <c r="F106" i="8"/>
  <c r="AB85" i="10"/>
  <c r="F105" i="8"/>
  <c r="K104" i="8"/>
  <c r="F104" i="8"/>
  <c r="K103" i="8"/>
  <c r="F103" i="8"/>
  <c r="K102" i="8"/>
  <c r="F102" i="8"/>
  <c r="E101" i="8"/>
  <c r="F94" i="8"/>
  <c r="F93" i="8"/>
  <c r="F92" i="8"/>
  <c r="F91" i="8"/>
  <c r="F90" i="8"/>
  <c r="F89" i="8"/>
  <c r="F88" i="8"/>
  <c r="F87" i="8"/>
  <c r="F86" i="8"/>
  <c r="F85" i="8"/>
  <c r="F84" i="8"/>
  <c r="F83" i="8"/>
  <c r="F82" i="8"/>
  <c r="F81" i="8"/>
  <c r="F80" i="8"/>
  <c r="F79" i="8"/>
  <c r="F78" i="8"/>
  <c r="F77" i="8"/>
  <c r="C153" i="8"/>
  <c r="F76" i="8"/>
  <c r="F75" i="8"/>
  <c r="K74" i="8"/>
  <c r="F74" i="8"/>
  <c r="G73" i="8"/>
  <c r="K73" i="8" s="1"/>
  <c r="F73" i="8"/>
  <c r="E72" i="8"/>
  <c r="F72" i="8" s="1"/>
  <c r="K71" i="8"/>
  <c r="F71" i="8"/>
  <c r="K70" i="8"/>
  <c r="F70" i="8"/>
  <c r="K69" i="8"/>
  <c r="F69" i="8"/>
  <c r="F60" i="8"/>
  <c r="F59" i="8"/>
  <c r="F58" i="8"/>
  <c r="F57" i="8"/>
  <c r="F56" i="8"/>
  <c r="F55" i="8"/>
  <c r="F54" i="8"/>
  <c r="F53" i="8"/>
  <c r="F52" i="8"/>
  <c r="F51" i="8"/>
  <c r="F50" i="8"/>
  <c r="F49" i="8"/>
  <c r="F48" i="8"/>
  <c r="F47" i="8"/>
  <c r="F46" i="8"/>
  <c r="F45" i="8"/>
  <c r="F44" i="8"/>
  <c r="F43" i="8"/>
  <c r="F42" i="8"/>
  <c r="K41" i="8"/>
  <c r="F41" i="8"/>
  <c r="G40" i="8"/>
  <c r="K40" i="8" s="1"/>
  <c r="B150" i="8" s="1"/>
  <c r="F40" i="8"/>
  <c r="E39" i="8"/>
  <c r="K38" i="8"/>
  <c r="F38" i="8"/>
  <c r="K37" i="8"/>
  <c r="F37" i="8"/>
  <c r="F36" i="8"/>
  <c r="K152" i="7" l="1" a="1"/>
  <c r="K152" i="7" s="1"/>
  <c r="K6" i="8"/>
  <c r="G6" i="8" s="1"/>
  <c r="K39" i="8"/>
  <c r="B149" i="8" s="1"/>
  <c r="E7" i="8"/>
  <c r="K106" i="8"/>
  <c r="K8" i="8" s="1"/>
  <c r="AB5" i="10" s="1"/>
  <c r="M5" i="10" s="1"/>
  <c r="O5" i="12" s="1"/>
  <c r="B151" i="8"/>
  <c r="K4" i="8"/>
  <c r="G4" i="8" s="1"/>
  <c r="C151" i="8"/>
  <c r="K9" i="8"/>
  <c r="K11" i="8"/>
  <c r="AB8" i="10" s="1"/>
  <c r="B153" i="8"/>
  <c r="K5" i="8"/>
  <c r="G5" i="8" s="1"/>
  <c r="K165" i="20"/>
  <c r="L92" i="20"/>
  <c r="L166" i="20"/>
  <c r="P48" i="2"/>
  <c r="P27" i="2"/>
  <c r="F68" i="5"/>
  <c r="AB88" i="10"/>
  <c r="D150" i="8"/>
  <c r="AB96" i="10"/>
  <c r="D158" i="8"/>
  <c r="AB104" i="10"/>
  <c r="D166" i="8"/>
  <c r="K94" i="7"/>
  <c r="K95" i="7"/>
  <c r="K103" i="7"/>
  <c r="D70" i="5"/>
  <c r="D151" i="8"/>
  <c r="AB89" i="10"/>
  <c r="D155" i="8"/>
  <c r="AB93" i="10"/>
  <c r="D159" i="8"/>
  <c r="AB97" i="10"/>
  <c r="AB101" i="10"/>
  <c r="D163" i="8"/>
  <c r="D167" i="8"/>
  <c r="AB105" i="10"/>
  <c r="K96" i="7"/>
  <c r="K104" i="7"/>
  <c r="C68" i="5"/>
  <c r="E70" i="5"/>
  <c r="AB100" i="10"/>
  <c r="D162" i="8"/>
  <c r="K102" i="7"/>
  <c r="K89" i="7"/>
  <c r="K97" i="7"/>
  <c r="K105" i="7"/>
  <c r="B26" i="2"/>
  <c r="B27" i="2" s="1"/>
  <c r="B28" i="2" s="1"/>
  <c r="B29" i="2" s="1"/>
  <c r="B30" i="2" s="1"/>
  <c r="B31" i="2" s="1"/>
  <c r="B32" i="2" s="1"/>
  <c r="B33" i="2" s="1"/>
  <c r="B34" i="2" s="1"/>
  <c r="B35" i="2" s="1"/>
  <c r="B36" i="2" s="1"/>
  <c r="B37" i="2" s="1"/>
  <c r="B38" i="2" s="1"/>
  <c r="B39" i="2" s="1"/>
  <c r="B40" i="2" s="1"/>
  <c r="B41" i="2" s="1"/>
  <c r="B42" i="2" s="1"/>
  <c r="B43" i="2" s="1"/>
  <c r="D68" i="5"/>
  <c r="F70" i="5"/>
  <c r="AB59" i="10"/>
  <c r="C150" i="8"/>
  <c r="AB90" i="10"/>
  <c r="D152" i="8"/>
  <c r="E152" i="8" s="1"/>
  <c r="D156" i="8"/>
  <c r="AB94" i="10"/>
  <c r="AB98" i="10"/>
  <c r="D160" i="8"/>
  <c r="AB102" i="10"/>
  <c r="D164" i="8"/>
  <c r="AB106" i="10"/>
  <c r="D168" i="8"/>
  <c r="K90" i="7"/>
  <c r="K98" i="7"/>
  <c r="K106" i="7"/>
  <c r="B46" i="2"/>
  <c r="E68" i="5"/>
  <c r="B25" i="5"/>
  <c r="B26" i="5" s="1"/>
  <c r="B27" i="5" s="1"/>
  <c r="B28" i="5" s="1"/>
  <c r="B29" i="5" s="1"/>
  <c r="B30" i="5" s="1"/>
  <c r="B31" i="5" s="1"/>
  <c r="B32" i="5" s="1"/>
  <c r="B33" i="5" s="1"/>
  <c r="B34" i="5" s="1"/>
  <c r="B35" i="5" s="1"/>
  <c r="B36" i="5" s="1"/>
  <c r="B37" i="5" s="1"/>
  <c r="B38" i="5" s="1"/>
  <c r="B39" i="5" s="1"/>
  <c r="B40" i="5" s="1"/>
  <c r="B41" i="5" s="1"/>
  <c r="B42" i="5" s="1"/>
  <c r="B43" i="5" s="1"/>
  <c r="K91" i="7"/>
  <c r="K99" i="7"/>
  <c r="K107" i="7"/>
  <c r="C69" i="5"/>
  <c r="C70" i="5"/>
  <c r="D149" i="8"/>
  <c r="AA85" i="10" s="1"/>
  <c r="AC85" i="10" s="1"/>
  <c r="Q88" i="12" s="1"/>
  <c r="AB87" i="10"/>
  <c r="AB91" i="10"/>
  <c r="D153" i="8"/>
  <c r="AB95" i="10"/>
  <c r="D157" i="8"/>
  <c r="AB99" i="10"/>
  <c r="D161" i="8"/>
  <c r="AB103" i="10"/>
  <c r="D165" i="8"/>
  <c r="AB107" i="10"/>
  <c r="D169" i="8"/>
  <c r="AB108" i="10"/>
  <c r="K92" i="7"/>
  <c r="K100" i="7"/>
  <c r="K108" i="7"/>
  <c r="D69" i="5"/>
  <c r="AB92" i="10"/>
  <c r="D154" i="8"/>
  <c r="K93" i="7"/>
  <c r="K101" i="7"/>
  <c r="K109" i="7"/>
  <c r="E69" i="5"/>
  <c r="B46" i="5"/>
  <c r="B47" i="5" s="1"/>
  <c r="B48" i="5" s="1"/>
  <c r="B49" i="5" s="1"/>
  <c r="B50" i="5" s="1"/>
  <c r="B51" i="5" s="1"/>
  <c r="B52" i="5" s="1"/>
  <c r="B53" i="5" s="1"/>
  <c r="B54" i="5" s="1"/>
  <c r="B55" i="5" s="1"/>
  <c r="B56" i="5" s="1"/>
  <c r="B57" i="5" s="1"/>
  <c r="B58" i="5" s="1"/>
  <c r="B59" i="5" s="1"/>
  <c r="B60" i="5" s="1"/>
  <c r="B61" i="5" s="1"/>
  <c r="B62" i="5" s="1"/>
  <c r="B63" i="5" s="1"/>
  <c r="B64" i="5" s="1"/>
  <c r="L69" i="2"/>
  <c r="L70" i="2"/>
  <c r="F8" i="8"/>
  <c r="AB61" i="10"/>
  <c r="M48" i="20"/>
  <c r="M166" i="20" s="1"/>
  <c r="P69" i="20"/>
  <c r="P169" i="20" s="1"/>
  <c r="O70" i="20"/>
  <c r="O170" i="20" s="1"/>
  <c r="B5" i="5"/>
  <c r="B6" i="5" s="1"/>
  <c r="B7" i="5" s="1"/>
  <c r="B8" i="5" s="1"/>
  <c r="B9" i="5" s="1"/>
  <c r="B10" i="5" s="1"/>
  <c r="B11" i="5" s="1"/>
  <c r="B12" i="5" s="1"/>
  <c r="B13" i="5" s="1"/>
  <c r="B14" i="5" s="1"/>
  <c r="B15" i="5" s="1"/>
  <c r="B16" i="5" s="1"/>
  <c r="B17" i="5" s="1"/>
  <c r="B18" i="5" s="1"/>
  <c r="B19" i="5" s="1"/>
  <c r="B20" i="5" s="1"/>
  <c r="B21" i="5" s="1"/>
  <c r="B22" i="5" s="1"/>
  <c r="B5" i="2"/>
  <c r="B6" i="2" s="1"/>
  <c r="B7" i="2" s="1"/>
  <c r="B8" i="2" s="1"/>
  <c r="B9" i="2" s="1"/>
  <c r="B10" i="2" s="1"/>
  <c r="B11" i="2" s="1"/>
  <c r="B12" i="2" s="1"/>
  <c r="B13" i="2" s="1"/>
  <c r="B14" i="2" s="1"/>
  <c r="B15" i="2" s="1"/>
  <c r="B16" i="2" s="1"/>
  <c r="B17" i="2" s="1"/>
  <c r="B18" i="2" s="1"/>
  <c r="B19" i="2" s="1"/>
  <c r="B20" i="2" s="1"/>
  <c r="B21" i="2" s="1"/>
  <c r="B22" i="2" s="1"/>
  <c r="AB32" i="10"/>
  <c r="AB33" i="10"/>
  <c r="AB62" i="10"/>
  <c r="F39" i="8"/>
  <c r="AB34" i="10"/>
  <c r="AB35" i="10"/>
  <c r="AB60" i="10"/>
  <c r="D118" i="7"/>
  <c r="F23" i="5"/>
  <c r="H71" i="2"/>
  <c r="K72" i="8"/>
  <c r="G71" i="2"/>
  <c r="F71" i="2"/>
  <c r="D116" i="7"/>
  <c r="D124" i="7"/>
  <c r="D132" i="7"/>
  <c r="D115" i="7"/>
  <c r="F75" i="5" l="1"/>
  <c r="G80" i="5"/>
  <c r="H75" i="2"/>
  <c r="C76" i="5"/>
  <c r="E81" i="5"/>
  <c r="F80" i="5"/>
  <c r="T74" i="2"/>
  <c r="X80" i="5"/>
  <c r="D82" i="5"/>
  <c r="D81" i="5"/>
  <c r="G82" i="5"/>
  <c r="F76" i="5"/>
  <c r="P80" i="2"/>
  <c r="X74" i="5"/>
  <c r="G81" i="5"/>
  <c r="E75" i="5"/>
  <c r="F82" i="5"/>
  <c r="D74" i="5"/>
  <c r="N74" i="2"/>
  <c r="F74" i="5"/>
  <c r="C80" i="5"/>
  <c r="E153" i="8"/>
  <c r="AB31" i="10"/>
  <c r="C74" i="5"/>
  <c r="H80" i="5"/>
  <c r="E80" i="5"/>
  <c r="E76" i="5"/>
  <c r="Y80" i="2"/>
  <c r="C75" i="5"/>
  <c r="C82" i="5"/>
  <c r="H82" i="5"/>
  <c r="E82" i="5"/>
  <c r="E74" i="5"/>
  <c r="D74" i="2"/>
  <c r="D76" i="5"/>
  <c r="C81" i="5"/>
  <c r="H81" i="5"/>
  <c r="L81" i="2"/>
  <c r="R80" i="2"/>
  <c r="F81" i="5"/>
  <c r="D75" i="5"/>
  <c r="D80" i="5"/>
  <c r="G75" i="2"/>
  <c r="AB86" i="10"/>
  <c r="G9" i="8"/>
  <c r="AB6" i="10"/>
  <c r="M6" i="10" s="1"/>
  <c r="E151" i="8"/>
  <c r="K7" i="8"/>
  <c r="AB4" i="10" s="1"/>
  <c r="C149" i="8"/>
  <c r="E149" i="8" s="1"/>
  <c r="AA31" i="10"/>
  <c r="J81" i="2"/>
  <c r="E75" i="2"/>
  <c r="U80" i="2"/>
  <c r="M74" i="2"/>
  <c r="E74" i="2"/>
  <c r="F74" i="2"/>
  <c r="O74" i="2"/>
  <c r="F80" i="2"/>
  <c r="N81" i="2"/>
  <c r="I81" i="2"/>
  <c r="I75" i="2"/>
  <c r="G80" i="2"/>
  <c r="K80" i="2"/>
  <c r="N80" i="2"/>
  <c r="L74" i="2"/>
  <c r="H80" i="2"/>
  <c r="E80" i="2"/>
  <c r="N75" i="2"/>
  <c r="L75" i="2"/>
  <c r="C75" i="2"/>
  <c r="K81" i="2"/>
  <c r="L80" i="2"/>
  <c r="Q80" i="2"/>
  <c r="V74" i="2"/>
  <c r="Y74" i="2"/>
  <c r="X80" i="2"/>
  <c r="O80" i="2"/>
  <c r="M81" i="2"/>
  <c r="C81" i="2"/>
  <c r="G81" i="2"/>
  <c r="S80" i="2"/>
  <c r="V80" i="2"/>
  <c r="W80" i="2"/>
  <c r="X74" i="2"/>
  <c r="S74" i="2"/>
  <c r="U74" i="2"/>
  <c r="E81" i="2"/>
  <c r="D81" i="2"/>
  <c r="F81" i="2"/>
  <c r="K74" i="2"/>
  <c r="C80" i="2"/>
  <c r="T80" i="2"/>
  <c r="M80" i="2"/>
  <c r="Z74" i="2"/>
  <c r="Q74" i="2"/>
  <c r="O81" i="2"/>
  <c r="K75" i="2"/>
  <c r="H81" i="2"/>
  <c r="D75" i="2"/>
  <c r="H74" i="2"/>
  <c r="J80" i="2"/>
  <c r="J74" i="2"/>
  <c r="Z80" i="2"/>
  <c r="G74" i="2"/>
  <c r="I80" i="2"/>
  <c r="M75" i="2"/>
  <c r="F75" i="2"/>
  <c r="J75" i="2"/>
  <c r="R74" i="2"/>
  <c r="I74" i="2"/>
  <c r="C74" i="2"/>
  <c r="D80" i="2"/>
  <c r="P74" i="2"/>
  <c r="W74" i="2"/>
  <c r="L165" i="20"/>
  <c r="M101" i="20"/>
  <c r="Q48" i="2"/>
  <c r="Q27" i="2"/>
  <c r="P81" i="2"/>
  <c r="O75" i="2"/>
  <c r="E150" i="8"/>
  <c r="C71" i="5"/>
  <c r="M86" i="10"/>
  <c r="P86" i="10" s="1"/>
  <c r="AD86" i="10" s="1"/>
  <c r="P5" i="10"/>
  <c r="AD5" i="10" s="1"/>
  <c r="M124" i="12" s="1"/>
  <c r="J124" i="12"/>
  <c r="F69" i="5"/>
  <c r="F71" i="5" s="1"/>
  <c r="AB58" i="10"/>
  <c r="K88" i="7"/>
  <c r="B47" i="2"/>
  <c r="D71" i="5"/>
  <c r="E71" i="5"/>
  <c r="M70" i="2"/>
  <c r="M69" i="2"/>
  <c r="H98" i="5"/>
  <c r="O99" i="5"/>
  <c r="P99" i="5"/>
  <c r="O96" i="5"/>
  <c r="J95" i="5"/>
  <c r="H95" i="5"/>
  <c r="L97" i="5"/>
  <c r="L98" i="5"/>
  <c r="F7" i="8"/>
  <c r="P79" i="20"/>
  <c r="P170" i="20" s="1"/>
  <c r="Q78" i="20"/>
  <c r="Q169" i="20" s="1"/>
  <c r="N57" i="20"/>
  <c r="N166" i="20" s="1"/>
  <c r="I93" i="5"/>
  <c r="K96" i="5"/>
  <c r="S97" i="5"/>
  <c r="H99" i="5"/>
  <c r="N98" i="5"/>
  <c r="I94" i="5"/>
  <c r="J93" i="5"/>
  <c r="O97" i="5"/>
  <c r="S99" i="5"/>
  <c r="H92" i="5"/>
  <c r="O98" i="5"/>
  <c r="I92" i="5"/>
  <c r="M94" i="5"/>
  <c r="J96" i="5"/>
  <c r="R97" i="5"/>
  <c r="I97" i="5"/>
  <c r="N99" i="5"/>
  <c r="L99" i="5"/>
  <c r="I95" i="5"/>
  <c r="R98" i="5"/>
  <c r="Q97" i="5"/>
  <c r="X97" i="5"/>
  <c r="R99" i="5"/>
  <c r="H93" i="5"/>
  <c r="M95" i="5"/>
  <c r="J97" i="5"/>
  <c r="P96" i="5"/>
  <c r="U98" i="5"/>
  <c r="S98" i="5"/>
  <c r="X95" i="5"/>
  <c r="H94" i="5"/>
  <c r="J98" i="5"/>
  <c r="X93" i="5"/>
  <c r="N95" i="5"/>
  <c r="T99" i="5"/>
  <c r="J99" i="5"/>
  <c r="Q99" i="5"/>
  <c r="L94" i="5"/>
  <c r="Q96" i="5"/>
  <c r="H96" i="5"/>
  <c r="M98" i="5"/>
  <c r="K98" i="5"/>
  <c r="U99" i="5"/>
  <c r="K93" i="5"/>
  <c r="M97" i="5"/>
  <c r="K97" i="5"/>
  <c r="N96" i="5"/>
  <c r="Q98" i="5"/>
  <c r="I99" i="5"/>
  <c r="I96" i="5"/>
  <c r="L95" i="5"/>
  <c r="K95" i="5"/>
  <c r="P97" i="5"/>
  <c r="N97" i="5"/>
  <c r="M99" i="5"/>
  <c r="X98" i="5"/>
  <c r="L96" i="5"/>
  <c r="X96" i="5"/>
  <c r="V99" i="5"/>
  <c r="K99" i="5"/>
  <c r="I98" i="5"/>
  <c r="P98" i="5"/>
  <c r="K94" i="5"/>
  <c r="W99" i="5"/>
  <c r="J94" i="5"/>
  <c r="H97" i="5"/>
  <c r="M96" i="5"/>
  <c r="T98" i="5"/>
  <c r="X99" i="5"/>
  <c r="O95" i="5"/>
  <c r="X94" i="5"/>
  <c r="P5" i="12"/>
  <c r="F142" i="7"/>
  <c r="G142" i="7" s="1"/>
  <c r="J61" i="7"/>
  <c r="J63" i="7"/>
  <c r="J60" i="7"/>
  <c r="M59" i="10"/>
  <c r="M32" i="10"/>
  <c r="P32" i="10" s="1"/>
  <c r="AD32" i="10" s="1"/>
  <c r="J71" i="2"/>
  <c r="G8" i="8"/>
  <c r="G10" i="8"/>
  <c r="G45" i="5"/>
  <c r="G24" i="5"/>
  <c r="G3" i="5"/>
  <c r="G36" i="1"/>
  <c r="G23" i="5" s="1"/>
  <c r="I71" i="2"/>
  <c r="G11" i="8"/>
  <c r="G63" i="1"/>
  <c r="G44" i="5" s="1"/>
  <c r="J125" i="12" l="1"/>
  <c r="J155" i="12" s="1"/>
  <c r="O6" i="12"/>
  <c r="P6" i="12" s="1"/>
  <c r="D77" i="5"/>
  <c r="E77" i="5"/>
  <c r="M60" i="10"/>
  <c r="P60" i="10" s="1"/>
  <c r="P6" i="10"/>
  <c r="M33" i="10"/>
  <c r="P33" i="10" s="1"/>
  <c r="AD33" i="10" s="1"/>
  <c r="F143" i="7"/>
  <c r="G143" i="7" s="1"/>
  <c r="C83" i="5"/>
  <c r="E83" i="5"/>
  <c r="C77" i="5"/>
  <c r="AC31" i="10"/>
  <c r="F83" i="5"/>
  <c r="D83" i="5"/>
  <c r="M87" i="10"/>
  <c r="P87" i="10" s="1"/>
  <c r="Q32" i="12"/>
  <c r="Z32" i="12" s="1"/>
  <c r="M165" i="20"/>
  <c r="N110" i="20"/>
  <c r="G76" i="5"/>
  <c r="G75" i="5"/>
  <c r="R48" i="2"/>
  <c r="R27" i="2"/>
  <c r="Q81" i="2"/>
  <c r="P75" i="2"/>
  <c r="G83" i="5"/>
  <c r="AA58" i="10"/>
  <c r="B48" i="2"/>
  <c r="G70" i="5"/>
  <c r="J154" i="12"/>
  <c r="K124" i="12"/>
  <c r="K154" i="12" s="1"/>
  <c r="G69" i="5"/>
  <c r="K87" i="7"/>
  <c r="O89" i="12"/>
  <c r="N69" i="2"/>
  <c r="N70" i="2"/>
  <c r="O66" i="20"/>
  <c r="O166" i="20" s="1"/>
  <c r="R87" i="20"/>
  <c r="R169" i="20" s="1"/>
  <c r="Q88" i="20"/>
  <c r="Q170" i="20" s="1"/>
  <c r="Y5" i="12"/>
  <c r="O33" i="12"/>
  <c r="P33" i="12" s="1"/>
  <c r="O61" i="12"/>
  <c r="P61" i="12" s="1"/>
  <c r="P59" i="10"/>
  <c r="AD59" i="10" s="1"/>
  <c r="X35" i="12"/>
  <c r="X63" i="12"/>
  <c r="G2" i="5"/>
  <c r="G74" i="5" s="1"/>
  <c r="H4" i="5"/>
  <c r="H3" i="5"/>
  <c r="K71" i="2"/>
  <c r="X62" i="12"/>
  <c r="X34" i="12"/>
  <c r="G7" i="8"/>
  <c r="H46" i="5"/>
  <c r="H45" i="5"/>
  <c r="H25" i="5"/>
  <c r="H24" i="5"/>
  <c r="H36" i="1"/>
  <c r="H23" i="5" s="1"/>
  <c r="H63" i="1"/>
  <c r="H44" i="5" s="1"/>
  <c r="X36" i="12"/>
  <c r="X64" i="12"/>
  <c r="O62" i="12" l="1"/>
  <c r="P62" i="12" s="1"/>
  <c r="Y6" i="12"/>
  <c r="O34" i="12"/>
  <c r="P34" i="12" s="1"/>
  <c r="O90" i="12"/>
  <c r="Y90" i="12" s="1"/>
  <c r="N165" i="20"/>
  <c r="O119" i="20"/>
  <c r="AA4" i="10"/>
  <c r="AC4" i="10" s="1"/>
  <c r="H76" i="5"/>
  <c r="AC58" i="10"/>
  <c r="H75" i="5"/>
  <c r="S48" i="2"/>
  <c r="S27" i="2"/>
  <c r="R81" i="2"/>
  <c r="Q75" i="2"/>
  <c r="H70" i="5"/>
  <c r="G68" i="5"/>
  <c r="G71" i="5" s="1"/>
  <c r="H69" i="5"/>
  <c r="B49" i="2"/>
  <c r="Q61" i="12"/>
  <c r="Z61" i="12" s="1"/>
  <c r="Q60" i="12"/>
  <c r="Z60" i="12" s="1"/>
  <c r="Y89" i="12"/>
  <c r="P89" i="12"/>
  <c r="O69" i="2"/>
  <c r="O70" i="2"/>
  <c r="S96" i="20"/>
  <c r="S169" i="20" s="1"/>
  <c r="P75" i="20"/>
  <c r="P166" i="20" s="1"/>
  <c r="R97" i="20"/>
  <c r="R170" i="20" s="1"/>
  <c r="H91" i="5"/>
  <c r="F77" i="5"/>
  <c r="H2" i="5"/>
  <c r="H74" i="5" s="1"/>
  <c r="I4" i="5"/>
  <c r="I3" i="5"/>
  <c r="I80" i="5"/>
  <c r="L71" i="2"/>
  <c r="I63" i="1"/>
  <c r="I44" i="5" s="1"/>
  <c r="I46" i="5"/>
  <c r="I45" i="5"/>
  <c r="I25" i="5"/>
  <c r="I24" i="5"/>
  <c r="I47" i="5"/>
  <c r="I82" i="5" s="1"/>
  <c r="I81" i="5"/>
  <c r="I36" i="1"/>
  <c r="I23" i="5" s="1"/>
  <c r="H90" i="5" l="1"/>
  <c r="O165" i="20"/>
  <c r="P128" i="20"/>
  <c r="I75" i="5"/>
  <c r="I76" i="5"/>
  <c r="T48" i="2"/>
  <c r="T27" i="2"/>
  <c r="S81" i="2"/>
  <c r="R75" i="2"/>
  <c r="I70" i="5"/>
  <c r="H68" i="5"/>
  <c r="H71" i="5" s="1"/>
  <c r="I69" i="5"/>
  <c r="Q4" i="12"/>
  <c r="Z4" i="12" s="1"/>
  <c r="B50" i="2"/>
  <c r="H83" i="5"/>
  <c r="P69" i="2"/>
  <c r="P70" i="2"/>
  <c r="I91" i="5"/>
  <c r="S106" i="20"/>
  <c r="S170" i="20" s="1"/>
  <c r="Q84" i="20"/>
  <c r="Q166" i="20" s="1"/>
  <c r="T105" i="20"/>
  <c r="T169" i="20" s="1"/>
  <c r="G77" i="5"/>
  <c r="I2" i="5"/>
  <c r="I74" i="5" s="1"/>
  <c r="J4" i="5"/>
  <c r="J3" i="5"/>
  <c r="J6" i="5"/>
  <c r="J5" i="5"/>
  <c r="M71" i="2"/>
  <c r="J47" i="5"/>
  <c r="J26" i="5"/>
  <c r="J36" i="1"/>
  <c r="J23" i="5" s="1"/>
  <c r="J46" i="5"/>
  <c r="J25" i="5"/>
  <c r="J45" i="5"/>
  <c r="J24" i="5"/>
  <c r="J48" i="5"/>
  <c r="J27" i="5"/>
  <c r="J63" i="1"/>
  <c r="J44" i="5" s="1"/>
  <c r="I90" i="5" l="1"/>
  <c r="P165" i="20"/>
  <c r="Q137" i="20"/>
  <c r="J82" i="5"/>
  <c r="J81" i="5"/>
  <c r="J75" i="5"/>
  <c r="J80" i="5"/>
  <c r="J76" i="5"/>
  <c r="U48" i="2"/>
  <c r="U27" i="2"/>
  <c r="T81" i="2"/>
  <c r="S75" i="2"/>
  <c r="J69" i="5"/>
  <c r="J70" i="5"/>
  <c r="I68" i="5"/>
  <c r="I71" i="5" s="1"/>
  <c r="Z88" i="12"/>
  <c r="B51" i="2"/>
  <c r="Q70" i="2"/>
  <c r="Q69" i="2"/>
  <c r="J91" i="5"/>
  <c r="J92" i="5"/>
  <c r="U114" i="20"/>
  <c r="U169" i="20" s="1"/>
  <c r="R93" i="20"/>
  <c r="R166" i="20" s="1"/>
  <c r="T115" i="20"/>
  <c r="T170" i="20" s="1"/>
  <c r="H77" i="5"/>
  <c r="I83" i="5"/>
  <c r="X37" i="12"/>
  <c r="X65" i="12"/>
  <c r="X66" i="12"/>
  <c r="X38" i="12"/>
  <c r="J2" i="5"/>
  <c r="J74" i="5" s="1"/>
  <c r="K7" i="5"/>
  <c r="K4" i="5"/>
  <c r="K5" i="5"/>
  <c r="K6" i="5"/>
  <c r="N71" i="2"/>
  <c r="K48" i="5"/>
  <c r="K27" i="5"/>
  <c r="K25" i="5"/>
  <c r="K45" i="5"/>
  <c r="K24" i="5"/>
  <c r="K3" i="5"/>
  <c r="K49" i="5"/>
  <c r="K36" i="1"/>
  <c r="K23" i="5" s="1"/>
  <c r="K47" i="5"/>
  <c r="K28" i="5"/>
  <c r="K46" i="5"/>
  <c r="K26" i="5"/>
  <c r="K63" i="1"/>
  <c r="K44" i="5" s="1"/>
  <c r="J90" i="5" l="1"/>
  <c r="Q165" i="20"/>
  <c r="R146" i="20"/>
  <c r="K75" i="5"/>
  <c r="K76" i="5"/>
  <c r="K69" i="5"/>
  <c r="K82" i="5"/>
  <c r="V48" i="2"/>
  <c r="K81" i="5"/>
  <c r="V27" i="2"/>
  <c r="U81" i="2"/>
  <c r="K80" i="5"/>
  <c r="T75" i="2"/>
  <c r="B52" i="2"/>
  <c r="J68" i="5"/>
  <c r="J71" i="5" s="1"/>
  <c r="K70" i="5"/>
  <c r="R69" i="2"/>
  <c r="R70" i="2"/>
  <c r="K92" i="5"/>
  <c r="U124" i="20"/>
  <c r="U170" i="20" s="1"/>
  <c r="S102" i="20"/>
  <c r="S166" i="20" s="1"/>
  <c r="U116" i="20"/>
  <c r="K91" i="5"/>
  <c r="I77" i="5"/>
  <c r="J83" i="5"/>
  <c r="K2" i="5"/>
  <c r="K74" i="5" s="1"/>
  <c r="L7" i="5"/>
  <c r="L4" i="5"/>
  <c r="L3" i="5"/>
  <c r="L5" i="5"/>
  <c r="L8" i="5"/>
  <c r="L6" i="5"/>
  <c r="O71" i="2"/>
  <c r="L63" i="1"/>
  <c r="L44" i="5" s="1"/>
  <c r="L46" i="5"/>
  <c r="L45" i="5"/>
  <c r="L25" i="5"/>
  <c r="L24" i="5"/>
  <c r="L48" i="5"/>
  <c r="L27" i="5"/>
  <c r="L49" i="5"/>
  <c r="L36" i="1"/>
  <c r="L23" i="5" s="1"/>
  <c r="L50" i="5"/>
  <c r="L47" i="5"/>
  <c r="L28" i="5"/>
  <c r="L29" i="5"/>
  <c r="L26" i="5"/>
  <c r="K90" i="5" l="1"/>
  <c r="R165" i="20"/>
  <c r="S155" i="20"/>
  <c r="S165" i="20" s="1"/>
  <c r="L75" i="5"/>
  <c r="L76" i="5"/>
  <c r="L82" i="5"/>
  <c r="W48" i="2"/>
  <c r="L81" i="5"/>
  <c r="W27" i="2"/>
  <c r="V81" i="2"/>
  <c r="L80" i="5"/>
  <c r="K68" i="5"/>
  <c r="K71" i="5" s="1"/>
  <c r="U75" i="2"/>
  <c r="B53" i="2"/>
  <c r="L70" i="5"/>
  <c r="L69" i="5"/>
  <c r="S69" i="2"/>
  <c r="S70" i="2"/>
  <c r="L93" i="5"/>
  <c r="U180" i="20"/>
  <c r="T111" i="20"/>
  <c r="T166" i="20" s="1"/>
  <c r="L91" i="5"/>
  <c r="L92" i="5"/>
  <c r="K83" i="5"/>
  <c r="J77" i="5"/>
  <c r="L2" i="5"/>
  <c r="L74" i="5" s="1"/>
  <c r="M9" i="5"/>
  <c r="M4" i="5"/>
  <c r="M3" i="5"/>
  <c r="M5" i="5"/>
  <c r="M8" i="5"/>
  <c r="M6" i="5"/>
  <c r="M7" i="5"/>
  <c r="P71" i="2"/>
  <c r="M63" i="1"/>
  <c r="M44" i="5" s="1"/>
  <c r="M47" i="5"/>
  <c r="M26" i="5"/>
  <c r="M36" i="1"/>
  <c r="M23" i="5" s="1"/>
  <c r="M45" i="5"/>
  <c r="M24" i="5"/>
  <c r="M49" i="5"/>
  <c r="M50" i="5"/>
  <c r="M48" i="5"/>
  <c r="M28" i="5"/>
  <c r="M51" i="5"/>
  <c r="M29" i="5"/>
  <c r="M27" i="5"/>
  <c r="M25" i="5"/>
  <c r="M46" i="5"/>
  <c r="M30" i="5"/>
  <c r="L90" i="5" l="1"/>
  <c r="M75" i="5"/>
  <c r="M76" i="5"/>
  <c r="M82" i="5"/>
  <c r="X48" i="2"/>
  <c r="M81" i="5"/>
  <c r="X27" i="2"/>
  <c r="W81" i="2"/>
  <c r="M80" i="5"/>
  <c r="V75" i="2"/>
  <c r="L68" i="5"/>
  <c r="L71" i="5" s="1"/>
  <c r="M69" i="5"/>
  <c r="M70" i="5"/>
  <c r="B54" i="2"/>
  <c r="T69" i="2"/>
  <c r="T70" i="2"/>
  <c r="U120" i="20"/>
  <c r="U166" i="20" s="1"/>
  <c r="Q8" i="10" s="1" a="1"/>
  <c r="M92" i="5"/>
  <c r="M93" i="5"/>
  <c r="M91" i="5"/>
  <c r="L83" i="5"/>
  <c r="K77" i="5"/>
  <c r="M2" i="5"/>
  <c r="M74" i="5" s="1"/>
  <c r="N4" i="5"/>
  <c r="N3" i="5"/>
  <c r="N5" i="5"/>
  <c r="N8" i="5"/>
  <c r="N6" i="5"/>
  <c r="N10" i="5"/>
  <c r="N7" i="5"/>
  <c r="N9" i="5"/>
  <c r="Q71" i="2"/>
  <c r="N63" i="1"/>
  <c r="N44" i="5" s="1"/>
  <c r="N50" i="5"/>
  <c r="N29" i="5"/>
  <c r="N52" i="5"/>
  <c r="N31" i="5"/>
  <c r="N49" i="5"/>
  <c r="N28" i="5"/>
  <c r="N24" i="5"/>
  <c r="N48" i="5"/>
  <c r="N36" i="1"/>
  <c r="N23" i="5" s="1"/>
  <c r="N51" i="5"/>
  <c r="N47" i="5"/>
  <c r="N27" i="5"/>
  <c r="N45" i="5"/>
  <c r="N46" i="5"/>
  <c r="N30" i="5"/>
  <c r="N26" i="5"/>
  <c r="N25" i="5"/>
  <c r="M90" i="5" l="1"/>
  <c r="N75" i="5"/>
  <c r="N76" i="5"/>
  <c r="N82" i="5"/>
  <c r="Y48" i="2"/>
  <c r="N81" i="5"/>
  <c r="Y27" i="2"/>
  <c r="X81" i="2"/>
  <c r="N80" i="5"/>
  <c r="W75" i="2"/>
  <c r="Q8" i="10"/>
  <c r="H127" i="12" s="1"/>
  <c r="H157" i="12" s="1"/>
  <c r="H128" i="12"/>
  <c r="H158" i="12" s="1"/>
  <c r="H129" i="12"/>
  <c r="H159" i="12" s="1"/>
  <c r="H130" i="12"/>
  <c r="H160" i="12" s="1"/>
  <c r="H141" i="12"/>
  <c r="H171" i="12" s="1"/>
  <c r="H137" i="12"/>
  <c r="H167" i="12" s="1"/>
  <c r="H136" i="12"/>
  <c r="H166" i="12" s="1"/>
  <c r="H138" i="12"/>
  <c r="H168" i="12" s="1"/>
  <c r="H144" i="12"/>
  <c r="H174" i="12" s="1"/>
  <c r="H133" i="12"/>
  <c r="H163" i="12" s="1"/>
  <c r="H139" i="12"/>
  <c r="H169" i="12" s="1"/>
  <c r="H145" i="12"/>
  <c r="H175" i="12" s="1"/>
  <c r="H142" i="12"/>
  <c r="H172" i="12" s="1"/>
  <c r="H131" i="12"/>
  <c r="H161" i="12" s="1"/>
  <c r="H143" i="12"/>
  <c r="H173" i="12" s="1"/>
  <c r="H134" i="12"/>
  <c r="H164" i="12" s="1"/>
  <c r="H140" i="12"/>
  <c r="H170" i="12" s="1"/>
  <c r="H135" i="12"/>
  <c r="H165" i="12" s="1"/>
  <c r="H132" i="12"/>
  <c r="H162" i="12" s="1"/>
  <c r="N69" i="5"/>
  <c r="B55" i="2"/>
  <c r="M77" i="5"/>
  <c r="M68" i="5"/>
  <c r="M71" i="5" s="1"/>
  <c r="N70" i="5"/>
  <c r="U69" i="2"/>
  <c r="U70" i="2"/>
  <c r="N94" i="5"/>
  <c r="U125" i="20"/>
  <c r="U171" i="20" s="1"/>
  <c r="N93" i="5"/>
  <c r="N91" i="5"/>
  <c r="N92" i="5"/>
  <c r="Y61" i="12"/>
  <c r="Y33" i="12"/>
  <c r="M83" i="5"/>
  <c r="L77" i="5"/>
  <c r="N2" i="5"/>
  <c r="N74" i="5" s="1"/>
  <c r="O5" i="5"/>
  <c r="O8" i="5"/>
  <c r="O6" i="5"/>
  <c r="O3" i="5"/>
  <c r="O11" i="5"/>
  <c r="O10" i="5"/>
  <c r="O4" i="5"/>
  <c r="O7" i="5"/>
  <c r="O9" i="5"/>
  <c r="R71" i="2"/>
  <c r="O48" i="5"/>
  <c r="O27" i="5"/>
  <c r="O49" i="5"/>
  <c r="O28" i="5"/>
  <c r="O51" i="5"/>
  <c r="O30" i="5"/>
  <c r="O53" i="5"/>
  <c r="O32" i="5"/>
  <c r="O36" i="1"/>
  <c r="O23" i="5" s="1"/>
  <c r="O50" i="5"/>
  <c r="O47" i="5"/>
  <c r="O46" i="5"/>
  <c r="O29" i="5"/>
  <c r="O26" i="5"/>
  <c r="O31" i="5"/>
  <c r="O25" i="5"/>
  <c r="O24" i="5"/>
  <c r="O52" i="5"/>
  <c r="O45" i="5"/>
  <c r="O63" i="1"/>
  <c r="O44" i="5" s="1"/>
  <c r="N90" i="5" l="1"/>
  <c r="O76" i="5"/>
  <c r="O75" i="5"/>
  <c r="O82" i="5"/>
  <c r="Z48" i="2"/>
  <c r="O81" i="5"/>
  <c r="Z27" i="2"/>
  <c r="Y81" i="2"/>
  <c r="O80" i="5"/>
  <c r="X75" i="2"/>
  <c r="N68" i="5"/>
  <c r="N71" i="5" s="1"/>
  <c r="O69" i="5"/>
  <c r="B56" i="2"/>
  <c r="O70" i="5"/>
  <c r="V70" i="2"/>
  <c r="V69" i="2"/>
  <c r="O93" i="5"/>
  <c r="U181" i="20"/>
  <c r="O92" i="5"/>
  <c r="O91" i="5"/>
  <c r="O94" i="5"/>
  <c r="N83" i="5"/>
  <c r="O2" i="5"/>
  <c r="O74" i="5" s="1"/>
  <c r="P8" i="5"/>
  <c r="P6" i="5"/>
  <c r="P12" i="5"/>
  <c r="P11" i="5"/>
  <c r="P10" i="5"/>
  <c r="P7" i="5"/>
  <c r="P9" i="5"/>
  <c r="P5" i="5"/>
  <c r="P4" i="5"/>
  <c r="P3" i="5"/>
  <c r="S71" i="2"/>
  <c r="P63" i="1"/>
  <c r="P44" i="5" s="1"/>
  <c r="P54" i="5"/>
  <c r="P53" i="5"/>
  <c r="P33" i="5"/>
  <c r="P32" i="5"/>
  <c r="P51" i="5"/>
  <c r="P30" i="5"/>
  <c r="P46" i="5"/>
  <c r="P45" i="5"/>
  <c r="P25" i="5"/>
  <c r="P24" i="5"/>
  <c r="P36" i="1"/>
  <c r="P23" i="5" s="1"/>
  <c r="P50" i="5"/>
  <c r="P49" i="5"/>
  <c r="P48" i="5"/>
  <c r="P47" i="5"/>
  <c r="P28" i="5"/>
  <c r="P26" i="5"/>
  <c r="P29" i="5"/>
  <c r="P27" i="5"/>
  <c r="P52" i="5"/>
  <c r="P31" i="5"/>
  <c r="O90" i="5" l="1"/>
  <c r="P75" i="5"/>
  <c r="P76" i="5"/>
  <c r="P82" i="5"/>
  <c r="X48" i="5"/>
  <c r="X82" i="5" s="1"/>
  <c r="P81" i="5"/>
  <c r="Z81" i="2"/>
  <c r="X27" i="5"/>
  <c r="P80" i="5"/>
  <c r="Y75" i="2"/>
  <c r="P69" i="5"/>
  <c r="B57" i="2"/>
  <c r="O68" i="5"/>
  <c r="O71" i="5" s="1"/>
  <c r="P70" i="5"/>
  <c r="W70" i="2"/>
  <c r="W69" i="2"/>
  <c r="P95" i="5"/>
  <c r="P93" i="5"/>
  <c r="P92" i="5"/>
  <c r="P91" i="5"/>
  <c r="P94" i="5"/>
  <c r="O83" i="5"/>
  <c r="N77" i="5"/>
  <c r="P2" i="5"/>
  <c r="P74" i="5" s="1"/>
  <c r="Q6" i="5"/>
  <c r="Q12" i="5"/>
  <c r="Q11" i="5"/>
  <c r="Q13" i="5"/>
  <c r="Q10" i="5"/>
  <c r="Q7" i="5"/>
  <c r="Q9" i="5"/>
  <c r="Q4" i="5"/>
  <c r="Q3" i="5"/>
  <c r="Q5" i="5"/>
  <c r="Q8" i="5"/>
  <c r="T71" i="2"/>
  <c r="Q63" i="1"/>
  <c r="Q44" i="5" s="1"/>
  <c r="Q55" i="5"/>
  <c r="Q52" i="5"/>
  <c r="Q34" i="5"/>
  <c r="Q31" i="5"/>
  <c r="Q46" i="5"/>
  <c r="Q45" i="5"/>
  <c r="Q25" i="5"/>
  <c r="Q24" i="5"/>
  <c r="Q47" i="5"/>
  <c r="Q26" i="5"/>
  <c r="Q36" i="1"/>
  <c r="Q23" i="5" s="1"/>
  <c r="Q32" i="5"/>
  <c r="Q49" i="5"/>
  <c r="Q50" i="5"/>
  <c r="Q48" i="5"/>
  <c r="Q54" i="5"/>
  <c r="Q29" i="5"/>
  <c r="Q28" i="5"/>
  <c r="Q27" i="5"/>
  <c r="Q51" i="5"/>
  <c r="Q33" i="5"/>
  <c r="Q30" i="5"/>
  <c r="Q53" i="5"/>
  <c r="P90" i="5" l="1"/>
  <c r="Q76" i="5"/>
  <c r="Q75" i="5"/>
  <c r="Q82" i="5"/>
  <c r="Q81" i="5"/>
  <c r="X81" i="5"/>
  <c r="X92" i="5"/>
  <c r="Q80" i="5"/>
  <c r="Z75" i="2"/>
  <c r="Q70" i="5"/>
  <c r="P77" i="5"/>
  <c r="P68" i="5"/>
  <c r="P71" i="5" s="1"/>
  <c r="Q69" i="5"/>
  <c r="B58" i="2"/>
  <c r="X69" i="2"/>
  <c r="X70" i="2"/>
  <c r="Q94" i="5"/>
  <c r="Q95" i="5"/>
  <c r="Q93" i="5"/>
  <c r="Q92" i="5"/>
  <c r="Q91" i="5"/>
  <c r="Y34" i="12"/>
  <c r="Y62" i="12"/>
  <c r="P83" i="5"/>
  <c r="O77" i="5"/>
  <c r="Q2" i="5"/>
  <c r="Q74" i="5" s="1"/>
  <c r="R12" i="5"/>
  <c r="R11" i="5"/>
  <c r="R13" i="5"/>
  <c r="R10" i="5"/>
  <c r="R7" i="5"/>
  <c r="R14" i="5"/>
  <c r="R9" i="5"/>
  <c r="R4" i="5"/>
  <c r="R5" i="5"/>
  <c r="R8" i="5"/>
  <c r="R6" i="5"/>
  <c r="U71" i="2"/>
  <c r="R63" i="1"/>
  <c r="R44" i="5" s="1"/>
  <c r="R49" i="5"/>
  <c r="R28" i="5"/>
  <c r="R56" i="5"/>
  <c r="R47" i="5"/>
  <c r="R26" i="5"/>
  <c r="R36" i="1"/>
  <c r="R23" i="5" s="1"/>
  <c r="R50" i="5"/>
  <c r="R29" i="5"/>
  <c r="R48" i="5"/>
  <c r="R27" i="5"/>
  <c r="R54" i="5"/>
  <c r="R51" i="5"/>
  <c r="R35" i="5"/>
  <c r="R33" i="5"/>
  <c r="R46" i="5"/>
  <c r="R30" i="5"/>
  <c r="R52" i="5"/>
  <c r="R25" i="5"/>
  <c r="R55" i="5"/>
  <c r="R45" i="5"/>
  <c r="R31" i="5"/>
  <c r="R53" i="5"/>
  <c r="R34" i="5"/>
  <c r="R24" i="5"/>
  <c r="R32" i="5"/>
  <c r="R3" i="5"/>
  <c r="Q90" i="5" l="1"/>
  <c r="R75" i="5"/>
  <c r="R76" i="5"/>
  <c r="R82" i="5"/>
  <c r="R81" i="5"/>
  <c r="R80" i="5"/>
  <c r="X46" i="5"/>
  <c r="X25" i="5"/>
  <c r="B59" i="2"/>
  <c r="R69" i="5"/>
  <c r="R70" i="5"/>
  <c r="Q68" i="5"/>
  <c r="Q71" i="5" s="1"/>
  <c r="Y69" i="2"/>
  <c r="Y70" i="2"/>
  <c r="R94" i="5"/>
  <c r="R91" i="5"/>
  <c r="R96" i="5"/>
  <c r="R92" i="5"/>
  <c r="R93" i="5"/>
  <c r="R95" i="5"/>
  <c r="Q83" i="5"/>
  <c r="R2" i="5"/>
  <c r="R74" i="5" s="1"/>
  <c r="S13" i="5"/>
  <c r="S10" i="5"/>
  <c r="S7" i="5"/>
  <c r="S14" i="5"/>
  <c r="S9" i="5"/>
  <c r="S11" i="5"/>
  <c r="S4" i="5"/>
  <c r="S3" i="5"/>
  <c r="S12" i="5"/>
  <c r="S5" i="5"/>
  <c r="S15" i="5"/>
  <c r="S8" i="5"/>
  <c r="S6" i="5"/>
  <c r="V71" i="2"/>
  <c r="S55" i="5"/>
  <c r="S56" i="5"/>
  <c r="S51" i="5"/>
  <c r="S35" i="5"/>
  <c r="S30" i="5"/>
  <c r="S57" i="5"/>
  <c r="S50" i="5"/>
  <c r="S36" i="5"/>
  <c r="S29" i="5"/>
  <c r="S48" i="5"/>
  <c r="S27" i="5"/>
  <c r="S54" i="5"/>
  <c r="S49" i="5"/>
  <c r="S36" i="1"/>
  <c r="S23" i="5" s="1"/>
  <c r="S47" i="5"/>
  <c r="S33" i="5"/>
  <c r="S28" i="5"/>
  <c r="S46" i="5"/>
  <c r="S26" i="5"/>
  <c r="S52" i="5"/>
  <c r="S25" i="5"/>
  <c r="S45" i="5"/>
  <c r="S31" i="5"/>
  <c r="S24" i="5"/>
  <c r="S53" i="5"/>
  <c r="S34" i="5"/>
  <c r="S32" i="5"/>
  <c r="S63" i="1"/>
  <c r="S44" i="5" s="1"/>
  <c r="R90" i="5" l="1"/>
  <c r="S76" i="5"/>
  <c r="S75" i="5"/>
  <c r="S81" i="5"/>
  <c r="S82" i="5"/>
  <c r="S80" i="5"/>
  <c r="X91" i="5"/>
  <c r="X83" i="5"/>
  <c r="R68" i="5"/>
  <c r="R71" i="5" s="1"/>
  <c r="S69" i="5"/>
  <c r="S70" i="5"/>
  <c r="B60" i="2"/>
  <c r="X45" i="5"/>
  <c r="X76" i="5" s="1"/>
  <c r="Z70" i="2"/>
  <c r="Z69" i="2"/>
  <c r="S93" i="5"/>
  <c r="X24" i="5"/>
  <c r="X75" i="5" s="1"/>
  <c r="S92" i="5"/>
  <c r="S96" i="5"/>
  <c r="S94" i="5"/>
  <c r="S95" i="5"/>
  <c r="S91" i="5"/>
  <c r="R83" i="5"/>
  <c r="Q77" i="5"/>
  <c r="S2" i="5"/>
  <c r="S74" i="5" s="1"/>
  <c r="T16" i="5"/>
  <c r="T7" i="5"/>
  <c r="T10" i="5"/>
  <c r="T14" i="5"/>
  <c r="T9" i="5"/>
  <c r="T4" i="5"/>
  <c r="T3" i="5"/>
  <c r="T5" i="5"/>
  <c r="T15" i="5"/>
  <c r="T8" i="5"/>
  <c r="T6" i="5"/>
  <c r="T13" i="5"/>
  <c r="T12" i="5"/>
  <c r="T11" i="5"/>
  <c r="W71" i="2"/>
  <c r="T63" i="1"/>
  <c r="T44" i="5" s="1"/>
  <c r="T58" i="5"/>
  <c r="T46" i="5"/>
  <c r="T45" i="5"/>
  <c r="T25" i="5"/>
  <c r="T24" i="5"/>
  <c r="T48" i="5"/>
  <c r="T27" i="5"/>
  <c r="T54" i="5"/>
  <c r="T53" i="5"/>
  <c r="T33" i="5"/>
  <c r="T32" i="5"/>
  <c r="T57" i="5"/>
  <c r="T50" i="5"/>
  <c r="T47" i="5"/>
  <c r="T28" i="5"/>
  <c r="T35" i="5"/>
  <c r="T29" i="5"/>
  <c r="T51" i="5"/>
  <c r="T26" i="5"/>
  <c r="T56" i="5"/>
  <c r="T52" i="5"/>
  <c r="T30" i="5"/>
  <c r="T37" i="5"/>
  <c r="T31" i="5"/>
  <c r="T55" i="5"/>
  <c r="T34" i="5"/>
  <c r="T36" i="5"/>
  <c r="T49" i="5"/>
  <c r="T36" i="1"/>
  <c r="T23" i="5" s="1"/>
  <c r="S90" i="5" l="1"/>
  <c r="T75" i="5"/>
  <c r="T76" i="5"/>
  <c r="T82" i="5"/>
  <c r="T81" i="5"/>
  <c r="T80" i="5"/>
  <c r="B61" i="2"/>
  <c r="T69" i="5"/>
  <c r="S68" i="5"/>
  <c r="S71" i="5" s="1"/>
  <c r="X77" i="5"/>
  <c r="X69" i="5"/>
  <c r="X70" i="5"/>
  <c r="T70" i="5"/>
  <c r="T93" i="5"/>
  <c r="Z71" i="2"/>
  <c r="X90" i="5"/>
  <c r="T92" i="5"/>
  <c r="T94" i="5"/>
  <c r="T97" i="5"/>
  <c r="T91" i="5"/>
  <c r="T95" i="5"/>
  <c r="T96" i="5"/>
  <c r="S83" i="5"/>
  <c r="R77" i="5"/>
  <c r="T2" i="5"/>
  <c r="T74" i="5" s="1"/>
  <c r="U14" i="5"/>
  <c r="U9" i="5"/>
  <c r="U4" i="5"/>
  <c r="U3" i="5"/>
  <c r="U5" i="5"/>
  <c r="U15" i="5"/>
  <c r="U8" i="5"/>
  <c r="U17" i="5"/>
  <c r="U6" i="5"/>
  <c r="U12" i="5"/>
  <c r="U11" i="5"/>
  <c r="U13" i="5"/>
  <c r="U10" i="5"/>
  <c r="U16" i="5"/>
  <c r="U7" i="5"/>
  <c r="X71" i="2"/>
  <c r="U56" i="5"/>
  <c r="U47" i="5"/>
  <c r="U26" i="5"/>
  <c r="U36" i="1"/>
  <c r="U23" i="5" s="1"/>
  <c r="U57" i="5"/>
  <c r="U54" i="5"/>
  <c r="U53" i="5"/>
  <c r="U33" i="5"/>
  <c r="U32" i="5"/>
  <c r="U55" i="5"/>
  <c r="U52" i="5"/>
  <c r="U34" i="5"/>
  <c r="U31" i="5"/>
  <c r="U51" i="5"/>
  <c r="U35" i="5"/>
  <c r="U29" i="5"/>
  <c r="U27" i="5"/>
  <c r="U46" i="5"/>
  <c r="U38" i="5"/>
  <c r="U30" i="5"/>
  <c r="U59" i="5"/>
  <c r="U37" i="5"/>
  <c r="U25" i="5"/>
  <c r="U45" i="5"/>
  <c r="U24" i="5"/>
  <c r="U48" i="5"/>
  <c r="U36" i="5"/>
  <c r="U50" i="5"/>
  <c r="U58" i="5"/>
  <c r="U49" i="5"/>
  <c r="U28" i="5"/>
  <c r="U63" i="1"/>
  <c r="U44" i="5" s="1"/>
  <c r="T90" i="5" l="1"/>
  <c r="U76" i="5"/>
  <c r="U75" i="5"/>
  <c r="U81" i="5"/>
  <c r="U82" i="5"/>
  <c r="U80" i="5"/>
  <c r="T77" i="5"/>
  <c r="T68" i="5"/>
  <c r="T71" i="5" s="1"/>
  <c r="U69" i="5"/>
  <c r="X71" i="5"/>
  <c r="U70" i="5"/>
  <c r="B62" i="2"/>
  <c r="U91" i="5"/>
  <c r="U95" i="5"/>
  <c r="U97" i="5"/>
  <c r="U92" i="5"/>
  <c r="U96" i="5"/>
  <c r="U93" i="5"/>
  <c r="U94" i="5"/>
  <c r="T83" i="5"/>
  <c r="S77" i="5"/>
  <c r="U2" i="5"/>
  <c r="U74" i="5" s="1"/>
  <c r="V4" i="5"/>
  <c r="V3" i="5"/>
  <c r="V18" i="5"/>
  <c r="V5" i="5"/>
  <c r="V15" i="5"/>
  <c r="V8" i="5"/>
  <c r="V17" i="5"/>
  <c r="V6" i="5"/>
  <c r="V12" i="5"/>
  <c r="V11" i="5"/>
  <c r="V14" i="5"/>
  <c r="V13" i="5"/>
  <c r="V10" i="5"/>
  <c r="V16" i="5"/>
  <c r="V7" i="5"/>
  <c r="V9" i="5"/>
  <c r="Y71" i="2"/>
  <c r="V57" i="5"/>
  <c r="V50" i="5"/>
  <c r="V36" i="5"/>
  <c r="V29" i="5"/>
  <c r="V55" i="5"/>
  <c r="V52" i="5"/>
  <c r="V34" i="5"/>
  <c r="V31" i="5"/>
  <c r="V58" i="5"/>
  <c r="V49" i="5"/>
  <c r="V37" i="5"/>
  <c r="V28" i="5"/>
  <c r="V46" i="5"/>
  <c r="V38" i="5"/>
  <c r="V33" i="5"/>
  <c r="V30" i="5"/>
  <c r="V26" i="5"/>
  <c r="V59" i="5"/>
  <c r="V25" i="5"/>
  <c r="V56" i="5"/>
  <c r="V45" i="5"/>
  <c r="V24" i="5"/>
  <c r="V53" i="5"/>
  <c r="V32" i="5"/>
  <c r="V51" i="5"/>
  <c r="V27" i="5"/>
  <c r="V54" i="5"/>
  <c r="V47" i="5"/>
  <c r="V35" i="5"/>
  <c r="V48" i="5"/>
  <c r="V36" i="1"/>
  <c r="V23" i="5" s="1"/>
  <c r="V60" i="5"/>
  <c r="V39" i="5"/>
  <c r="W63" i="1"/>
  <c r="W44" i="5" s="1"/>
  <c r="V63" i="1"/>
  <c r="V44" i="5" s="1"/>
  <c r="U90" i="5" l="1"/>
  <c r="V76" i="5"/>
  <c r="V75" i="5"/>
  <c r="V82" i="5"/>
  <c r="V81" i="5"/>
  <c r="V80" i="5"/>
  <c r="B63" i="2"/>
  <c r="V69" i="5"/>
  <c r="V70" i="5"/>
  <c r="U77" i="5"/>
  <c r="U68" i="5"/>
  <c r="U71" i="5" s="1"/>
  <c r="V96" i="5"/>
  <c r="V98" i="5"/>
  <c r="V91" i="5"/>
  <c r="V97" i="5"/>
  <c r="V92" i="5"/>
  <c r="V95" i="5"/>
  <c r="V93" i="5"/>
  <c r="V94" i="5"/>
  <c r="U83" i="5"/>
  <c r="V2" i="5"/>
  <c r="V74" i="5" s="1"/>
  <c r="W19" i="5"/>
  <c r="W18" i="5"/>
  <c r="W5" i="5"/>
  <c r="W15" i="5"/>
  <c r="W8" i="5"/>
  <c r="W17" i="5"/>
  <c r="W6" i="5"/>
  <c r="W12" i="5"/>
  <c r="W11" i="5"/>
  <c r="W4" i="5"/>
  <c r="W13" i="5"/>
  <c r="W10" i="5"/>
  <c r="W16" i="5"/>
  <c r="W7" i="5"/>
  <c r="W14" i="5"/>
  <c r="W9" i="5"/>
  <c r="W3" i="5"/>
  <c r="W48" i="5"/>
  <c r="W38" i="5"/>
  <c r="W27" i="5"/>
  <c r="W58" i="5"/>
  <c r="W49" i="5"/>
  <c r="W37" i="5"/>
  <c r="W28" i="5"/>
  <c r="W56" i="5"/>
  <c r="W51" i="5"/>
  <c r="W35" i="5"/>
  <c r="W30" i="5"/>
  <c r="W25" i="5"/>
  <c r="W52" i="5"/>
  <c r="W45" i="5"/>
  <c r="W31" i="5"/>
  <c r="W24" i="5"/>
  <c r="W55" i="5"/>
  <c r="W53" i="5"/>
  <c r="W34" i="5"/>
  <c r="W36" i="5"/>
  <c r="W32" i="5"/>
  <c r="W61" i="5"/>
  <c r="W57" i="5"/>
  <c r="W46" i="5"/>
  <c r="W33" i="5"/>
  <c r="W40" i="5"/>
  <c r="W36" i="1"/>
  <c r="W23" i="5" s="1"/>
  <c r="W60" i="5"/>
  <c r="W29" i="5"/>
  <c r="W26" i="5"/>
  <c r="W54" i="5"/>
  <c r="W50" i="5"/>
  <c r="W47" i="5"/>
  <c r="W39" i="5"/>
  <c r="W59" i="5"/>
  <c r="V90" i="5" l="1"/>
  <c r="W75" i="5"/>
  <c r="W76" i="5"/>
  <c r="W82" i="5"/>
  <c r="Y6" i="10" s="1" a="1"/>
  <c r="W81" i="5"/>
  <c r="X6" i="10" s="1" a="1"/>
  <c r="W80" i="5"/>
  <c r="W6" i="10" s="1" a="1"/>
  <c r="W69" i="5"/>
  <c r="V77" i="5"/>
  <c r="V68" i="5"/>
  <c r="V71" i="5" s="1"/>
  <c r="B64" i="2"/>
  <c r="V90" i="2" s="1"/>
  <c r="W70" i="5"/>
  <c r="W94" i="5"/>
  <c r="W91" i="5"/>
  <c r="W98" i="5"/>
  <c r="W95" i="5"/>
  <c r="W96" i="5"/>
  <c r="W92" i="5"/>
  <c r="W97" i="5"/>
  <c r="W93" i="5"/>
  <c r="V83" i="5"/>
  <c r="W2" i="5"/>
  <c r="W74" i="5" s="1"/>
  <c r="Z90" i="2" l="1"/>
  <c r="X90" i="2"/>
  <c r="J90" i="2"/>
  <c r="H91" i="2"/>
  <c r="I91" i="2"/>
  <c r="K90" i="2"/>
  <c r="H76" i="2"/>
  <c r="H77" i="2" s="1"/>
  <c r="K76" i="2"/>
  <c r="K77" i="2" s="1"/>
  <c r="R76" i="2"/>
  <c r="R77" i="2" s="1"/>
  <c r="V76" i="2"/>
  <c r="V77" i="2" s="1"/>
  <c r="S76" i="2"/>
  <c r="S77" i="2" s="1"/>
  <c r="L76" i="2"/>
  <c r="L77" i="2" s="1"/>
  <c r="Q76" i="2"/>
  <c r="Q77" i="2" s="1"/>
  <c r="Y76" i="2"/>
  <c r="Y77" i="2" s="1"/>
  <c r="U76" i="2"/>
  <c r="U77" i="2" s="1"/>
  <c r="M76" i="2"/>
  <c r="M77" i="2" s="1"/>
  <c r="T76" i="2"/>
  <c r="T77" i="2" s="1"/>
  <c r="X76" i="2"/>
  <c r="X77" i="2" s="1"/>
  <c r="I76" i="2"/>
  <c r="I77" i="2" s="1"/>
  <c r="N76" i="2"/>
  <c r="N77" i="2" s="1"/>
  <c r="O76" i="2"/>
  <c r="O77" i="2" s="1"/>
  <c r="Z76" i="2"/>
  <c r="Z77" i="2" s="1"/>
  <c r="P76" i="2"/>
  <c r="P77" i="2" s="1"/>
  <c r="W76" i="2"/>
  <c r="W77" i="2" s="1"/>
  <c r="J76" i="2"/>
  <c r="J77" i="2" s="1"/>
  <c r="K82" i="2"/>
  <c r="K83" i="2" s="1"/>
  <c r="W90" i="5"/>
  <c r="G101" i="5" s="1" a="1"/>
  <c r="G101" i="5" s="1"/>
  <c r="N82" i="2"/>
  <c r="J91" i="2"/>
  <c r="L82" i="2"/>
  <c r="L83" i="2" s="1"/>
  <c r="M82" i="2"/>
  <c r="M83" i="2" s="1"/>
  <c r="D76" i="2"/>
  <c r="D77" i="2" s="1"/>
  <c r="J82" i="2"/>
  <c r="J83" i="2" s="1"/>
  <c r="E76" i="2"/>
  <c r="E77" i="2" s="1"/>
  <c r="E82" i="2"/>
  <c r="E83" i="2" s="1"/>
  <c r="G82" i="2"/>
  <c r="F76" i="2"/>
  <c r="F77" i="2" s="1"/>
  <c r="I82" i="2"/>
  <c r="I83" i="2" s="1"/>
  <c r="C82" i="2"/>
  <c r="D82" i="2"/>
  <c r="D83" i="2" s="1"/>
  <c r="C76" i="2"/>
  <c r="O82" i="2"/>
  <c r="O83" i="2" s="1"/>
  <c r="H82" i="2"/>
  <c r="H83" i="2" s="1"/>
  <c r="F82" i="2"/>
  <c r="F83" i="2" s="1"/>
  <c r="G76" i="2"/>
  <c r="G77" i="2" s="1"/>
  <c r="P82" i="2"/>
  <c r="P83" i="2" s="1"/>
  <c r="Q82" i="2"/>
  <c r="Q83" i="2" s="1"/>
  <c r="S82" i="2"/>
  <c r="S83" i="2" s="1"/>
  <c r="U82" i="2"/>
  <c r="U83" i="2" s="1"/>
  <c r="R82" i="2"/>
  <c r="R83" i="2" s="1"/>
  <c r="V82" i="2"/>
  <c r="V83" i="2" s="1"/>
  <c r="T82" i="2"/>
  <c r="T83" i="2" s="1"/>
  <c r="X82" i="2"/>
  <c r="X83" i="2" s="1"/>
  <c r="W82" i="2"/>
  <c r="W83" i="2" s="1"/>
  <c r="Y82" i="2"/>
  <c r="Y83" i="2" s="1"/>
  <c r="Z82" i="2"/>
  <c r="Z83" i="2" s="1"/>
  <c r="Z7" i="10"/>
  <c r="W6" i="10"/>
  <c r="W60" i="10" s="1"/>
  <c r="I126" i="12"/>
  <c r="I127" i="12"/>
  <c r="I157" i="12" s="1"/>
  <c r="I135" i="12"/>
  <c r="I143" i="12"/>
  <c r="W90" i="10"/>
  <c r="W98" i="10"/>
  <c r="W106" i="10"/>
  <c r="W61" i="10"/>
  <c r="W69" i="10"/>
  <c r="W77" i="10"/>
  <c r="W40" i="10"/>
  <c r="W48" i="10"/>
  <c r="W62" i="10"/>
  <c r="W70" i="10"/>
  <c r="W78" i="10"/>
  <c r="W41" i="10"/>
  <c r="W49" i="10"/>
  <c r="W64" i="10"/>
  <c r="W43" i="10"/>
  <c r="W97" i="10"/>
  <c r="W68" i="10"/>
  <c r="I128" i="12"/>
  <c r="I136" i="12"/>
  <c r="I144" i="12"/>
  <c r="W91" i="10"/>
  <c r="W99" i="10"/>
  <c r="W107" i="10"/>
  <c r="I129" i="12"/>
  <c r="I137" i="12"/>
  <c r="I145" i="12"/>
  <c r="W92" i="10"/>
  <c r="W100" i="10"/>
  <c r="W108" i="10"/>
  <c r="W63" i="10"/>
  <c r="W71" i="10"/>
  <c r="W79" i="10"/>
  <c r="W34" i="10"/>
  <c r="W42" i="10"/>
  <c r="W50" i="10"/>
  <c r="I130" i="12"/>
  <c r="I138" i="12"/>
  <c r="W93" i="10"/>
  <c r="W101" i="10"/>
  <c r="W72" i="10"/>
  <c r="W80" i="10"/>
  <c r="W35" i="10"/>
  <c r="W51" i="10"/>
  <c r="W105" i="10"/>
  <c r="W76" i="10"/>
  <c r="I131" i="12"/>
  <c r="I139" i="12"/>
  <c r="W94" i="10"/>
  <c r="W102" i="10"/>
  <c r="W65" i="10"/>
  <c r="W73" i="10"/>
  <c r="W81" i="10"/>
  <c r="W36" i="10"/>
  <c r="W44" i="10"/>
  <c r="W52" i="10"/>
  <c r="I141" i="12"/>
  <c r="W96" i="10"/>
  <c r="W104" i="10"/>
  <c r="W67" i="10"/>
  <c r="W38" i="10"/>
  <c r="W46" i="10"/>
  <c r="W54" i="10"/>
  <c r="I134" i="12"/>
  <c r="W89" i="10"/>
  <c r="W47" i="10"/>
  <c r="I132" i="12"/>
  <c r="I140" i="12"/>
  <c r="W95" i="10"/>
  <c r="W103" i="10"/>
  <c r="W66" i="10"/>
  <c r="W74" i="10"/>
  <c r="W37" i="10"/>
  <c r="W45" i="10"/>
  <c r="W53" i="10"/>
  <c r="I133" i="12"/>
  <c r="W88" i="10"/>
  <c r="W75" i="10"/>
  <c r="I142" i="12"/>
  <c r="W39" i="10"/>
  <c r="Z9" i="10"/>
  <c r="Z23" i="10"/>
  <c r="Z14" i="10"/>
  <c r="Z21" i="10"/>
  <c r="Z13" i="10"/>
  <c r="Z25" i="10"/>
  <c r="Z20" i="10"/>
  <c r="Z12" i="10"/>
  <c r="Z22" i="10"/>
  <c r="Z8" i="10"/>
  <c r="Z16" i="10"/>
  <c r="Z18" i="10"/>
  <c r="Z19" i="10"/>
  <c r="Z10" i="10"/>
  <c r="Z17" i="10"/>
  <c r="Z24" i="10"/>
  <c r="Z11" i="10"/>
  <c r="Z15" i="10"/>
  <c r="X6" i="10"/>
  <c r="X33" i="10" s="1"/>
  <c r="X88" i="10"/>
  <c r="X96" i="10"/>
  <c r="X104" i="10"/>
  <c r="X67" i="10"/>
  <c r="X75" i="10"/>
  <c r="X38" i="10"/>
  <c r="X46" i="10"/>
  <c r="X54" i="10"/>
  <c r="X68" i="10"/>
  <c r="X76" i="10"/>
  <c r="X39" i="10"/>
  <c r="X47" i="10"/>
  <c r="X49" i="10"/>
  <c r="X95" i="10"/>
  <c r="X53" i="10"/>
  <c r="X89" i="10"/>
  <c r="X97" i="10"/>
  <c r="X105" i="10"/>
  <c r="X90" i="10"/>
  <c r="X98" i="10"/>
  <c r="X106" i="10"/>
  <c r="X61" i="10"/>
  <c r="X69" i="10"/>
  <c r="X77" i="10"/>
  <c r="X40" i="10"/>
  <c r="X48" i="10"/>
  <c r="X91" i="10"/>
  <c r="X99" i="10"/>
  <c r="X107" i="10"/>
  <c r="X62" i="10"/>
  <c r="X70" i="10"/>
  <c r="X78" i="10"/>
  <c r="X41" i="10"/>
  <c r="X66" i="10"/>
  <c r="X45" i="10"/>
  <c r="X92" i="10"/>
  <c r="X100" i="10"/>
  <c r="X108" i="10"/>
  <c r="X63" i="10"/>
  <c r="X71" i="10"/>
  <c r="X79" i="10"/>
  <c r="X34" i="10"/>
  <c r="X42" i="10"/>
  <c r="X50" i="10"/>
  <c r="X94" i="10"/>
  <c r="X102" i="10"/>
  <c r="X65" i="10"/>
  <c r="X81" i="10"/>
  <c r="X36" i="10"/>
  <c r="X52" i="10"/>
  <c r="X74" i="10"/>
  <c r="X37" i="10"/>
  <c r="X93" i="10"/>
  <c r="X101" i="10"/>
  <c r="X64" i="10"/>
  <c r="X72" i="10"/>
  <c r="X80" i="10"/>
  <c r="X35" i="10"/>
  <c r="X43" i="10"/>
  <c r="X51" i="10"/>
  <c r="X73" i="10"/>
  <c r="X44" i="10"/>
  <c r="X103" i="10"/>
  <c r="Y6" i="10"/>
  <c r="Y60" i="10" s="1"/>
  <c r="Y93" i="10"/>
  <c r="Y101" i="10"/>
  <c r="Y64" i="10"/>
  <c r="Y72" i="10"/>
  <c r="Y80" i="10"/>
  <c r="Y36" i="10"/>
  <c r="Y44" i="10"/>
  <c r="Y52" i="10"/>
  <c r="Y37" i="10"/>
  <c r="Y45" i="10"/>
  <c r="Y53" i="10"/>
  <c r="Y39" i="10"/>
  <c r="Y79" i="10"/>
  <c r="Y51" i="10"/>
  <c r="Y108" i="10"/>
  <c r="Y94" i="10"/>
  <c r="Y102" i="10"/>
  <c r="Y65" i="10"/>
  <c r="Y73" i="10"/>
  <c r="Y95" i="10"/>
  <c r="Y103" i="10"/>
  <c r="Y66" i="10"/>
  <c r="Y74" i="10"/>
  <c r="Y38" i="10"/>
  <c r="Y46" i="10"/>
  <c r="Y54" i="10"/>
  <c r="Y88" i="10"/>
  <c r="Y96" i="10"/>
  <c r="Y104" i="10"/>
  <c r="Y81" i="10"/>
  <c r="Y67" i="10"/>
  <c r="Y75" i="10"/>
  <c r="Y47" i="10"/>
  <c r="Y89" i="10"/>
  <c r="Y97" i="10"/>
  <c r="Y105" i="10"/>
  <c r="Y68" i="10"/>
  <c r="Y76" i="10"/>
  <c r="Y40" i="10"/>
  <c r="Y48" i="10"/>
  <c r="Y91" i="10"/>
  <c r="Y99" i="10"/>
  <c r="Y107" i="10"/>
  <c r="Y62" i="10"/>
  <c r="Y78" i="10"/>
  <c r="Y34" i="10"/>
  <c r="Y50" i="10"/>
  <c r="Y100" i="10"/>
  <c r="Y63" i="10"/>
  <c r="Y35" i="10"/>
  <c r="Y90" i="10"/>
  <c r="Y98" i="10"/>
  <c r="Y106" i="10"/>
  <c r="Y61" i="10"/>
  <c r="Y69" i="10"/>
  <c r="Y77" i="10"/>
  <c r="Y41" i="10"/>
  <c r="Y49" i="10"/>
  <c r="Y70" i="10"/>
  <c r="Y42" i="10"/>
  <c r="Y92" i="10"/>
  <c r="Y71" i="10"/>
  <c r="Y43" i="10"/>
  <c r="L95" i="2"/>
  <c r="H90" i="2"/>
  <c r="I90" i="2"/>
  <c r="J97" i="2"/>
  <c r="H93" i="2"/>
  <c r="U96" i="2"/>
  <c r="P95" i="2"/>
  <c r="K93" i="2"/>
  <c r="U98" i="2"/>
  <c r="N98" i="2"/>
  <c r="P99" i="2"/>
  <c r="V98" i="2"/>
  <c r="H96" i="2"/>
  <c r="Y96" i="2"/>
  <c r="S98" i="2"/>
  <c r="V97" i="2"/>
  <c r="O98" i="2"/>
  <c r="T91" i="2"/>
  <c r="L93" i="2"/>
  <c r="I94" i="2"/>
  <c r="Z92" i="2"/>
  <c r="G83" i="2"/>
  <c r="X97" i="2"/>
  <c r="L94" i="2"/>
  <c r="U97" i="2"/>
  <c r="J93" i="2"/>
  <c r="S96" i="2"/>
  <c r="O91" i="2"/>
  <c r="Q91" i="2"/>
  <c r="H94" i="2"/>
  <c r="Z95" i="2"/>
  <c r="J96" i="2"/>
  <c r="R92" i="2"/>
  <c r="Y97" i="2"/>
  <c r="P96" i="2"/>
  <c r="S95" i="2"/>
  <c r="U95" i="2"/>
  <c r="L91" i="2"/>
  <c r="W97" i="2"/>
  <c r="L90" i="2"/>
  <c r="M99" i="2"/>
  <c r="W96" i="2"/>
  <c r="M93" i="2"/>
  <c r="T92" i="2"/>
  <c r="Z94" i="2"/>
  <c r="X92" i="2"/>
  <c r="N91" i="2"/>
  <c r="T96" i="2"/>
  <c r="K99" i="2"/>
  <c r="X91" i="2"/>
  <c r="U94" i="2"/>
  <c r="S92" i="2"/>
  <c r="M95" i="2"/>
  <c r="Z97" i="2"/>
  <c r="X95" i="2"/>
  <c r="Q99" i="2"/>
  <c r="X99" i="2"/>
  <c r="S97" i="2"/>
  <c r="X98" i="2"/>
  <c r="Y98" i="2"/>
  <c r="V91" i="2"/>
  <c r="J98" i="2"/>
  <c r="Y92" i="2"/>
  <c r="J99" i="2"/>
  <c r="K96" i="2"/>
  <c r="P92" i="2"/>
  <c r="U99" i="2"/>
  <c r="H98" i="2"/>
  <c r="Q94" i="2"/>
  <c r="I97" i="2"/>
  <c r="N92" i="2"/>
  <c r="R96" i="2"/>
  <c r="W93" i="2"/>
  <c r="V94" i="2"/>
  <c r="S91" i="2"/>
  <c r="M97" i="2"/>
  <c r="I99" i="2"/>
  <c r="S99" i="2"/>
  <c r="O94" i="2"/>
  <c r="Q96" i="2"/>
  <c r="W98" i="2"/>
  <c r="K95" i="2"/>
  <c r="M98" i="2"/>
  <c r="O97" i="2"/>
  <c r="X94" i="2"/>
  <c r="N93" i="2"/>
  <c r="Y99" i="2"/>
  <c r="L99" i="2"/>
  <c r="T99" i="2"/>
  <c r="Z99" i="2"/>
  <c r="N96" i="2"/>
  <c r="Y95" i="2"/>
  <c r="S94" i="2"/>
  <c r="P91" i="2"/>
  <c r="I93" i="2"/>
  <c r="L97" i="2"/>
  <c r="T95" i="2"/>
  <c r="N97" i="2"/>
  <c r="O92" i="2"/>
  <c r="W91" i="2"/>
  <c r="J92" i="2"/>
  <c r="M90" i="2"/>
  <c r="K92" i="2"/>
  <c r="O99" i="2"/>
  <c r="V96" i="2"/>
  <c r="Q92" i="2"/>
  <c r="J95" i="2"/>
  <c r="R94" i="2"/>
  <c r="P93" i="2"/>
  <c r="W99" i="2"/>
  <c r="V99" i="2"/>
  <c r="K94" i="2"/>
  <c r="L92" i="2"/>
  <c r="O93" i="2"/>
  <c r="R99" i="2"/>
  <c r="H97" i="2"/>
  <c r="Z98" i="2"/>
  <c r="H95" i="2"/>
  <c r="Q93" i="2"/>
  <c r="Q97" i="2"/>
  <c r="R91" i="2"/>
  <c r="M92" i="2"/>
  <c r="Y93" i="2"/>
  <c r="U91" i="2"/>
  <c r="Q95" i="2"/>
  <c r="I95" i="2"/>
  <c r="Z96" i="2"/>
  <c r="W94" i="2"/>
  <c r="P97" i="2"/>
  <c r="J94" i="2"/>
  <c r="I98" i="2"/>
  <c r="X93" i="2"/>
  <c r="X96" i="2"/>
  <c r="N94" i="2"/>
  <c r="R97" i="2"/>
  <c r="R93" i="2"/>
  <c r="O95" i="2"/>
  <c r="Y94" i="2"/>
  <c r="W95" i="2"/>
  <c r="U92" i="2"/>
  <c r="M91" i="2"/>
  <c r="V92" i="2"/>
  <c r="W92" i="2"/>
  <c r="Z93" i="2"/>
  <c r="P94" i="2"/>
  <c r="N95" i="2"/>
  <c r="H99" i="2"/>
  <c r="K91" i="2"/>
  <c r="V93" i="2"/>
  <c r="R98" i="2"/>
  <c r="U93" i="2"/>
  <c r="I92" i="2"/>
  <c r="N99" i="2"/>
  <c r="O96" i="2"/>
  <c r="I96" i="2"/>
  <c r="T98" i="2"/>
  <c r="R95" i="2"/>
  <c r="M96" i="2"/>
  <c r="L98" i="2"/>
  <c r="Y91" i="2"/>
  <c r="L96" i="2"/>
  <c r="T97" i="2"/>
  <c r="M94" i="2"/>
  <c r="S93" i="2"/>
  <c r="K98" i="2"/>
  <c r="H92" i="2"/>
  <c r="T94" i="2"/>
  <c r="P98" i="2"/>
  <c r="Q98" i="2"/>
  <c r="K97" i="2"/>
  <c r="T93" i="2"/>
  <c r="Z91" i="2"/>
  <c r="V95" i="2"/>
  <c r="N90" i="2"/>
  <c r="N83" i="2"/>
  <c r="O90" i="2"/>
  <c r="P90" i="2"/>
  <c r="Q90" i="2"/>
  <c r="R90" i="2"/>
  <c r="T90" i="2"/>
  <c r="W90" i="2"/>
  <c r="U90" i="2"/>
  <c r="Y90" i="2"/>
  <c r="S90" i="2"/>
  <c r="W77" i="5"/>
  <c r="W68" i="5"/>
  <c r="W71" i="5" s="1"/>
  <c r="W83" i="5"/>
  <c r="M75" i="8" l="1"/>
  <c r="M42" i="8"/>
  <c r="W33" i="10"/>
  <c r="W87" i="10"/>
  <c r="X87" i="10"/>
  <c r="Z6" i="10"/>
  <c r="AD6" i="10" s="1"/>
  <c r="M125" i="12" s="1"/>
  <c r="Y33" i="10"/>
  <c r="Y87" i="10"/>
  <c r="X60" i="10"/>
  <c r="Z60" i="10" s="1"/>
  <c r="AD60" i="10" s="1"/>
  <c r="I156" i="12"/>
  <c r="Z88" i="10"/>
  <c r="Z61" i="10"/>
  <c r="I125" i="12"/>
  <c r="I155" i="12" s="1"/>
  <c r="Y150" i="7"/>
  <c r="T149" i="7"/>
  <c r="R149" i="7"/>
  <c r="Q146" i="7"/>
  <c r="W151" i="7"/>
  <c r="O147" i="7"/>
  <c r="S148" i="7"/>
  <c r="R150" i="7"/>
  <c r="Z151" i="7"/>
  <c r="P149" i="7"/>
  <c r="T148" i="7"/>
  <c r="S147" i="7"/>
  <c r="O146" i="7"/>
  <c r="S149" i="7"/>
  <c r="P147" i="7"/>
  <c r="T150" i="7"/>
  <c r="Q147" i="7"/>
  <c r="J8" i="10" a="1"/>
  <c r="V150" i="7"/>
  <c r="Q148" i="7"/>
  <c r="S151" i="7"/>
  <c r="U149" i="7"/>
  <c r="Y151" i="7"/>
  <c r="P148" i="7"/>
  <c r="U150" i="7"/>
  <c r="V149" i="7"/>
  <c r="P146" i="7"/>
  <c r="T151" i="7"/>
  <c r="Q149" i="7"/>
  <c r="Q151" i="7"/>
  <c r="O151" i="7"/>
  <c r="V151" i="7"/>
  <c r="U148" i="7"/>
  <c r="Q150" i="7"/>
  <c r="W149" i="7"/>
  <c r="AA151" i="7"/>
  <c r="P151" i="7"/>
  <c r="R151" i="7"/>
  <c r="O145" i="7"/>
  <c r="AB4" i="9" a="1"/>
  <c r="C83" i="2"/>
  <c r="X150" i="7"/>
  <c r="U151" i="7"/>
  <c r="R148" i="7"/>
  <c r="W150" i="7"/>
  <c r="X151" i="7"/>
  <c r="O150" i="7"/>
  <c r="C77" i="2"/>
  <c r="N4" i="9" a="1"/>
  <c r="S150" i="7"/>
  <c r="P150" i="7"/>
  <c r="R147" i="7"/>
  <c r="O148" i="7"/>
  <c r="O149" i="7"/>
  <c r="I163" i="12"/>
  <c r="I171" i="12"/>
  <c r="I164" i="12"/>
  <c r="I172" i="12"/>
  <c r="I165" i="12"/>
  <c r="I173" i="12"/>
  <c r="I166" i="12"/>
  <c r="I174" i="12"/>
  <c r="I162" i="12"/>
  <c r="I159" i="12"/>
  <c r="I167" i="12"/>
  <c r="I160" i="12"/>
  <c r="I168" i="12"/>
  <c r="I161" i="12"/>
  <c r="I169" i="12"/>
  <c r="I170" i="12"/>
  <c r="M41" i="8" l="1"/>
  <c r="M74" i="8"/>
  <c r="E219" i="7"/>
  <c r="E203" i="7"/>
  <c r="E207" i="7"/>
  <c r="E211" i="7"/>
  <c r="E215" i="7"/>
  <c r="E208" i="7"/>
  <c r="E205" i="7"/>
  <c r="E209" i="7"/>
  <c r="E213" i="7"/>
  <c r="E217" i="7"/>
  <c r="E212" i="7"/>
  <c r="E214" i="7"/>
  <c r="E204" i="7"/>
  <c r="E202" i="7"/>
  <c r="E206" i="7"/>
  <c r="E210" i="7"/>
  <c r="E218" i="7"/>
  <c r="E216" i="7"/>
  <c r="T15" i="9"/>
  <c r="D16" i="7" s="1"/>
  <c r="T10" i="9"/>
  <c r="D11" i="7" s="1"/>
  <c r="Z87" i="10"/>
  <c r="AD87" i="10" s="1"/>
  <c r="K125" i="12"/>
  <c r="K155" i="12" s="1"/>
  <c r="N4" i="9"/>
  <c r="T4" i="9" s="1"/>
  <c r="D5" i="7" s="1"/>
  <c r="T6" i="9"/>
  <c r="D7" i="7" s="1"/>
  <c r="S27" i="9"/>
  <c r="R6" i="9"/>
  <c r="U6" i="9" s="1"/>
  <c r="T5" i="9"/>
  <c r="D6" i="7" s="1"/>
  <c r="R7" i="9"/>
  <c r="T7" i="9"/>
  <c r="D8" i="7" s="1"/>
  <c r="H89" i="7"/>
  <c r="H88" i="7"/>
  <c r="R5" i="9"/>
  <c r="H90" i="7"/>
  <c r="S4" i="9"/>
  <c r="E5" i="7" s="1"/>
  <c r="S26" i="9"/>
  <c r="E27" i="7" s="1"/>
  <c r="S16" i="9"/>
  <c r="E17" i="7" s="1"/>
  <c r="S23" i="9"/>
  <c r="E24" i="7" s="1"/>
  <c r="S19" i="9"/>
  <c r="E20" i="7" s="1"/>
  <c r="S21" i="9"/>
  <c r="E22" i="7" s="1"/>
  <c r="S13" i="9"/>
  <c r="E14" i="7" s="1"/>
  <c r="S6" i="9"/>
  <c r="E7" i="7" s="1"/>
  <c r="S11" i="9"/>
  <c r="E12" i="7" s="1"/>
  <c r="S18" i="9"/>
  <c r="E19" i="7" s="1"/>
  <c r="S20" i="9"/>
  <c r="E21" i="7" s="1"/>
  <c r="S15" i="9"/>
  <c r="E16" i="7" s="1"/>
  <c r="S24" i="9"/>
  <c r="E25" i="7" s="1"/>
  <c r="S25" i="9"/>
  <c r="E26" i="7" s="1"/>
  <c r="S7" i="9"/>
  <c r="E8" i="7" s="1"/>
  <c r="S12" i="9"/>
  <c r="E13" i="7" s="1"/>
  <c r="S10" i="9"/>
  <c r="E11" i="7" s="1"/>
  <c r="S14" i="9"/>
  <c r="E15" i="7" s="1"/>
  <c r="S22" i="9"/>
  <c r="E23" i="7" s="1"/>
  <c r="S9" i="9"/>
  <c r="E10" i="7" s="1"/>
  <c r="S8" i="9"/>
  <c r="E9" i="7" s="1"/>
  <c r="S5" i="9"/>
  <c r="E6" i="7" s="1"/>
  <c r="S17" i="9"/>
  <c r="E18" i="7" s="1"/>
  <c r="N54" i="9"/>
  <c r="N49" i="9"/>
  <c r="N72" i="9"/>
  <c r="N79" i="9"/>
  <c r="N76" i="9"/>
  <c r="N100" i="9"/>
  <c r="T23" i="9"/>
  <c r="D24" i="7" s="1"/>
  <c r="N74" i="9"/>
  <c r="T74" i="9" s="1"/>
  <c r="F73" i="7" s="1"/>
  <c r="N99" i="9"/>
  <c r="N81" i="9"/>
  <c r="N97" i="9"/>
  <c r="T24" i="9"/>
  <c r="D25" i="7" s="1"/>
  <c r="N69" i="9"/>
  <c r="T69" i="9" s="1"/>
  <c r="F68" i="7" s="1"/>
  <c r="N75" i="9"/>
  <c r="T75" i="9" s="1"/>
  <c r="F74" i="7" s="1"/>
  <c r="N73" i="9"/>
  <c r="N51" i="9"/>
  <c r="T14" i="9"/>
  <c r="D15" i="7" s="1"/>
  <c r="N83" i="9"/>
  <c r="N50" i="9"/>
  <c r="N78" i="9"/>
  <c r="N110" i="9"/>
  <c r="T16" i="9"/>
  <c r="D17" i="7" s="1"/>
  <c r="N48" i="9"/>
  <c r="T48" i="9" s="1"/>
  <c r="D75" i="7" s="1"/>
  <c r="T21" i="9"/>
  <c r="D22" i="7" s="1"/>
  <c r="T18" i="9"/>
  <c r="D19" i="7" s="1"/>
  <c r="T19" i="9"/>
  <c r="D20" i="7" s="1"/>
  <c r="N82" i="9"/>
  <c r="T82" i="9" s="1"/>
  <c r="F81" i="7" s="1"/>
  <c r="N71" i="9"/>
  <c r="T71" i="9" s="1"/>
  <c r="N105" i="9"/>
  <c r="N39" i="9"/>
  <c r="N67" i="9"/>
  <c r="T25" i="9"/>
  <c r="D26" i="7" s="1"/>
  <c r="N55" i="9"/>
  <c r="N108" i="9"/>
  <c r="T13" i="9"/>
  <c r="D14" i="7" s="1"/>
  <c r="N103" i="9"/>
  <c r="N43" i="9"/>
  <c r="N94" i="9"/>
  <c r="N56" i="9"/>
  <c r="T27" i="9"/>
  <c r="N68" i="9"/>
  <c r="T68" i="9" s="1"/>
  <c r="T22" i="9"/>
  <c r="D23" i="7" s="1"/>
  <c r="T9" i="9"/>
  <c r="D10" i="7" s="1"/>
  <c r="N44" i="9"/>
  <c r="N102" i="9"/>
  <c r="N41" i="9"/>
  <c r="N46" i="9"/>
  <c r="N104" i="9"/>
  <c r="N112" i="9"/>
  <c r="N45" i="9"/>
  <c r="T26" i="9"/>
  <c r="D27" i="7" s="1"/>
  <c r="N77" i="9"/>
  <c r="T20" i="9"/>
  <c r="D21" i="7" s="1"/>
  <c r="T12" i="9"/>
  <c r="D13" i="7" s="1"/>
  <c r="N98" i="9"/>
  <c r="T98" i="9" s="1"/>
  <c r="H69" i="7" s="1"/>
  <c r="N42" i="9"/>
  <c r="N111" i="9"/>
  <c r="N40" i="9"/>
  <c r="N66" i="9"/>
  <c r="N101" i="9"/>
  <c r="N52" i="9"/>
  <c r="N95" i="9"/>
  <c r="N80" i="9"/>
  <c r="N96" i="9"/>
  <c r="T11" i="9"/>
  <c r="D12" i="7" s="1"/>
  <c r="N84" i="9"/>
  <c r="N109" i="9"/>
  <c r="T109" i="9" s="1"/>
  <c r="H80" i="7" s="1"/>
  <c r="N53" i="9"/>
  <c r="T53" i="9" s="1"/>
  <c r="D80" i="7" s="1"/>
  <c r="N107" i="9"/>
  <c r="T17" i="9"/>
  <c r="D18" i="7" s="1"/>
  <c r="N70" i="9"/>
  <c r="N106" i="9"/>
  <c r="N38" i="9"/>
  <c r="N47" i="9"/>
  <c r="T8" i="9"/>
  <c r="D9" i="7" s="1"/>
  <c r="N37" i="9"/>
  <c r="N93" i="9"/>
  <c r="N65" i="9"/>
  <c r="P68" i="9"/>
  <c r="P94" i="9"/>
  <c r="P45" i="9"/>
  <c r="P74" i="9"/>
  <c r="P46" i="9"/>
  <c r="O37" i="9"/>
  <c r="P95" i="9"/>
  <c r="P93" i="9"/>
  <c r="P105" i="9"/>
  <c r="P75" i="9"/>
  <c r="P55" i="9"/>
  <c r="P52" i="9"/>
  <c r="P82" i="9"/>
  <c r="P40" i="9"/>
  <c r="P79" i="9"/>
  <c r="P67" i="9"/>
  <c r="P72" i="9"/>
  <c r="P84" i="9"/>
  <c r="P41" i="9"/>
  <c r="P56" i="9"/>
  <c r="P47" i="9"/>
  <c r="P100" i="9"/>
  <c r="P51" i="9"/>
  <c r="P39" i="9"/>
  <c r="P69" i="9"/>
  <c r="P65" i="9"/>
  <c r="O107" i="9"/>
  <c r="R24" i="9"/>
  <c r="U24" i="9" s="1"/>
  <c r="P54" i="9"/>
  <c r="P111" i="9"/>
  <c r="P106" i="9"/>
  <c r="P103" i="9"/>
  <c r="P112" i="9"/>
  <c r="P53" i="9"/>
  <c r="P76" i="9"/>
  <c r="P83" i="9"/>
  <c r="P99" i="9"/>
  <c r="P49" i="9"/>
  <c r="P66" i="9"/>
  <c r="P77" i="9"/>
  <c r="P38" i="9"/>
  <c r="P43" i="9"/>
  <c r="P109" i="9"/>
  <c r="P102" i="9"/>
  <c r="P97" i="9"/>
  <c r="R27" i="9"/>
  <c r="U27" i="9" s="1"/>
  <c r="P108" i="9"/>
  <c r="P70" i="9"/>
  <c r="P107" i="9"/>
  <c r="P98" i="9"/>
  <c r="P96" i="9"/>
  <c r="P73" i="9"/>
  <c r="P42" i="9"/>
  <c r="P48" i="9"/>
  <c r="P101" i="9"/>
  <c r="P37" i="9"/>
  <c r="P78" i="9"/>
  <c r="P80" i="9"/>
  <c r="P81" i="9"/>
  <c r="P44" i="9"/>
  <c r="P104" i="9"/>
  <c r="P110" i="9"/>
  <c r="P50" i="9"/>
  <c r="P71" i="9"/>
  <c r="R22" i="9"/>
  <c r="U22" i="9" s="1"/>
  <c r="O68" i="9"/>
  <c r="R23" i="9"/>
  <c r="U23" i="9" s="1"/>
  <c r="O106" i="9"/>
  <c r="H95" i="7"/>
  <c r="O76" i="9"/>
  <c r="O79" i="9"/>
  <c r="H96" i="7"/>
  <c r="O80" i="9"/>
  <c r="R10" i="9"/>
  <c r="U10" i="9" s="1"/>
  <c r="O38" i="9"/>
  <c r="O77" i="9"/>
  <c r="R18" i="9"/>
  <c r="U18" i="9" s="1"/>
  <c r="R16" i="9"/>
  <c r="O50" i="9"/>
  <c r="O51" i="9"/>
  <c r="H105" i="7"/>
  <c r="O93" i="9"/>
  <c r="O75" i="9"/>
  <c r="H103" i="7"/>
  <c r="O43" i="9"/>
  <c r="O98" i="9"/>
  <c r="O55" i="9"/>
  <c r="R21" i="9"/>
  <c r="U21" i="9" s="1"/>
  <c r="O81" i="9"/>
  <c r="R14" i="9"/>
  <c r="U14" i="9" s="1"/>
  <c r="O110" i="9"/>
  <c r="O104" i="9"/>
  <c r="O82" i="9"/>
  <c r="O83" i="9"/>
  <c r="O39" i="9"/>
  <c r="O109" i="9"/>
  <c r="O99" i="9"/>
  <c r="O65" i="9"/>
  <c r="H91" i="7"/>
  <c r="O45" i="9"/>
  <c r="O70" i="9"/>
  <c r="H97" i="7"/>
  <c r="H104" i="7"/>
  <c r="R26" i="9"/>
  <c r="U26" i="9" s="1"/>
  <c r="O101" i="9"/>
  <c r="O105" i="9"/>
  <c r="H109" i="7"/>
  <c r="O67" i="9"/>
  <c r="O53" i="9"/>
  <c r="R19" i="9"/>
  <c r="U19" i="9" s="1"/>
  <c r="O100" i="9"/>
  <c r="O66" i="9"/>
  <c r="O71" i="9"/>
  <c r="H93" i="7"/>
  <c r="O48" i="9"/>
  <c r="O42" i="9"/>
  <c r="O78" i="9"/>
  <c r="O69" i="9"/>
  <c r="O73" i="9"/>
  <c r="H94" i="7"/>
  <c r="R15" i="9"/>
  <c r="U15" i="9" s="1"/>
  <c r="O40" i="9"/>
  <c r="O41" i="9"/>
  <c r="O47" i="9"/>
  <c r="O96" i="9"/>
  <c r="R20" i="9"/>
  <c r="U20" i="9" s="1"/>
  <c r="O44" i="9"/>
  <c r="O74" i="9"/>
  <c r="O56" i="9"/>
  <c r="O102" i="9"/>
  <c r="R11" i="9"/>
  <c r="U11" i="9" s="1"/>
  <c r="O94" i="9"/>
  <c r="H92" i="7"/>
  <c r="R8" i="9"/>
  <c r="U8" i="9" s="1"/>
  <c r="O49" i="9"/>
  <c r="O112" i="9"/>
  <c r="O108" i="9"/>
  <c r="R17" i="9"/>
  <c r="U17" i="9" s="1"/>
  <c r="H98" i="7"/>
  <c r="O97" i="9"/>
  <c r="H100" i="7"/>
  <c r="O111" i="9"/>
  <c r="H99" i="7"/>
  <c r="O103" i="9"/>
  <c r="R13" i="9"/>
  <c r="U13" i="9" s="1"/>
  <c r="R9" i="9"/>
  <c r="U9" i="9" s="1"/>
  <c r="O72" i="9"/>
  <c r="H102" i="7"/>
  <c r="H106" i="7"/>
  <c r="H108" i="7"/>
  <c r="O46" i="9"/>
  <c r="O52" i="9"/>
  <c r="O84" i="9"/>
  <c r="R25" i="9"/>
  <c r="U25" i="9" s="1"/>
  <c r="O54" i="9"/>
  <c r="R12" i="9"/>
  <c r="U12" i="9" s="1"/>
  <c r="H107" i="7"/>
  <c r="H101" i="7"/>
  <c r="O95" i="9"/>
  <c r="AB4" i="9"/>
  <c r="AB61" i="9" s="1"/>
  <c r="AD39" i="9"/>
  <c r="AG7" i="9"/>
  <c r="AM6" i="9"/>
  <c r="F33" i="7"/>
  <c r="AM7" i="9"/>
  <c r="F34" i="7"/>
  <c r="F35" i="7"/>
  <c r="G33" i="7"/>
  <c r="G32" i="7"/>
  <c r="F36" i="7"/>
  <c r="G34" i="7"/>
  <c r="G35" i="7"/>
  <c r="AM5" i="9"/>
  <c r="AL6" i="9"/>
  <c r="AL5" i="9"/>
  <c r="AL7" i="9"/>
  <c r="AL4" i="9"/>
  <c r="AD62" i="9"/>
  <c r="AB34" i="9"/>
  <c r="AC62" i="9"/>
  <c r="AD33" i="9"/>
  <c r="AC34" i="9"/>
  <c r="AD90" i="9"/>
  <c r="AB62" i="9"/>
  <c r="AC33" i="9"/>
  <c r="AG5" i="9"/>
  <c r="AC90" i="9"/>
  <c r="AD61" i="9"/>
  <c r="AB90" i="9"/>
  <c r="AC61" i="9"/>
  <c r="AD34" i="9"/>
  <c r="AD89" i="9"/>
  <c r="AC89" i="9"/>
  <c r="AC63" i="9"/>
  <c r="AB63" i="9"/>
  <c r="AD63" i="9"/>
  <c r="AD36" i="9"/>
  <c r="AC35" i="9"/>
  <c r="AG6" i="9"/>
  <c r="AD91" i="9"/>
  <c r="AD65" i="9"/>
  <c r="AB93" i="9"/>
  <c r="AC64" i="9"/>
  <c r="AC93" i="9"/>
  <c r="AB91" i="9"/>
  <c r="AD35" i="9"/>
  <c r="AD93" i="9"/>
  <c r="AD92" i="9"/>
  <c r="AC65" i="9"/>
  <c r="AB35" i="9"/>
  <c r="AD37" i="9"/>
  <c r="AC37" i="9"/>
  <c r="AB36" i="9"/>
  <c r="AB37" i="9"/>
  <c r="AC92" i="9"/>
  <c r="AB64" i="9"/>
  <c r="AB65" i="9"/>
  <c r="AC36" i="9"/>
  <c r="AC91" i="9"/>
  <c r="AB50" i="9"/>
  <c r="AB92" i="9"/>
  <c r="AD64" i="9"/>
  <c r="F45" i="7"/>
  <c r="F41" i="7"/>
  <c r="AB74" i="9"/>
  <c r="AB52" i="9"/>
  <c r="AB106" i="9"/>
  <c r="AB47" i="9"/>
  <c r="AB97" i="9"/>
  <c r="AB49" i="9"/>
  <c r="AM17" i="9"/>
  <c r="AM19" i="9"/>
  <c r="AM10" i="9"/>
  <c r="F52" i="7"/>
  <c r="AB53" i="9"/>
  <c r="F53" i="7"/>
  <c r="F49" i="7"/>
  <c r="AB54" i="9"/>
  <c r="AB108" i="9"/>
  <c r="AB79" i="9"/>
  <c r="AB77" i="9"/>
  <c r="AB107" i="9"/>
  <c r="AM21" i="9"/>
  <c r="AM23" i="9"/>
  <c r="AB56" i="9"/>
  <c r="AB44" i="9"/>
  <c r="F38" i="7"/>
  <c r="F42" i="7"/>
  <c r="AB48" i="9"/>
  <c r="AB40" i="9"/>
  <c r="AB83" i="9"/>
  <c r="AB111" i="9"/>
  <c r="AB81" i="9"/>
  <c r="AB109" i="9"/>
  <c r="AM25" i="9"/>
  <c r="AM22" i="9"/>
  <c r="AB76" i="9"/>
  <c r="AB104" i="9"/>
  <c r="F46" i="7"/>
  <c r="F50" i="7"/>
  <c r="AB80" i="9"/>
  <c r="AB43" i="9"/>
  <c r="AB72" i="9"/>
  <c r="AB100" i="9"/>
  <c r="AB70" i="9"/>
  <c r="AB45" i="9"/>
  <c r="AM14" i="9"/>
  <c r="AM12" i="9"/>
  <c r="AB73" i="9"/>
  <c r="AM13" i="9"/>
  <c r="AB110" i="9"/>
  <c r="F39" i="7"/>
  <c r="F51" i="7"/>
  <c r="AB82" i="9"/>
  <c r="AB102" i="9"/>
  <c r="AB67" i="9"/>
  <c r="AB39" i="9"/>
  <c r="AB95" i="9"/>
  <c r="AB42" i="9"/>
  <c r="AM18" i="9"/>
  <c r="AM16" i="9"/>
  <c r="AM15" i="9"/>
  <c r="AB71" i="9"/>
  <c r="F47" i="7"/>
  <c r="F43" i="7"/>
  <c r="AB98" i="9"/>
  <c r="AB78" i="9"/>
  <c r="AB75" i="9"/>
  <c r="AB69" i="9"/>
  <c r="AB41" i="9"/>
  <c r="AB96" i="9"/>
  <c r="AM27" i="9"/>
  <c r="AM20" i="9"/>
  <c r="F48" i="7"/>
  <c r="AB103" i="9"/>
  <c r="F44" i="7"/>
  <c r="F40" i="7"/>
  <c r="AB99" i="9"/>
  <c r="AB68" i="9"/>
  <c r="AB101" i="9"/>
  <c r="AB105" i="9"/>
  <c r="AB51" i="9"/>
  <c r="AB55" i="9"/>
  <c r="F37" i="7"/>
  <c r="AM11" i="9"/>
  <c r="AM24" i="9"/>
  <c r="AB46" i="9"/>
  <c r="AM26" i="9"/>
  <c r="AM8" i="9"/>
  <c r="AB38" i="9"/>
  <c r="AB66" i="9"/>
  <c r="AM9" i="9"/>
  <c r="AB94" i="9"/>
  <c r="AD82" i="9"/>
  <c r="AD40" i="9"/>
  <c r="AD79" i="9"/>
  <c r="AD107" i="9"/>
  <c r="AD76" i="9"/>
  <c r="AD73" i="9"/>
  <c r="AD67" i="9"/>
  <c r="AD103" i="9"/>
  <c r="AD71" i="9"/>
  <c r="AD50" i="9"/>
  <c r="AD75" i="9"/>
  <c r="AD70" i="9"/>
  <c r="AD105" i="9"/>
  <c r="AD77" i="9"/>
  <c r="AD48" i="9"/>
  <c r="AD102" i="9"/>
  <c r="AD98" i="9"/>
  <c r="AD80" i="9"/>
  <c r="AD100" i="9"/>
  <c r="AD41" i="9"/>
  <c r="AD47" i="9"/>
  <c r="AD44" i="9"/>
  <c r="AD42" i="9"/>
  <c r="AD54" i="9"/>
  <c r="AD51" i="9"/>
  <c r="AD46" i="9"/>
  <c r="AD74" i="9"/>
  <c r="AD101" i="9"/>
  <c r="AD99" i="9"/>
  <c r="AD68" i="9"/>
  <c r="AD106" i="9"/>
  <c r="AD96" i="9"/>
  <c r="AD43" i="9"/>
  <c r="AD95" i="9"/>
  <c r="AD94" i="9"/>
  <c r="AC103" i="9"/>
  <c r="AD72" i="9"/>
  <c r="AD81" i="9"/>
  <c r="AD111" i="9"/>
  <c r="AD53" i="9"/>
  <c r="AD104" i="9"/>
  <c r="AD55" i="9"/>
  <c r="AD69" i="9"/>
  <c r="AD97" i="9"/>
  <c r="AD45" i="9"/>
  <c r="AD49" i="9"/>
  <c r="AD52" i="9"/>
  <c r="AD56" i="9"/>
  <c r="AD110" i="9"/>
  <c r="AD109" i="9"/>
  <c r="AD108" i="9"/>
  <c r="AD83" i="9"/>
  <c r="AD78" i="9"/>
  <c r="AC106" i="9"/>
  <c r="AC72" i="9"/>
  <c r="AC56" i="9"/>
  <c r="AC82" i="9"/>
  <c r="AC70" i="9"/>
  <c r="AC46" i="9"/>
  <c r="AC101" i="9"/>
  <c r="AC111" i="9"/>
  <c r="AC79" i="9"/>
  <c r="AC47" i="9"/>
  <c r="AC69" i="9"/>
  <c r="AD38" i="9"/>
  <c r="AD66" i="9"/>
  <c r="AC54" i="9"/>
  <c r="AC73" i="9"/>
  <c r="AC44" i="9"/>
  <c r="AC100" i="9"/>
  <c r="AC42" i="9"/>
  <c r="AC107" i="9"/>
  <c r="AC110" i="9"/>
  <c r="AC108" i="9"/>
  <c r="AC43" i="9"/>
  <c r="AC51" i="9"/>
  <c r="AC48" i="9"/>
  <c r="AC97" i="9"/>
  <c r="AC40" i="9"/>
  <c r="AC50" i="9"/>
  <c r="AC39" i="9"/>
  <c r="AC104" i="9"/>
  <c r="AC102" i="9"/>
  <c r="AC45" i="9"/>
  <c r="AC71" i="9"/>
  <c r="AC94" i="9"/>
  <c r="AC76" i="9"/>
  <c r="AC98" i="9"/>
  <c r="AC95" i="9"/>
  <c r="AC68" i="9"/>
  <c r="AC75" i="9"/>
  <c r="AC41" i="9"/>
  <c r="AC52" i="9"/>
  <c r="AC80" i="9"/>
  <c r="AC49" i="9"/>
  <c r="AC81" i="9"/>
  <c r="AC99" i="9"/>
  <c r="AC78" i="9"/>
  <c r="AC55" i="9"/>
  <c r="AC83" i="9"/>
  <c r="AC74" i="9"/>
  <c r="AC109" i="9"/>
  <c r="AC77" i="9"/>
  <c r="AC67" i="9"/>
  <c r="AC96" i="9"/>
  <c r="AC53" i="9"/>
  <c r="AC105" i="9"/>
  <c r="AC66" i="9"/>
  <c r="AC38" i="9"/>
  <c r="J8" i="10"/>
  <c r="I175" i="12"/>
  <c r="I158" i="12"/>
  <c r="G132" i="12"/>
  <c r="G140" i="12"/>
  <c r="G133" i="12"/>
  <c r="G141" i="12"/>
  <c r="G134" i="12"/>
  <c r="G142" i="12"/>
  <c r="G135" i="12"/>
  <c r="G143" i="12"/>
  <c r="G139" i="12"/>
  <c r="G128" i="12"/>
  <c r="G136" i="12"/>
  <c r="G144" i="12"/>
  <c r="G129" i="12"/>
  <c r="G137" i="12"/>
  <c r="G145" i="12"/>
  <c r="G131" i="12"/>
  <c r="G130" i="12"/>
  <c r="G138" i="12"/>
  <c r="L91" i="10"/>
  <c r="K94" i="10"/>
  <c r="J97" i="10"/>
  <c r="L99" i="10"/>
  <c r="K102" i="10"/>
  <c r="J105" i="10"/>
  <c r="L107" i="10"/>
  <c r="L92" i="10"/>
  <c r="J98" i="10"/>
  <c r="K103" i="10"/>
  <c r="K90" i="10"/>
  <c r="K89" i="10"/>
  <c r="J92" i="10"/>
  <c r="L94" i="10"/>
  <c r="K97" i="10"/>
  <c r="J100" i="10"/>
  <c r="L102" i="10"/>
  <c r="K105" i="10"/>
  <c r="J108" i="10"/>
  <c r="J106" i="10"/>
  <c r="L108" i="10"/>
  <c r="K106" i="10"/>
  <c r="L106" i="10"/>
  <c r="L89" i="10"/>
  <c r="K92" i="10"/>
  <c r="J95" i="10"/>
  <c r="L97" i="10"/>
  <c r="K100" i="10"/>
  <c r="J103" i="10"/>
  <c r="L105" i="10"/>
  <c r="K108" i="10"/>
  <c r="K98" i="10"/>
  <c r="L90" i="10"/>
  <c r="J91" i="10"/>
  <c r="L93" i="10"/>
  <c r="K96" i="10"/>
  <c r="J99" i="10"/>
  <c r="L101" i="10"/>
  <c r="K104" i="10"/>
  <c r="J107" i="10"/>
  <c r="L95" i="10"/>
  <c r="L103" i="10"/>
  <c r="J96" i="10"/>
  <c r="J104" i="10"/>
  <c r="K91" i="10"/>
  <c r="J94" i="10"/>
  <c r="L96" i="10"/>
  <c r="K99" i="10"/>
  <c r="J102" i="10"/>
  <c r="L104" i="10"/>
  <c r="K107" i="10"/>
  <c r="J90" i="10"/>
  <c r="K95" i="10"/>
  <c r="L100" i="10"/>
  <c r="J93" i="10"/>
  <c r="J101" i="10"/>
  <c r="K93" i="10"/>
  <c r="L98" i="10"/>
  <c r="K101" i="10"/>
  <c r="L76" i="10"/>
  <c r="L68" i="10"/>
  <c r="K75" i="10"/>
  <c r="K67" i="10"/>
  <c r="J74" i="10"/>
  <c r="J66" i="10"/>
  <c r="L35" i="10"/>
  <c r="K38" i="10"/>
  <c r="J41" i="10"/>
  <c r="L43" i="10"/>
  <c r="K46" i="10"/>
  <c r="J49" i="10"/>
  <c r="L51" i="10"/>
  <c r="K54" i="10"/>
  <c r="L75" i="10"/>
  <c r="L67" i="10"/>
  <c r="K74" i="10"/>
  <c r="K66" i="10"/>
  <c r="J73" i="10"/>
  <c r="J65" i="10"/>
  <c r="J36" i="10"/>
  <c r="L38" i="10"/>
  <c r="K41" i="10"/>
  <c r="J44" i="10"/>
  <c r="L46" i="10"/>
  <c r="K49" i="10"/>
  <c r="J52" i="10"/>
  <c r="L54" i="10"/>
  <c r="L74" i="10"/>
  <c r="L66" i="10"/>
  <c r="K73" i="10"/>
  <c r="K65" i="10"/>
  <c r="J80" i="10"/>
  <c r="J72" i="10"/>
  <c r="J64" i="10"/>
  <c r="K36" i="10"/>
  <c r="J39" i="10"/>
  <c r="L41" i="10"/>
  <c r="K44" i="10"/>
  <c r="J47" i="10"/>
  <c r="L49" i="10"/>
  <c r="K52" i="10"/>
  <c r="L81" i="10"/>
  <c r="L73" i="10"/>
  <c r="L65" i="10"/>
  <c r="K80" i="10"/>
  <c r="K72" i="10"/>
  <c r="K64" i="10"/>
  <c r="J79" i="10"/>
  <c r="J71" i="10"/>
  <c r="J63" i="10"/>
  <c r="L36" i="10"/>
  <c r="K39" i="10"/>
  <c r="J42" i="10"/>
  <c r="L44" i="10"/>
  <c r="K47" i="10"/>
  <c r="J50" i="10"/>
  <c r="L52" i="10"/>
  <c r="K81" i="10"/>
  <c r="L80" i="10"/>
  <c r="L72" i="10"/>
  <c r="L64" i="10"/>
  <c r="K79" i="10"/>
  <c r="K71" i="10"/>
  <c r="K63" i="10"/>
  <c r="J78" i="10"/>
  <c r="J70" i="10"/>
  <c r="J37" i="10"/>
  <c r="L39" i="10"/>
  <c r="K42" i="10"/>
  <c r="J45" i="10"/>
  <c r="L47" i="10"/>
  <c r="K50" i="10"/>
  <c r="J53" i="10"/>
  <c r="J81" i="10"/>
  <c r="L79" i="10"/>
  <c r="L71" i="10"/>
  <c r="L63" i="10"/>
  <c r="K78" i="10"/>
  <c r="K70" i="10"/>
  <c r="K62" i="10"/>
  <c r="J77" i="10"/>
  <c r="J69" i="10"/>
  <c r="K37" i="10"/>
  <c r="J40" i="10"/>
  <c r="L42" i="10"/>
  <c r="K45" i="10"/>
  <c r="J48" i="10"/>
  <c r="L50" i="10"/>
  <c r="K53" i="10"/>
  <c r="L78" i="10"/>
  <c r="L70" i="10"/>
  <c r="L62" i="10"/>
  <c r="K77" i="10"/>
  <c r="K69" i="10"/>
  <c r="J76" i="10"/>
  <c r="J68" i="10"/>
  <c r="L37" i="10"/>
  <c r="K40" i="10"/>
  <c r="J43" i="10"/>
  <c r="L45" i="10"/>
  <c r="K48" i="10"/>
  <c r="J51" i="10"/>
  <c r="L53" i="10"/>
  <c r="J75" i="10"/>
  <c r="L48" i="10"/>
  <c r="K43" i="10"/>
  <c r="J67" i="10"/>
  <c r="K51" i="10"/>
  <c r="J46" i="10"/>
  <c r="K76" i="10"/>
  <c r="J54" i="10"/>
  <c r="K68" i="10"/>
  <c r="K35" i="10"/>
  <c r="L77" i="10"/>
  <c r="J38" i="10"/>
  <c r="L69" i="10"/>
  <c r="L40" i="10"/>
  <c r="D25" i="12"/>
  <c r="D21" i="12"/>
  <c r="D10" i="12"/>
  <c r="D14" i="12"/>
  <c r="D18" i="12"/>
  <c r="D22" i="12"/>
  <c r="D26" i="12"/>
  <c r="D9" i="12"/>
  <c r="D11" i="12"/>
  <c r="D15" i="12"/>
  <c r="D19" i="12"/>
  <c r="D23" i="12"/>
  <c r="D17" i="12"/>
  <c r="D12" i="12"/>
  <c r="D16" i="12"/>
  <c r="D20" i="12"/>
  <c r="D24" i="12"/>
  <c r="D13" i="12"/>
  <c r="AM47" i="9" l="1"/>
  <c r="AM68" i="9"/>
  <c r="AM70" i="9"/>
  <c r="AM44" i="9"/>
  <c r="S103" i="9"/>
  <c r="I74" i="7" s="1"/>
  <c r="S41" i="9"/>
  <c r="E68" i="7" s="1"/>
  <c r="M85" i="8"/>
  <c r="M86" i="8"/>
  <c r="M88" i="8"/>
  <c r="M87" i="8"/>
  <c r="M58" i="8"/>
  <c r="M52" i="8"/>
  <c r="M81" i="8"/>
  <c r="M89" i="8"/>
  <c r="M80" i="8"/>
  <c r="M51" i="8"/>
  <c r="M54" i="8"/>
  <c r="M79" i="8"/>
  <c r="M57" i="8"/>
  <c r="M83" i="8"/>
  <c r="M45" i="8"/>
  <c r="M50" i="8"/>
  <c r="M48" i="8"/>
  <c r="M47" i="8"/>
  <c r="M44" i="8"/>
  <c r="M84" i="8"/>
  <c r="M77" i="8"/>
  <c r="M78" i="8"/>
  <c r="M60" i="8"/>
  <c r="M91" i="8"/>
  <c r="M61" i="8"/>
  <c r="M92" i="8"/>
  <c r="M46" i="8"/>
  <c r="M82" i="8"/>
  <c r="M93" i="8"/>
  <c r="M49" i="8"/>
  <c r="M90" i="8"/>
  <c r="M55" i="8"/>
  <c r="M94" i="8"/>
  <c r="M56" i="8"/>
  <c r="M59" i="8"/>
  <c r="M53" i="8"/>
  <c r="S65" i="9"/>
  <c r="G64" i="7" s="1"/>
  <c r="S111" i="9"/>
  <c r="I82" i="7" s="1"/>
  <c r="S95" i="9"/>
  <c r="I66" i="7" s="1"/>
  <c r="AM94" i="9"/>
  <c r="E201" i="7"/>
  <c r="AM105" i="9"/>
  <c r="AM74" i="9"/>
  <c r="U16" i="9"/>
  <c r="S50" i="9"/>
  <c r="E77" i="7" s="1"/>
  <c r="S79" i="9"/>
  <c r="G78" i="7" s="1"/>
  <c r="F32" i="7"/>
  <c r="F13" i="7"/>
  <c r="R4" i="9"/>
  <c r="U4" i="9" s="1"/>
  <c r="AM107" i="9"/>
  <c r="AL90" i="9"/>
  <c r="AM52" i="9"/>
  <c r="AB33" i="9"/>
  <c r="AG33" i="9" s="1"/>
  <c r="AH33" i="9" s="1"/>
  <c r="AI33" i="9" s="1"/>
  <c r="S97" i="9"/>
  <c r="I68" i="7" s="1"/>
  <c r="AG4" i="9"/>
  <c r="S42" i="9"/>
  <c r="E69" i="7" s="1"/>
  <c r="AB89" i="9"/>
  <c r="AM89" i="9" s="1"/>
  <c r="S47" i="9"/>
  <c r="E74" i="7" s="1"/>
  <c r="AM69" i="9"/>
  <c r="AM76" i="9"/>
  <c r="AM66" i="9"/>
  <c r="AM110" i="9"/>
  <c r="S46" i="9"/>
  <c r="E73" i="7" s="1"/>
  <c r="S54" i="9"/>
  <c r="E81" i="7" s="1"/>
  <c r="AM109" i="9"/>
  <c r="AL36" i="9"/>
  <c r="AM41" i="9"/>
  <c r="AM96" i="9"/>
  <c r="AM102" i="9"/>
  <c r="AM83" i="9"/>
  <c r="AM106" i="9"/>
  <c r="AM95" i="9"/>
  <c r="AM51" i="9"/>
  <c r="AM42" i="9"/>
  <c r="AH6" i="9"/>
  <c r="AI6" i="9" s="1"/>
  <c r="AM46" i="9"/>
  <c r="S72" i="9"/>
  <c r="G71" i="7" s="1"/>
  <c r="S38" i="9"/>
  <c r="E65" i="7" s="1"/>
  <c r="H87" i="7"/>
  <c r="J87" i="7" s="1"/>
  <c r="L87" i="7" s="1"/>
  <c r="M87" i="7" s="1"/>
  <c r="AM48" i="9"/>
  <c r="S108" i="9"/>
  <c r="I79" i="7" s="1"/>
  <c r="AN7" i="9"/>
  <c r="AO7" i="9" s="1"/>
  <c r="S66" i="9"/>
  <c r="G65" i="7" s="1"/>
  <c r="S51" i="9"/>
  <c r="E78" i="7" s="1"/>
  <c r="AM43" i="9"/>
  <c r="AM49" i="9"/>
  <c r="AM4" i="9"/>
  <c r="AN4" i="9" s="1"/>
  <c r="AO4" i="9" s="1"/>
  <c r="AM39" i="9"/>
  <c r="AM73" i="9"/>
  <c r="AM81" i="9"/>
  <c r="S94" i="9"/>
  <c r="I65" i="7" s="1"/>
  <c r="S104" i="9"/>
  <c r="I75" i="7" s="1"/>
  <c r="S105" i="9"/>
  <c r="I76" i="7" s="1"/>
  <c r="S68" i="9"/>
  <c r="G67" i="7" s="1"/>
  <c r="AM98" i="9"/>
  <c r="AM54" i="9"/>
  <c r="AM80" i="9"/>
  <c r="AM56" i="9"/>
  <c r="S78" i="9"/>
  <c r="G77" i="7" s="1"/>
  <c r="S43" i="9"/>
  <c r="E70" i="7" s="1"/>
  <c r="AM67" i="9"/>
  <c r="AM111" i="9"/>
  <c r="S45" i="9"/>
  <c r="E72" i="7" s="1"/>
  <c r="S106" i="9"/>
  <c r="I77" i="7" s="1"/>
  <c r="AL62" i="9"/>
  <c r="S101" i="9"/>
  <c r="I72" i="7" s="1"/>
  <c r="AL34" i="9"/>
  <c r="AM82" i="9"/>
  <c r="AM55" i="9"/>
  <c r="AM72" i="9"/>
  <c r="S55" i="9"/>
  <c r="E82" i="7" s="1"/>
  <c r="AM38" i="9"/>
  <c r="S76" i="9"/>
  <c r="G75" i="7" s="1"/>
  <c r="AM97" i="9"/>
  <c r="S96" i="9"/>
  <c r="I67" i="7" s="1"/>
  <c r="AM71" i="9"/>
  <c r="AM45" i="9"/>
  <c r="AM40" i="9"/>
  <c r="S102" i="9"/>
  <c r="I73" i="7" s="1"/>
  <c r="S56" i="9"/>
  <c r="AM79" i="9"/>
  <c r="S52" i="9"/>
  <c r="E79" i="7" s="1"/>
  <c r="AM78" i="9"/>
  <c r="AM108" i="9"/>
  <c r="S44" i="9"/>
  <c r="E71" i="7" s="1"/>
  <c r="S73" i="9"/>
  <c r="G72" i="7" s="1"/>
  <c r="AN6" i="9"/>
  <c r="AO6" i="9" s="1"/>
  <c r="S83" i="9"/>
  <c r="G82" i="7" s="1"/>
  <c r="S107" i="9"/>
  <c r="I78" i="7" s="1"/>
  <c r="AL35" i="9"/>
  <c r="AL61" i="9"/>
  <c r="S37" i="9"/>
  <c r="E64" i="7" s="1"/>
  <c r="AM91" i="9"/>
  <c r="AG91" i="9"/>
  <c r="AH91" i="9" s="1"/>
  <c r="AI91" i="9" s="1"/>
  <c r="AM90" i="9"/>
  <c r="AG90" i="9"/>
  <c r="AH90" i="9" s="1"/>
  <c r="AI90" i="9" s="1"/>
  <c r="J107" i="7"/>
  <c r="L107" i="7" s="1"/>
  <c r="M107" i="7" s="1"/>
  <c r="H134" i="7"/>
  <c r="I134" i="7" s="1"/>
  <c r="J134" i="7" s="1"/>
  <c r="J106" i="7"/>
  <c r="L106" i="7" s="1"/>
  <c r="M106" i="7" s="1"/>
  <c r="H133" i="7"/>
  <c r="I133" i="7" s="1"/>
  <c r="J133" i="7" s="1"/>
  <c r="J100" i="7"/>
  <c r="L100" i="7" s="1"/>
  <c r="M100" i="7" s="1"/>
  <c r="H127" i="7"/>
  <c r="I127" i="7" s="1"/>
  <c r="J127" i="7" s="1"/>
  <c r="J92" i="7"/>
  <c r="L92" i="7" s="1"/>
  <c r="M92" i="7" s="1"/>
  <c r="H119" i="7"/>
  <c r="I119" i="7" s="1"/>
  <c r="J119" i="7" s="1"/>
  <c r="R53" i="9"/>
  <c r="U53" i="9" s="1"/>
  <c r="S53" i="9"/>
  <c r="E80" i="7" s="1"/>
  <c r="S70" i="9"/>
  <c r="G69" i="7" s="1"/>
  <c r="R82" i="9"/>
  <c r="U82" i="9" s="1"/>
  <c r="S82" i="9"/>
  <c r="G81" i="7" s="1"/>
  <c r="H122" i="7"/>
  <c r="I122" i="7" s="1"/>
  <c r="J122" i="7" s="1"/>
  <c r="J95" i="7"/>
  <c r="L95" i="7" s="1"/>
  <c r="M95" i="7" s="1"/>
  <c r="E171" i="7"/>
  <c r="D35" i="7"/>
  <c r="H35" i="7" s="1"/>
  <c r="F9" i="7"/>
  <c r="T66" i="9"/>
  <c r="F65" i="7" s="1"/>
  <c r="R66" i="9"/>
  <c r="U66" i="9" s="1"/>
  <c r="E189" i="7"/>
  <c r="D53" i="7"/>
  <c r="H53" i="7" s="1"/>
  <c r="F27" i="7"/>
  <c r="E172" i="7"/>
  <c r="D36" i="7"/>
  <c r="H36" i="7" s="1"/>
  <c r="F10" i="7"/>
  <c r="E176" i="7"/>
  <c r="D40" i="7"/>
  <c r="H40" i="7" s="1"/>
  <c r="T105" i="9"/>
  <c r="H76" i="7" s="1"/>
  <c r="R105" i="9"/>
  <c r="U105" i="9" s="1"/>
  <c r="T110" i="9"/>
  <c r="H81" i="7" s="1"/>
  <c r="R110" i="9"/>
  <c r="U110" i="9" s="1"/>
  <c r="T76" i="9"/>
  <c r="F75" i="7" s="1"/>
  <c r="R76" i="9"/>
  <c r="U76" i="9" s="1"/>
  <c r="E36" i="7"/>
  <c r="D172" i="7"/>
  <c r="E42" i="7"/>
  <c r="D178" i="7"/>
  <c r="F24" i="7"/>
  <c r="E50" i="7"/>
  <c r="D186" i="7"/>
  <c r="F8" i="7"/>
  <c r="E170" i="7"/>
  <c r="D34" i="7"/>
  <c r="H34" i="7" s="1"/>
  <c r="J108" i="7"/>
  <c r="L108" i="7" s="1"/>
  <c r="M108" i="7" s="1"/>
  <c r="H135" i="7"/>
  <c r="I135" i="7" s="1"/>
  <c r="J135" i="7" s="1"/>
  <c r="H124" i="7"/>
  <c r="I124" i="7" s="1"/>
  <c r="J124" i="7" s="1"/>
  <c r="J97" i="7"/>
  <c r="L97" i="7" s="1"/>
  <c r="M97" i="7" s="1"/>
  <c r="E178" i="7"/>
  <c r="D42" i="7"/>
  <c r="H42" i="7" s="1"/>
  <c r="F16" i="7"/>
  <c r="J89" i="7"/>
  <c r="L89" i="7" s="1"/>
  <c r="M89" i="7" s="1"/>
  <c r="H116" i="7"/>
  <c r="I116" i="7" s="1"/>
  <c r="J116" i="7" s="1"/>
  <c r="AM36" i="9"/>
  <c r="AG36" i="9"/>
  <c r="AH36" i="9" s="1"/>
  <c r="AI36" i="9" s="1"/>
  <c r="AM101" i="9"/>
  <c r="J102" i="7"/>
  <c r="L102" i="7" s="1"/>
  <c r="M102" i="7" s="1"/>
  <c r="H129" i="7"/>
  <c r="I129" i="7" s="1"/>
  <c r="J129" i="7" s="1"/>
  <c r="S67" i="9"/>
  <c r="G66" i="7" s="1"/>
  <c r="J103" i="7"/>
  <c r="L103" i="7" s="1"/>
  <c r="M103" i="7" s="1"/>
  <c r="H130" i="7"/>
  <c r="I130" i="7" s="1"/>
  <c r="J130" i="7" s="1"/>
  <c r="S77" i="9"/>
  <c r="G76" i="7" s="1"/>
  <c r="T47" i="9"/>
  <c r="D74" i="7" s="1"/>
  <c r="R47" i="9"/>
  <c r="U47" i="9" s="1"/>
  <c r="T84" i="9"/>
  <c r="AM84" i="9"/>
  <c r="T40" i="9"/>
  <c r="D67" i="7" s="1"/>
  <c r="R40" i="9"/>
  <c r="U40" i="9" s="1"/>
  <c r="T45" i="9"/>
  <c r="D72" i="7" s="1"/>
  <c r="R45" i="9"/>
  <c r="U45" i="9" s="1"/>
  <c r="E185" i="7"/>
  <c r="D49" i="7"/>
  <c r="H49" i="7" s="1"/>
  <c r="F23" i="7"/>
  <c r="T108" i="9"/>
  <c r="H79" i="7" s="1"/>
  <c r="R108" i="9"/>
  <c r="U108" i="9" s="1"/>
  <c r="F70" i="7"/>
  <c r="R71" i="9"/>
  <c r="U71" i="9" s="1"/>
  <c r="T78" i="9"/>
  <c r="F77" i="7" s="1"/>
  <c r="R78" i="9"/>
  <c r="U78" i="9" s="1"/>
  <c r="E187" i="7"/>
  <c r="D51" i="7"/>
  <c r="H51" i="7" s="1"/>
  <c r="F25" i="7"/>
  <c r="T79" i="9"/>
  <c r="F78" i="7" s="1"/>
  <c r="R79" i="9"/>
  <c r="U79" i="9" s="1"/>
  <c r="D185" i="7"/>
  <c r="E49" i="7"/>
  <c r="D183" i="7"/>
  <c r="E47" i="7"/>
  <c r="E43" i="7"/>
  <c r="D179" i="7"/>
  <c r="AH7" i="9"/>
  <c r="U7" i="9"/>
  <c r="E51" i="7"/>
  <c r="D187" i="7"/>
  <c r="AM53" i="9"/>
  <c r="AL91" i="9"/>
  <c r="AL64" i="9"/>
  <c r="AG63" i="9"/>
  <c r="AH63" i="9" s="1"/>
  <c r="AI63" i="9" s="1"/>
  <c r="AM63" i="9"/>
  <c r="AM34" i="9"/>
  <c r="AG34" i="9"/>
  <c r="AH34" i="9" s="1"/>
  <c r="AI34" i="9" s="1"/>
  <c r="J98" i="7"/>
  <c r="L98" i="7" s="1"/>
  <c r="M98" i="7" s="1"/>
  <c r="H125" i="7"/>
  <c r="I125" i="7" s="1"/>
  <c r="J125" i="7" s="1"/>
  <c r="R48" i="9"/>
  <c r="U48" i="9" s="1"/>
  <c r="S48" i="9"/>
  <c r="E75" i="7" s="1"/>
  <c r="J109" i="7"/>
  <c r="L109" i="7" s="1"/>
  <c r="M109" i="7" s="1"/>
  <c r="H136" i="7"/>
  <c r="I136" i="7" s="1"/>
  <c r="J136" i="7" s="1"/>
  <c r="J91" i="7"/>
  <c r="L91" i="7" s="1"/>
  <c r="M91" i="7" s="1"/>
  <c r="H118" i="7"/>
  <c r="I118" i="7" s="1"/>
  <c r="S110" i="9"/>
  <c r="I81" i="7" s="1"/>
  <c r="R75" i="9"/>
  <c r="U75" i="9" s="1"/>
  <c r="S75" i="9"/>
  <c r="G74" i="7" s="1"/>
  <c r="T38" i="9"/>
  <c r="D65" i="7" s="1"/>
  <c r="R38" i="9"/>
  <c r="U38" i="9" s="1"/>
  <c r="E174" i="7"/>
  <c r="D38" i="7"/>
  <c r="H38" i="7" s="1"/>
  <c r="F12" i="7"/>
  <c r="T111" i="9"/>
  <c r="H82" i="7" s="1"/>
  <c r="R111" i="9"/>
  <c r="U111" i="9" s="1"/>
  <c r="T112" i="9"/>
  <c r="AM112" i="9"/>
  <c r="F67" i="7"/>
  <c r="R68" i="9"/>
  <c r="U68" i="9" s="1"/>
  <c r="T55" i="9"/>
  <c r="D82" i="7" s="1"/>
  <c r="R55" i="9"/>
  <c r="U55" i="9" s="1"/>
  <c r="AM50" i="9"/>
  <c r="T50" i="9"/>
  <c r="D77" i="7" s="1"/>
  <c r="R50" i="9"/>
  <c r="U50" i="9" s="1"/>
  <c r="T97" i="9"/>
  <c r="H68" i="7" s="1"/>
  <c r="R97" i="9"/>
  <c r="U97" i="9" s="1"/>
  <c r="T72" i="9"/>
  <c r="F71" i="7" s="1"/>
  <c r="R72" i="9"/>
  <c r="U72" i="9" s="1"/>
  <c r="E41" i="7"/>
  <c r="D177" i="7"/>
  <c r="E45" i="7"/>
  <c r="D181" i="7"/>
  <c r="E53" i="7"/>
  <c r="D189" i="7"/>
  <c r="E168" i="7"/>
  <c r="D32" i="7"/>
  <c r="F6" i="7"/>
  <c r="J101" i="7"/>
  <c r="L101" i="7" s="1"/>
  <c r="M101" i="7" s="1"/>
  <c r="H128" i="7"/>
  <c r="I128" i="7" s="1"/>
  <c r="J128" i="7" s="1"/>
  <c r="AM92" i="9"/>
  <c r="AG92" i="9"/>
  <c r="AH92" i="9" s="1"/>
  <c r="AI92" i="9" s="1"/>
  <c r="AM35" i="9"/>
  <c r="AG35" i="9"/>
  <c r="AH35" i="9" s="1"/>
  <c r="AI35" i="9" s="1"/>
  <c r="AL63" i="9"/>
  <c r="S40" i="9"/>
  <c r="E67" i="7" s="1"/>
  <c r="J93" i="7"/>
  <c r="L93" i="7" s="1"/>
  <c r="M93" i="7" s="1"/>
  <c r="H120" i="7"/>
  <c r="I120" i="7" s="1"/>
  <c r="J120" i="7" s="1"/>
  <c r="S93" i="9"/>
  <c r="I64" i="7" s="1"/>
  <c r="T106" i="9"/>
  <c r="H77" i="7" s="1"/>
  <c r="R106" i="9"/>
  <c r="U106" i="9" s="1"/>
  <c r="T96" i="9"/>
  <c r="H67" i="7" s="1"/>
  <c r="R96" i="9"/>
  <c r="U96" i="9" s="1"/>
  <c r="T42" i="9"/>
  <c r="D69" i="7" s="1"/>
  <c r="R42" i="9"/>
  <c r="U42" i="9" s="1"/>
  <c r="AM104" i="9"/>
  <c r="T104" i="9"/>
  <c r="H75" i="7" s="1"/>
  <c r="R104" i="9"/>
  <c r="U104" i="9" s="1"/>
  <c r="E188" i="7"/>
  <c r="D52" i="7"/>
  <c r="H52" i="7" s="1"/>
  <c r="F26" i="7"/>
  <c r="E182" i="7"/>
  <c r="D46" i="7"/>
  <c r="H46" i="7" s="1"/>
  <c r="F20" i="7"/>
  <c r="T83" i="9"/>
  <c r="F82" i="7" s="1"/>
  <c r="R83" i="9"/>
  <c r="U83" i="9" s="1"/>
  <c r="T81" i="9"/>
  <c r="F80" i="7" s="1"/>
  <c r="R81" i="9"/>
  <c r="U81" i="9" s="1"/>
  <c r="T49" i="9"/>
  <c r="D76" i="7" s="1"/>
  <c r="R49" i="9"/>
  <c r="U49" i="9" s="1"/>
  <c r="D173" i="7"/>
  <c r="E37" i="7"/>
  <c r="E38" i="7"/>
  <c r="D174" i="7"/>
  <c r="E31" i="7"/>
  <c r="I31" i="7" s="1"/>
  <c r="D167" i="7"/>
  <c r="T44" i="9"/>
  <c r="D71" i="7" s="1"/>
  <c r="R44" i="9"/>
  <c r="U44" i="9" s="1"/>
  <c r="E46" i="7"/>
  <c r="D182" i="7"/>
  <c r="AM77" i="9"/>
  <c r="AL89" i="9"/>
  <c r="AL33" i="9"/>
  <c r="S84" i="9"/>
  <c r="AL84" i="9"/>
  <c r="S71" i="9"/>
  <c r="G70" i="7" s="1"/>
  <c r="S99" i="9"/>
  <c r="I70" i="7" s="1"/>
  <c r="S81" i="9"/>
  <c r="G80" i="7" s="1"/>
  <c r="J105" i="7"/>
  <c r="L105" i="7" s="1"/>
  <c r="M105" i="7" s="1"/>
  <c r="H132" i="7"/>
  <c r="I132" i="7" s="1"/>
  <c r="J132" i="7" s="1"/>
  <c r="S80" i="9"/>
  <c r="G79" i="7" s="1"/>
  <c r="T70" i="9"/>
  <c r="F69" i="7" s="1"/>
  <c r="R70" i="9"/>
  <c r="U70" i="9" s="1"/>
  <c r="T80" i="9"/>
  <c r="F79" i="7" s="1"/>
  <c r="R80" i="9"/>
  <c r="U80" i="9" s="1"/>
  <c r="T46" i="9"/>
  <c r="D73" i="7" s="1"/>
  <c r="R46" i="9"/>
  <c r="U46" i="9" s="1"/>
  <c r="T56" i="9"/>
  <c r="R56" i="9"/>
  <c r="U56" i="9" s="1"/>
  <c r="T67" i="9"/>
  <c r="F66" i="7" s="1"/>
  <c r="R67" i="9"/>
  <c r="U67" i="9" s="1"/>
  <c r="D45" i="7"/>
  <c r="H45" i="7" s="1"/>
  <c r="E181" i="7"/>
  <c r="F19" i="7"/>
  <c r="D41" i="7"/>
  <c r="H41" i="7" s="1"/>
  <c r="E177" i="7"/>
  <c r="F15" i="7"/>
  <c r="AM99" i="9"/>
  <c r="T99" i="9"/>
  <c r="H70" i="7" s="1"/>
  <c r="R99" i="9"/>
  <c r="U99" i="9" s="1"/>
  <c r="T54" i="9"/>
  <c r="D81" i="7" s="1"/>
  <c r="R54" i="9"/>
  <c r="U54" i="9" s="1"/>
  <c r="E39" i="7"/>
  <c r="D175" i="7"/>
  <c r="E33" i="7"/>
  <c r="I33" i="7" s="1"/>
  <c r="D169" i="7"/>
  <c r="J90" i="7"/>
  <c r="L90" i="7" s="1"/>
  <c r="M90" i="7" s="1"/>
  <c r="H117" i="7"/>
  <c r="I117" i="7" s="1"/>
  <c r="J117" i="7" s="1"/>
  <c r="R98" i="9"/>
  <c r="U98" i="9" s="1"/>
  <c r="S98" i="9"/>
  <c r="I69" i="7" s="1"/>
  <c r="AM37" i="9"/>
  <c r="T37" i="9"/>
  <c r="D64" i="7" s="1"/>
  <c r="R37" i="9"/>
  <c r="U37" i="9" s="1"/>
  <c r="T101" i="9"/>
  <c r="H72" i="7" s="1"/>
  <c r="R101" i="9"/>
  <c r="U101" i="9" s="1"/>
  <c r="T103" i="9"/>
  <c r="H74" i="7" s="1"/>
  <c r="R103" i="9"/>
  <c r="U103" i="9" s="1"/>
  <c r="E179" i="7"/>
  <c r="D43" i="7"/>
  <c r="H43" i="7" s="1"/>
  <c r="F17" i="7"/>
  <c r="T100" i="9"/>
  <c r="H71" i="7" s="1"/>
  <c r="R100" i="9"/>
  <c r="U100" i="9" s="1"/>
  <c r="AM75" i="9"/>
  <c r="AM64" i="9"/>
  <c r="AG64" i="9"/>
  <c r="AH64" i="9" s="1"/>
  <c r="AI64" i="9" s="1"/>
  <c r="AM62" i="9"/>
  <c r="AG62" i="9"/>
  <c r="AH62" i="9" s="1"/>
  <c r="AI62" i="9" s="1"/>
  <c r="S112" i="9"/>
  <c r="AL112" i="9"/>
  <c r="R74" i="9"/>
  <c r="U74" i="9" s="1"/>
  <c r="S74" i="9"/>
  <c r="G73" i="7" s="1"/>
  <c r="J94" i="7"/>
  <c r="L94" i="7" s="1"/>
  <c r="M94" i="7" s="1"/>
  <c r="H121" i="7"/>
  <c r="I121" i="7" s="1"/>
  <c r="J121" i="7" s="1"/>
  <c r="R109" i="9"/>
  <c r="U109" i="9" s="1"/>
  <c r="S109" i="9"/>
  <c r="I80" i="7" s="1"/>
  <c r="J96" i="7"/>
  <c r="L96" i="7" s="1"/>
  <c r="M96" i="7" s="1"/>
  <c r="H123" i="7"/>
  <c r="I123" i="7" s="1"/>
  <c r="J123" i="7" s="1"/>
  <c r="AM65" i="9"/>
  <c r="T65" i="9"/>
  <c r="F64" i="7" s="1"/>
  <c r="R65" i="9"/>
  <c r="U65" i="9" s="1"/>
  <c r="E180" i="7"/>
  <c r="D44" i="7"/>
  <c r="H44" i="7" s="1"/>
  <c r="T95" i="9"/>
  <c r="H66" i="7" s="1"/>
  <c r="R95" i="9"/>
  <c r="U95" i="9" s="1"/>
  <c r="E175" i="7"/>
  <c r="D39" i="7"/>
  <c r="H39" i="7" s="1"/>
  <c r="T41" i="9"/>
  <c r="D68" i="7" s="1"/>
  <c r="R41" i="9"/>
  <c r="U41" i="9" s="1"/>
  <c r="T94" i="9"/>
  <c r="H65" i="7" s="1"/>
  <c r="R94" i="9"/>
  <c r="U94" i="9" s="1"/>
  <c r="E173" i="7"/>
  <c r="D37" i="7"/>
  <c r="H37" i="7" s="1"/>
  <c r="F11" i="7"/>
  <c r="D48" i="7"/>
  <c r="H48" i="7" s="1"/>
  <c r="E184" i="7"/>
  <c r="F22" i="7"/>
  <c r="T51" i="9"/>
  <c r="D78" i="7" s="1"/>
  <c r="R51" i="9"/>
  <c r="U51" i="9" s="1"/>
  <c r="F18" i="7"/>
  <c r="E44" i="7"/>
  <c r="D180" i="7"/>
  <c r="E34" i="7"/>
  <c r="I34" i="7" s="1"/>
  <c r="D170" i="7"/>
  <c r="F14" i="7"/>
  <c r="E40" i="7"/>
  <c r="D176" i="7"/>
  <c r="U5" i="9"/>
  <c r="AH5" i="9"/>
  <c r="F7" i="7"/>
  <c r="D33" i="7"/>
  <c r="H33" i="7" s="1"/>
  <c r="E169" i="7"/>
  <c r="R69" i="9"/>
  <c r="U69" i="9" s="1"/>
  <c r="S69" i="9"/>
  <c r="G68" i="7" s="1"/>
  <c r="T77" i="9"/>
  <c r="F76" i="7" s="1"/>
  <c r="R77" i="9"/>
  <c r="U77" i="9" s="1"/>
  <c r="E35" i="7"/>
  <c r="I35" i="7" s="1"/>
  <c r="D171" i="7"/>
  <c r="AM100" i="9"/>
  <c r="AM103" i="9"/>
  <c r="AL92" i="9"/>
  <c r="AN5" i="9"/>
  <c r="AO5" i="9" s="1"/>
  <c r="H126" i="7"/>
  <c r="I126" i="7" s="1"/>
  <c r="J126" i="7" s="1"/>
  <c r="J99" i="7"/>
  <c r="L99" i="7" s="1"/>
  <c r="M99" i="7" s="1"/>
  <c r="S49" i="9"/>
  <c r="E76" i="7" s="1"/>
  <c r="S100" i="9"/>
  <c r="I71" i="7" s="1"/>
  <c r="J104" i="7"/>
  <c r="L104" i="7" s="1"/>
  <c r="M104" i="7" s="1"/>
  <c r="H131" i="7"/>
  <c r="I131" i="7" s="1"/>
  <c r="J131" i="7" s="1"/>
  <c r="S39" i="9"/>
  <c r="E66" i="7" s="1"/>
  <c r="AM93" i="9"/>
  <c r="T93" i="9"/>
  <c r="H64" i="7" s="1"/>
  <c r="R93" i="9"/>
  <c r="U93" i="9" s="1"/>
  <c r="T107" i="9"/>
  <c r="H78" i="7" s="1"/>
  <c r="R107" i="9"/>
  <c r="U107" i="9" s="1"/>
  <c r="T52" i="9"/>
  <c r="D79" i="7" s="1"/>
  <c r="R52" i="9"/>
  <c r="U52" i="9" s="1"/>
  <c r="D47" i="7"/>
  <c r="H47" i="7" s="1"/>
  <c r="E183" i="7"/>
  <c r="F21" i="7"/>
  <c r="T102" i="9"/>
  <c r="H73" i="7" s="1"/>
  <c r="R102" i="9"/>
  <c r="U102" i="9" s="1"/>
  <c r="T43" i="9"/>
  <c r="D70" i="7" s="1"/>
  <c r="R43" i="9"/>
  <c r="U43" i="9" s="1"/>
  <c r="T39" i="9"/>
  <c r="D66" i="7" s="1"/>
  <c r="R39" i="9"/>
  <c r="U39" i="9" s="1"/>
  <c r="T73" i="9"/>
  <c r="F72" i="7" s="1"/>
  <c r="R73" i="9"/>
  <c r="U73" i="9" s="1"/>
  <c r="E186" i="7"/>
  <c r="D50" i="7"/>
  <c r="H50" i="7" s="1"/>
  <c r="E32" i="7"/>
  <c r="I32" i="7" s="1"/>
  <c r="D168" i="7"/>
  <c r="E52" i="7"/>
  <c r="D188" i="7"/>
  <c r="E48" i="7"/>
  <c r="D184" i="7"/>
  <c r="J88" i="7"/>
  <c r="L88" i="7" s="1"/>
  <c r="M88" i="7" s="1"/>
  <c r="H115" i="7"/>
  <c r="I115" i="7" s="1"/>
  <c r="J115" i="7" s="1"/>
  <c r="AM61" i="9"/>
  <c r="AG61" i="9"/>
  <c r="AH61" i="9" s="1"/>
  <c r="AI61" i="9" s="1"/>
  <c r="Z27" i="10"/>
  <c r="Z26" i="10"/>
  <c r="D82" i="12"/>
  <c r="G159" i="12"/>
  <c r="G164" i="12"/>
  <c r="G174" i="12"/>
  <c r="G171" i="12"/>
  <c r="G167" i="12"/>
  <c r="J89" i="10"/>
  <c r="G127" i="12"/>
  <c r="G166" i="12"/>
  <c r="G163" i="12"/>
  <c r="G172" i="12"/>
  <c r="G168" i="12"/>
  <c r="G158" i="12"/>
  <c r="G170" i="12"/>
  <c r="G160" i="12"/>
  <c r="G169" i="12"/>
  <c r="G162" i="12"/>
  <c r="G161" i="12"/>
  <c r="G173" i="12"/>
  <c r="G175" i="12"/>
  <c r="G165" i="12"/>
  <c r="D105" i="12"/>
  <c r="D97" i="12"/>
  <c r="D104" i="12"/>
  <c r="D93" i="12"/>
  <c r="D103" i="12"/>
  <c r="D92" i="12"/>
  <c r="D107" i="12"/>
  <c r="D102" i="12"/>
  <c r="D109" i="12"/>
  <c r="D98" i="12"/>
  <c r="D94" i="12"/>
  <c r="D108" i="12"/>
  <c r="D96" i="12"/>
  <c r="D95" i="12"/>
  <c r="D99" i="12"/>
  <c r="D106" i="12"/>
  <c r="D101" i="12"/>
  <c r="D91" i="12"/>
  <c r="D100" i="12"/>
  <c r="D71" i="12"/>
  <c r="D72" i="12"/>
  <c r="D40" i="12"/>
  <c r="D68" i="12"/>
  <c r="D77" i="12"/>
  <c r="D79" i="12"/>
  <c r="D54" i="12"/>
  <c r="D80" i="12"/>
  <c r="D65" i="12"/>
  <c r="D37" i="12"/>
  <c r="D38" i="12"/>
  <c r="D70" i="12"/>
  <c r="D51" i="12"/>
  <c r="D73" i="12"/>
  <c r="D66" i="12"/>
  <c r="D67" i="12"/>
  <c r="D50" i="12"/>
  <c r="D39" i="12"/>
  <c r="D47" i="12"/>
  <c r="D78" i="12"/>
  <c r="D49" i="12"/>
  <c r="D81" i="12"/>
  <c r="D74" i="12"/>
  <c r="D53" i="12"/>
  <c r="D75" i="12"/>
  <c r="D52" i="12"/>
  <c r="D46" i="12"/>
  <c r="D44" i="12"/>
  <c r="J62" i="10"/>
  <c r="M76" i="8" s="1"/>
  <c r="J35" i="10"/>
  <c r="M43" i="8" s="1"/>
  <c r="D43" i="12"/>
  <c r="D48" i="12"/>
  <c r="D76" i="12"/>
  <c r="D42" i="12"/>
  <c r="D69" i="12"/>
  <c r="D41" i="12"/>
  <c r="D45" i="12"/>
  <c r="U9" i="12"/>
  <c r="D8" i="12"/>
  <c r="U16" i="12"/>
  <c r="U26" i="12"/>
  <c r="U12" i="12"/>
  <c r="U22" i="12"/>
  <c r="U17" i="12"/>
  <c r="U18" i="12"/>
  <c r="U20" i="12"/>
  <c r="U23" i="12"/>
  <c r="U14" i="12"/>
  <c r="U19" i="12"/>
  <c r="U10" i="12"/>
  <c r="U13" i="12"/>
  <c r="U15" i="12"/>
  <c r="U21" i="12"/>
  <c r="U24" i="12"/>
  <c r="U11" i="12"/>
  <c r="U25" i="12"/>
  <c r="J68" i="7" l="1"/>
  <c r="J118" i="7"/>
  <c r="K141" i="7" a="1"/>
  <c r="K141" i="7" s="1"/>
  <c r="H52" i="8"/>
  <c r="H81" i="8"/>
  <c r="H84" i="8"/>
  <c r="H78" i="8"/>
  <c r="H87" i="8"/>
  <c r="H57" i="8"/>
  <c r="H88" i="8"/>
  <c r="H59" i="8"/>
  <c r="H58" i="8"/>
  <c r="H86" i="8"/>
  <c r="H80" i="8"/>
  <c r="H55" i="8"/>
  <c r="H82" i="8"/>
  <c r="H60" i="8"/>
  <c r="H83" i="8"/>
  <c r="H48" i="8"/>
  <c r="H89" i="8"/>
  <c r="H54" i="8"/>
  <c r="H56" i="8"/>
  <c r="H91" i="8"/>
  <c r="H93" i="8"/>
  <c r="H47" i="8"/>
  <c r="H53" i="8"/>
  <c r="H90" i="8"/>
  <c r="H92" i="8"/>
  <c r="H46" i="8"/>
  <c r="H61" i="8"/>
  <c r="H49" i="8"/>
  <c r="H45" i="8"/>
  <c r="J45" i="8" s="1"/>
  <c r="H44" i="8"/>
  <c r="H79" i="8"/>
  <c r="H50" i="8"/>
  <c r="H94" i="8"/>
  <c r="AN90" i="9"/>
  <c r="AO90" i="9" s="1"/>
  <c r="H32" i="7"/>
  <c r="J32" i="7" s="1"/>
  <c r="AM33" i="9"/>
  <c r="AN33" i="9" s="1"/>
  <c r="AO33" i="9" s="1"/>
  <c r="AH4" i="9"/>
  <c r="AI4" i="9" s="1"/>
  <c r="AN89" i="9"/>
  <c r="AO89" i="9" s="1"/>
  <c r="AG89" i="9"/>
  <c r="AH89" i="9" s="1"/>
  <c r="AI89" i="9" s="1"/>
  <c r="AN34" i="9"/>
  <c r="AO34" i="9" s="1"/>
  <c r="AN36" i="9"/>
  <c r="AO36" i="9" s="1"/>
  <c r="AN62" i="9"/>
  <c r="AO62" i="9" s="1"/>
  <c r="AK6" i="9"/>
  <c r="H114" i="7"/>
  <c r="I114" i="7" s="1"/>
  <c r="AN84" i="9"/>
  <c r="AO84" i="9" s="1"/>
  <c r="AN112" i="9"/>
  <c r="AO112" i="9" s="1"/>
  <c r="AN92" i="9"/>
  <c r="AO92" i="9" s="1"/>
  <c r="J35" i="7"/>
  <c r="J82" i="7"/>
  <c r="J81" i="7"/>
  <c r="J66" i="7"/>
  <c r="J76" i="7"/>
  <c r="AN35" i="9"/>
  <c r="AO35" i="9" s="1"/>
  <c r="AN61" i="9"/>
  <c r="AO61" i="9" s="1"/>
  <c r="J70" i="7"/>
  <c r="J78" i="7"/>
  <c r="AN91" i="9"/>
  <c r="AO91" i="9" s="1"/>
  <c r="J77" i="7"/>
  <c r="AN63" i="9"/>
  <c r="AO63" i="9" s="1"/>
  <c r="J74" i="7"/>
  <c r="J80" i="7"/>
  <c r="AI5" i="9"/>
  <c r="AK5" i="9"/>
  <c r="AI7" i="9"/>
  <c r="AK7" i="9"/>
  <c r="K72" i="7"/>
  <c r="F179" i="7"/>
  <c r="J64" i="7"/>
  <c r="F170" i="7"/>
  <c r="K63" i="7"/>
  <c r="L63" i="7" s="1"/>
  <c r="F172" i="7"/>
  <c r="K65" i="7"/>
  <c r="F171" i="7"/>
  <c r="K64" i="7"/>
  <c r="J79" i="7"/>
  <c r="F168" i="7"/>
  <c r="K61" i="7"/>
  <c r="L61" i="7" s="1"/>
  <c r="F174" i="7"/>
  <c r="K67" i="7"/>
  <c r="K69" i="7"/>
  <c r="F176" i="7"/>
  <c r="F184" i="7"/>
  <c r="K77" i="7"/>
  <c r="F181" i="7"/>
  <c r="K74" i="7"/>
  <c r="J73" i="7"/>
  <c r="J72" i="7"/>
  <c r="F182" i="7"/>
  <c r="K75" i="7"/>
  <c r="K79" i="7"/>
  <c r="F186" i="7"/>
  <c r="F189" i="7"/>
  <c r="K82" i="7"/>
  <c r="J33" i="7"/>
  <c r="F175" i="7"/>
  <c r="K68" i="7"/>
  <c r="J67" i="7"/>
  <c r="F183" i="7"/>
  <c r="K76" i="7"/>
  <c r="K62" i="7"/>
  <c r="L62" i="7" s="1"/>
  <c r="F169" i="7"/>
  <c r="K66" i="7"/>
  <c r="F173" i="7"/>
  <c r="J71" i="7"/>
  <c r="J69" i="7"/>
  <c r="J65" i="7"/>
  <c r="J75" i="7"/>
  <c r="F187" i="7"/>
  <c r="K80" i="7"/>
  <c r="K73" i="7"/>
  <c r="F180" i="7"/>
  <c r="F177" i="7"/>
  <c r="K70" i="7"/>
  <c r="F188" i="7"/>
  <c r="K81" i="7"/>
  <c r="AN64" i="9"/>
  <c r="AO64" i="9" s="1"/>
  <c r="F185" i="7"/>
  <c r="K78" i="7"/>
  <c r="F178" i="7"/>
  <c r="K71" i="7"/>
  <c r="J34" i="7"/>
  <c r="E167" i="7"/>
  <c r="D31" i="7"/>
  <c r="H31" i="7" s="1"/>
  <c r="J31" i="7" s="1"/>
  <c r="F5" i="7"/>
  <c r="D90" i="12"/>
  <c r="U90" i="12" s="1"/>
  <c r="G157" i="12"/>
  <c r="U110" i="12"/>
  <c r="U106" i="12"/>
  <c r="U108" i="12"/>
  <c r="U102" i="12"/>
  <c r="U93" i="12"/>
  <c r="U91" i="12"/>
  <c r="U99" i="12"/>
  <c r="U94" i="12"/>
  <c r="U107" i="12"/>
  <c r="U104" i="12"/>
  <c r="U95" i="12"/>
  <c r="U98" i="12"/>
  <c r="U92" i="12"/>
  <c r="U97" i="12"/>
  <c r="U100" i="12"/>
  <c r="U101" i="12"/>
  <c r="U96" i="12"/>
  <c r="U109" i="12"/>
  <c r="U103" i="12"/>
  <c r="U105" i="12"/>
  <c r="U51" i="12"/>
  <c r="U76" i="12"/>
  <c r="D64" i="12"/>
  <c r="U82" i="12"/>
  <c r="U77" i="12"/>
  <c r="U69" i="12"/>
  <c r="U75" i="12"/>
  <c r="U81" i="12"/>
  <c r="U47" i="12"/>
  <c r="U66" i="12"/>
  <c r="U71" i="12"/>
  <c r="U42" i="12"/>
  <c r="U78" i="12"/>
  <c r="U45" i="12"/>
  <c r="U48" i="12"/>
  <c r="U46" i="12"/>
  <c r="U80" i="12"/>
  <c r="U68" i="12"/>
  <c r="D36" i="12"/>
  <c r="U43" i="12"/>
  <c r="U53" i="12"/>
  <c r="U39" i="12"/>
  <c r="U50" i="12"/>
  <c r="U70" i="12"/>
  <c r="U38" i="12"/>
  <c r="U37" i="12"/>
  <c r="U44" i="12"/>
  <c r="U52" i="12"/>
  <c r="U49" i="12"/>
  <c r="U54" i="12"/>
  <c r="U40" i="12"/>
  <c r="U41" i="12"/>
  <c r="U73" i="12"/>
  <c r="U65" i="12"/>
  <c r="U74" i="12"/>
  <c r="U67" i="12"/>
  <c r="U79" i="12"/>
  <c r="U72" i="12"/>
  <c r="U8" i="12"/>
  <c r="H51" i="8" l="1"/>
  <c r="J51" i="8" s="1"/>
  <c r="K51" i="8" s="1"/>
  <c r="H77" i="8"/>
  <c r="J77" i="8" s="1"/>
  <c r="H85" i="8"/>
  <c r="J85" i="8" s="1"/>
  <c r="K85" i="8" s="1"/>
  <c r="J44" i="8"/>
  <c r="K44" i="8" s="1"/>
  <c r="K45" i="8"/>
  <c r="J83" i="8"/>
  <c r="K83" i="8" s="1"/>
  <c r="J58" i="8"/>
  <c r="K58" i="8" s="1"/>
  <c r="J48" i="8"/>
  <c r="J49" i="8"/>
  <c r="K49" i="8" s="1"/>
  <c r="J47" i="8"/>
  <c r="J60" i="8"/>
  <c r="K60" i="8" s="1"/>
  <c r="J59" i="8"/>
  <c r="K59" i="8" s="1"/>
  <c r="J86" i="8"/>
  <c r="K86" i="8" s="1"/>
  <c r="J94" i="8"/>
  <c r="K94" i="8" s="1"/>
  <c r="J61" i="8"/>
  <c r="J93" i="8"/>
  <c r="K93" i="8" s="1"/>
  <c r="J81" i="8"/>
  <c r="K81" i="8" s="1"/>
  <c r="J82" i="8"/>
  <c r="K82" i="8" s="1"/>
  <c r="J88" i="8"/>
  <c r="K88" i="8" s="1"/>
  <c r="J50" i="8"/>
  <c r="J46" i="8"/>
  <c r="J91" i="8"/>
  <c r="K91" i="8" s="1"/>
  <c r="J84" i="8"/>
  <c r="J57" i="8"/>
  <c r="K57" i="8" s="1"/>
  <c r="J78" i="8"/>
  <c r="K78" i="8" s="1"/>
  <c r="J79" i="8"/>
  <c r="K79" i="8" s="1"/>
  <c r="J56" i="8"/>
  <c r="K56" i="8" s="1"/>
  <c r="J55" i="8"/>
  <c r="J87" i="8"/>
  <c r="K87" i="8" s="1"/>
  <c r="J52" i="8"/>
  <c r="K52" i="8" s="1"/>
  <c r="J53" i="8"/>
  <c r="J92" i="8"/>
  <c r="K92" i="8" s="1"/>
  <c r="J54" i="8"/>
  <c r="K54" i="8" s="1"/>
  <c r="J80" i="8"/>
  <c r="K80" i="8" s="1"/>
  <c r="J90" i="8"/>
  <c r="K90" i="8" s="1"/>
  <c r="J89" i="8"/>
  <c r="AK4" i="9"/>
  <c r="J114" i="7"/>
  <c r="L82" i="7"/>
  <c r="L81" i="7"/>
  <c r="L66" i="7"/>
  <c r="L76" i="7"/>
  <c r="L78" i="7"/>
  <c r="L70" i="7"/>
  <c r="L80" i="7"/>
  <c r="L74" i="7"/>
  <c r="L77" i="7"/>
  <c r="L71" i="7"/>
  <c r="L79" i="7"/>
  <c r="L68" i="7"/>
  <c r="L75" i="7"/>
  <c r="L67" i="7"/>
  <c r="L72" i="7"/>
  <c r="L64" i="7"/>
  <c r="L73" i="7"/>
  <c r="L65" i="7"/>
  <c r="L69" i="7"/>
  <c r="F167" i="7"/>
  <c r="K60" i="7"/>
  <c r="L60" i="7" s="1"/>
  <c r="P90" i="12"/>
  <c r="U64" i="12"/>
  <c r="U36" i="12"/>
  <c r="K77" i="8" l="1"/>
  <c r="J12" i="8"/>
  <c r="H12" i="8" s="1"/>
  <c r="B161" i="8"/>
  <c r="AB43" i="10"/>
  <c r="J20" i="8"/>
  <c r="H20" i="8" s="1"/>
  <c r="K61" i="8"/>
  <c r="K29" i="8" s="1"/>
  <c r="AB26" i="10" s="1"/>
  <c r="AB27" i="10" s="1"/>
  <c r="J29" i="8"/>
  <c r="H29" i="8" s="1"/>
  <c r="K46" i="8"/>
  <c r="B156" i="8" s="1"/>
  <c r="J14" i="8"/>
  <c r="H14" i="8" s="1"/>
  <c r="J13" i="8"/>
  <c r="H13" i="8" s="1"/>
  <c r="K17" i="8"/>
  <c r="AB14" i="10" s="1"/>
  <c r="C159" i="8"/>
  <c r="AB68" i="10"/>
  <c r="J21" i="8"/>
  <c r="H21" i="8" s="1"/>
  <c r="K53" i="8"/>
  <c r="K21" i="8" s="1"/>
  <c r="J24" i="8"/>
  <c r="H24" i="8" s="1"/>
  <c r="K89" i="8"/>
  <c r="AB76" i="10"/>
  <c r="C167" i="8"/>
  <c r="K25" i="8"/>
  <c r="AB22" i="10" s="1"/>
  <c r="C169" i="8"/>
  <c r="AB78" i="10"/>
  <c r="K27" i="8"/>
  <c r="AB24" i="10" s="1"/>
  <c r="J15" i="8"/>
  <c r="H15" i="8" s="1"/>
  <c r="K47" i="8"/>
  <c r="K15" i="8" s="1"/>
  <c r="AB12" i="10" s="1"/>
  <c r="K55" i="8"/>
  <c r="J23" i="8"/>
  <c r="H23" i="8" s="1"/>
  <c r="AB72" i="10"/>
  <c r="C163" i="8"/>
  <c r="AB48" i="10"/>
  <c r="B166" i="8"/>
  <c r="J25" i="8"/>
  <c r="H25" i="8" s="1"/>
  <c r="AB74" i="10"/>
  <c r="C165" i="8"/>
  <c r="C168" i="8"/>
  <c r="AB77" i="10"/>
  <c r="K26" i="8"/>
  <c r="AB23" i="10" s="1"/>
  <c r="B164" i="8"/>
  <c r="AB46" i="10"/>
  <c r="AB80" i="10"/>
  <c r="AB81" i="10" s="1"/>
  <c r="C171" i="8"/>
  <c r="AB69" i="10"/>
  <c r="C160" i="8"/>
  <c r="AB52" i="10"/>
  <c r="B170" i="8"/>
  <c r="K84" i="8"/>
  <c r="J19" i="8"/>
  <c r="H19" i="8" s="1"/>
  <c r="C164" i="8"/>
  <c r="K22" i="8"/>
  <c r="AB19" i="10" s="1"/>
  <c r="AB73" i="10"/>
  <c r="C170" i="8"/>
  <c r="AB79" i="10"/>
  <c r="K28" i="8"/>
  <c r="AB25" i="10" s="1"/>
  <c r="B159" i="8"/>
  <c r="AB41" i="10"/>
  <c r="J22" i="8"/>
  <c r="H22" i="8" s="1"/>
  <c r="B162" i="8"/>
  <c r="AB44" i="10"/>
  <c r="AB51" i="10"/>
  <c r="B169" i="8"/>
  <c r="C157" i="8"/>
  <c r="AB66" i="10"/>
  <c r="C158" i="8"/>
  <c r="AB67" i="10"/>
  <c r="J16" i="8"/>
  <c r="H16" i="8" s="1"/>
  <c r="K48" i="8"/>
  <c r="K16" i="8" s="1"/>
  <c r="AB13" i="10" s="1"/>
  <c r="AB36" i="10"/>
  <c r="B154" i="8"/>
  <c r="B167" i="8"/>
  <c r="AB49" i="10"/>
  <c r="J26" i="8"/>
  <c r="H26" i="8" s="1"/>
  <c r="AB65" i="10"/>
  <c r="C156" i="8"/>
  <c r="J27" i="8"/>
  <c r="H27" i="8" s="1"/>
  <c r="C155" i="8"/>
  <c r="AB64" i="10"/>
  <c r="K13" i="8"/>
  <c r="AB10" i="10" s="1"/>
  <c r="AB37" i="10"/>
  <c r="B155" i="8"/>
  <c r="B168" i="8"/>
  <c r="AB50" i="10"/>
  <c r="J28" i="8"/>
  <c r="H28" i="8" s="1"/>
  <c r="J17" i="8"/>
  <c r="H17" i="8" s="1"/>
  <c r="K50" i="8"/>
  <c r="J18" i="8"/>
  <c r="H18" i="8" s="1"/>
  <c r="K12" i="8"/>
  <c r="AB9" i="10" s="1"/>
  <c r="AB18" i="10" l="1"/>
  <c r="G21" i="8"/>
  <c r="AB38" i="10"/>
  <c r="AB53" i="10"/>
  <c r="AB54" i="10" s="1"/>
  <c r="B171" i="8"/>
  <c r="E171" i="8" s="1"/>
  <c r="C154" i="8"/>
  <c r="E154" i="8" s="1"/>
  <c r="AB63" i="10"/>
  <c r="E167" i="8"/>
  <c r="K14" i="8"/>
  <c r="E159" i="8"/>
  <c r="E169" i="8"/>
  <c r="E168" i="8"/>
  <c r="E156" i="8"/>
  <c r="E164" i="8"/>
  <c r="G13" i="8"/>
  <c r="B160" i="8"/>
  <c r="E160" i="8" s="1"/>
  <c r="AB42" i="10"/>
  <c r="AB39" i="10"/>
  <c r="B157" i="8"/>
  <c r="E157" i="8" s="1"/>
  <c r="AB75" i="10"/>
  <c r="K24" i="8"/>
  <c r="AB21" i="10" s="1"/>
  <c r="C166" i="8"/>
  <c r="E166" i="8" s="1"/>
  <c r="G16" i="8"/>
  <c r="B165" i="8"/>
  <c r="E165" i="8" s="1"/>
  <c r="AB47" i="10"/>
  <c r="G22" i="8"/>
  <c r="K18" i="8"/>
  <c r="AB15" i="10" s="1"/>
  <c r="B163" i="8"/>
  <c r="E163" i="8" s="1"/>
  <c r="AB45" i="10"/>
  <c r="AB40" i="10"/>
  <c r="B158" i="8"/>
  <c r="E158" i="8" s="1"/>
  <c r="K23" i="8"/>
  <c r="AB20" i="10" s="1"/>
  <c r="G15" i="8"/>
  <c r="C161" i="8"/>
  <c r="E161" i="8" s="1"/>
  <c r="AB70" i="10"/>
  <c r="K19" i="8"/>
  <c r="AB16" i="10" s="1"/>
  <c r="AB71" i="10"/>
  <c r="C162" i="8"/>
  <c r="E162" i="8" s="1"/>
  <c r="K20" i="8"/>
  <c r="AB17" i="10" s="1"/>
  <c r="G25" i="8"/>
  <c r="E155" i="8"/>
  <c r="E170" i="8"/>
  <c r="G17" i="8"/>
  <c r="G14" i="8" l="1"/>
  <c r="AB11" i="10"/>
  <c r="G20" i="8"/>
  <c r="G18" i="8"/>
  <c r="G23" i="8"/>
  <c r="G24" i="8"/>
  <c r="G19" i="8"/>
  <c r="D166" i="21" l="1"/>
  <c r="D168" i="21"/>
  <c r="G51" i="21" l="1"/>
  <c r="H60" i="21" s="1"/>
  <c r="I69" i="21" s="1"/>
  <c r="J78" i="21" s="1"/>
  <c r="K87" i="21" s="1"/>
  <c r="L96" i="21" s="1"/>
  <c r="M105" i="21" s="1"/>
  <c r="N114" i="21" s="1"/>
  <c r="O123" i="21" s="1"/>
  <c r="P132" i="21" s="1"/>
  <c r="Q141" i="21" s="1"/>
  <c r="R150" i="21" s="1"/>
  <c r="S159" i="21" s="1"/>
  <c r="G49" i="21"/>
  <c r="H58" i="21" s="1"/>
  <c r="I67" i="21" s="1"/>
  <c r="J76" i="21" s="1"/>
  <c r="K85" i="21" s="1"/>
  <c r="L94" i="21" s="1"/>
  <c r="M103" i="21" s="1"/>
  <c r="N112" i="21" s="1"/>
  <c r="O121" i="21" s="1"/>
  <c r="P130" i="21" s="1"/>
  <c r="Q139" i="21" s="1"/>
  <c r="R148" i="21" s="1"/>
  <c r="S157" i="21" l="1"/>
  <c r="E166" i="21" l="1"/>
  <c r="H49" i="21"/>
  <c r="I58" i="21" s="1"/>
  <c r="J67" i="21" s="1"/>
  <c r="K76" i="21" s="1"/>
  <c r="L85" i="21" s="1"/>
  <c r="M94" i="21" s="1"/>
  <c r="N103" i="21" s="1"/>
  <c r="O112" i="21" s="1"/>
  <c r="P121" i="21" s="1"/>
  <c r="Q130" i="21" s="1"/>
  <c r="R139" i="21" s="1"/>
  <c r="S148" i="21" s="1"/>
  <c r="T157" i="21" s="1"/>
  <c r="F166" i="21" l="1"/>
  <c r="I49" i="21"/>
  <c r="J58" i="21" s="1"/>
  <c r="K67" i="21" s="1"/>
  <c r="L76" i="21" s="1"/>
  <c r="M85" i="21" s="1"/>
  <c r="N94" i="21" s="1"/>
  <c r="O103" i="21" s="1"/>
  <c r="P112" i="21" s="1"/>
  <c r="Q121" i="21" s="1"/>
  <c r="R130" i="21" s="1"/>
  <c r="S139" i="21" s="1"/>
  <c r="T148" i="21" s="1"/>
  <c r="E168" i="21"/>
  <c r="H51" i="21"/>
  <c r="I60" i="21" s="1"/>
  <c r="J69" i="21" s="1"/>
  <c r="K78" i="21" s="1"/>
  <c r="L87" i="21" s="1"/>
  <c r="M96" i="21" s="1"/>
  <c r="N105" i="21" s="1"/>
  <c r="O114" i="21" s="1"/>
  <c r="P123" i="21" s="1"/>
  <c r="Q132" i="21" s="1"/>
  <c r="R141" i="21" s="1"/>
  <c r="S150" i="21" s="1"/>
  <c r="T159" i="21" s="1"/>
  <c r="E164" i="21"/>
  <c r="D167" i="21" l="1"/>
  <c r="G50" i="21"/>
  <c r="H59" i="21" s="1"/>
  <c r="I68" i="21" s="1"/>
  <c r="J77" i="21" s="1"/>
  <c r="K86" i="21" s="1"/>
  <c r="L95" i="21" s="1"/>
  <c r="M104" i="21" s="1"/>
  <c r="N113" i="21" s="1"/>
  <c r="O122" i="21" s="1"/>
  <c r="P131" i="21" s="1"/>
  <c r="Q140" i="21" s="1"/>
  <c r="R149" i="21" s="1"/>
  <c r="S158" i="21" s="1"/>
  <c r="D169" i="21"/>
  <c r="G52" i="21"/>
  <c r="H61" i="21" s="1"/>
  <c r="I70" i="21" s="1"/>
  <c r="J79" i="21" s="1"/>
  <c r="K88" i="21" s="1"/>
  <c r="L97" i="21" s="1"/>
  <c r="M106" i="21" s="1"/>
  <c r="N115" i="21" s="1"/>
  <c r="O124" i="21" s="1"/>
  <c r="P133" i="21" s="1"/>
  <c r="Q142" i="21" s="1"/>
  <c r="R151" i="21" s="1"/>
  <c r="S160" i="21" s="1"/>
  <c r="G166" i="21"/>
  <c r="J49" i="21"/>
  <c r="K58" i="21" s="1"/>
  <c r="L67" i="21" s="1"/>
  <c r="M76" i="21" s="1"/>
  <c r="N85" i="21" s="1"/>
  <c r="O94" i="21" s="1"/>
  <c r="P103" i="21" s="1"/>
  <c r="Q112" i="21" s="1"/>
  <c r="R121" i="21" s="1"/>
  <c r="S130" i="21" s="1"/>
  <c r="T139" i="21" s="1"/>
  <c r="U148" i="21" s="1"/>
  <c r="U157" i="21"/>
  <c r="F168" i="21"/>
  <c r="H52" i="21"/>
  <c r="I61" i="21" s="1"/>
  <c r="J70" i="21" s="1"/>
  <c r="K79" i="21" s="1"/>
  <c r="L88" i="21" s="1"/>
  <c r="M97" i="21" s="1"/>
  <c r="N106" i="21" s="1"/>
  <c r="O115" i="21" s="1"/>
  <c r="P124" i="21" s="1"/>
  <c r="Q133" i="21" s="1"/>
  <c r="R142" i="21" s="1"/>
  <c r="S151" i="21" s="1"/>
  <c r="T160" i="21" s="1"/>
  <c r="I52" i="21"/>
  <c r="J61" i="21" s="1"/>
  <c r="K70" i="21" s="1"/>
  <c r="L79" i="21" s="1"/>
  <c r="M88" i="21" s="1"/>
  <c r="N97" i="21" s="1"/>
  <c r="O106" i="21" s="1"/>
  <c r="P115" i="21" s="1"/>
  <c r="Q124" i="21" s="1"/>
  <c r="R133" i="21" s="1"/>
  <c r="S142" i="21" s="1"/>
  <c r="T151" i="21" s="1"/>
  <c r="U160" i="21" s="1"/>
  <c r="I51" i="21"/>
  <c r="J60" i="21" s="1"/>
  <c r="K69" i="21" s="1"/>
  <c r="L78" i="21" s="1"/>
  <c r="M87" i="21" s="1"/>
  <c r="N96" i="21" s="1"/>
  <c r="O105" i="21" s="1"/>
  <c r="P114" i="21" s="1"/>
  <c r="Q123" i="21" s="1"/>
  <c r="R132" i="21" s="1"/>
  <c r="S141" i="21" s="1"/>
  <c r="T150" i="21" s="1"/>
  <c r="U159" i="21" s="1"/>
  <c r="F164" i="21"/>
  <c r="C17" i="21"/>
  <c r="C175" i="21" s="1"/>
  <c r="E167" i="21" l="1"/>
  <c r="H50" i="21"/>
  <c r="I59" i="21" s="1"/>
  <c r="J68" i="21" s="1"/>
  <c r="K77" i="21" s="1"/>
  <c r="L86" i="21" s="1"/>
  <c r="M95" i="21" s="1"/>
  <c r="N104" i="21" s="1"/>
  <c r="O113" i="21" s="1"/>
  <c r="P122" i="21" s="1"/>
  <c r="Q131" i="21" s="1"/>
  <c r="R140" i="21" s="1"/>
  <c r="S149" i="21" s="1"/>
  <c r="T158" i="21" s="1"/>
  <c r="D165" i="21"/>
  <c r="D170" i="21" s="1"/>
  <c r="H166" i="21"/>
  <c r="K49" i="21"/>
  <c r="L58" i="21" s="1"/>
  <c r="M67" i="21" s="1"/>
  <c r="N76" i="21" s="1"/>
  <c r="O85" i="21" s="1"/>
  <c r="P94" i="21" s="1"/>
  <c r="Q103" i="21" s="1"/>
  <c r="R112" i="21" s="1"/>
  <c r="S121" i="21" s="1"/>
  <c r="T130" i="21" s="1"/>
  <c r="U139" i="21" s="1"/>
  <c r="E169" i="21"/>
  <c r="G169" i="21"/>
  <c r="L143" i="7"/>
  <c r="F169" i="21"/>
  <c r="G168" i="21"/>
  <c r="J51" i="21"/>
  <c r="K60" i="21" s="1"/>
  <c r="L69" i="21" s="1"/>
  <c r="M78" i="21" s="1"/>
  <c r="N87" i="21" s="1"/>
  <c r="O96" i="21" s="1"/>
  <c r="P105" i="21" s="1"/>
  <c r="Q114" i="21" s="1"/>
  <c r="R123" i="21" s="1"/>
  <c r="S132" i="21" s="1"/>
  <c r="T141" i="21" s="1"/>
  <c r="U150" i="21" s="1"/>
  <c r="J52" i="21"/>
  <c r="K61" i="21" s="1"/>
  <c r="L70" i="21" s="1"/>
  <c r="M79" i="21" s="1"/>
  <c r="N88" i="21" s="1"/>
  <c r="O97" i="21" s="1"/>
  <c r="P106" i="21" s="1"/>
  <c r="Q115" i="21" s="1"/>
  <c r="R124" i="21" s="1"/>
  <c r="S133" i="21" s="1"/>
  <c r="T142" i="21" s="1"/>
  <c r="U151" i="21" s="1"/>
  <c r="G164" i="21"/>
  <c r="E17" i="21"/>
  <c r="D26" i="21"/>
  <c r="D175" i="21" s="1"/>
  <c r="E26" i="21"/>
  <c r="F167" i="21" l="1"/>
  <c r="H169" i="21"/>
  <c r="E165" i="21"/>
  <c r="E170" i="21" s="1"/>
  <c r="F165" i="21"/>
  <c r="I166" i="21"/>
  <c r="H168" i="21"/>
  <c r="H47" i="21"/>
  <c r="I56" i="21" s="1"/>
  <c r="J65" i="21" s="1"/>
  <c r="E175" i="21"/>
  <c r="N143" i="7" s="1"/>
  <c r="K52" i="21"/>
  <c r="L61" i="21" s="1"/>
  <c r="M70" i="21" s="1"/>
  <c r="N79" i="21" s="1"/>
  <c r="O88" i="21" s="1"/>
  <c r="P97" i="21" s="1"/>
  <c r="Q106" i="21" s="1"/>
  <c r="R115" i="21" s="1"/>
  <c r="S124" i="21" s="1"/>
  <c r="T133" i="21" s="1"/>
  <c r="U142" i="21" s="1"/>
  <c r="I50" i="21"/>
  <c r="J59" i="21" s="1"/>
  <c r="K68" i="21" s="1"/>
  <c r="L77" i="21" s="1"/>
  <c r="M86" i="21" s="1"/>
  <c r="N95" i="21" s="1"/>
  <c r="O104" i="21" s="1"/>
  <c r="P113" i="21" s="1"/>
  <c r="Q122" i="21" s="1"/>
  <c r="R131" i="21" s="1"/>
  <c r="S140" i="21" s="1"/>
  <c r="T149" i="21" s="1"/>
  <c r="U158" i="21" s="1"/>
  <c r="K51" i="21"/>
  <c r="L60" i="21" s="1"/>
  <c r="M69" i="21" s="1"/>
  <c r="N78" i="21" s="1"/>
  <c r="O87" i="21" s="1"/>
  <c r="P96" i="21" s="1"/>
  <c r="Q105" i="21" s="1"/>
  <c r="R114" i="21" s="1"/>
  <c r="S123" i="21" s="1"/>
  <c r="T132" i="21" s="1"/>
  <c r="U141" i="21" s="1"/>
  <c r="L49" i="21"/>
  <c r="M58" i="21" s="1"/>
  <c r="N67" i="21" s="1"/>
  <c r="O76" i="21" s="1"/>
  <c r="P85" i="21" s="1"/>
  <c r="Q94" i="21" s="1"/>
  <c r="R103" i="21" s="1"/>
  <c r="S112" i="21" s="1"/>
  <c r="T121" i="21" s="1"/>
  <c r="U130" i="21" s="1"/>
  <c r="F35" i="21"/>
  <c r="F26" i="21"/>
  <c r="F17" i="21"/>
  <c r="I47" i="21"/>
  <c r="E35" i="21"/>
  <c r="E176" i="21" s="1"/>
  <c r="F170" i="21" l="1"/>
  <c r="K74" i="21"/>
  <c r="I169" i="21"/>
  <c r="H164" i="21"/>
  <c r="N144" i="7"/>
  <c r="M143" i="7"/>
  <c r="I164" i="21"/>
  <c r="I168" i="21"/>
  <c r="J166" i="21"/>
  <c r="G167" i="21"/>
  <c r="F175" i="21"/>
  <c r="O143" i="7" s="1"/>
  <c r="M49" i="21"/>
  <c r="N58" i="21" s="1"/>
  <c r="O67" i="21" s="1"/>
  <c r="P76" i="21" s="1"/>
  <c r="Q85" i="21" s="1"/>
  <c r="R94" i="21" s="1"/>
  <c r="S103" i="21" s="1"/>
  <c r="T112" i="21" s="1"/>
  <c r="U121" i="21" s="1"/>
  <c r="L51" i="21"/>
  <c r="M60" i="21" s="1"/>
  <c r="N69" i="21" s="1"/>
  <c r="O78" i="21" s="1"/>
  <c r="P87" i="21" s="1"/>
  <c r="Q96" i="21" s="1"/>
  <c r="R105" i="21" s="1"/>
  <c r="S114" i="21" s="1"/>
  <c r="T123" i="21" s="1"/>
  <c r="U132" i="21" s="1"/>
  <c r="J50" i="21"/>
  <c r="K59" i="21" s="1"/>
  <c r="L68" i="21" s="1"/>
  <c r="M77" i="21" s="1"/>
  <c r="N86" i="21" s="1"/>
  <c r="O95" i="21" s="1"/>
  <c r="P104" i="21" s="1"/>
  <c r="Q113" i="21" s="1"/>
  <c r="R122" i="21" s="1"/>
  <c r="S131" i="21" s="1"/>
  <c r="T140" i="21" s="1"/>
  <c r="U149" i="21" s="1"/>
  <c r="L52" i="21"/>
  <c r="M61" i="21" s="1"/>
  <c r="N70" i="21" s="1"/>
  <c r="O79" i="21" s="1"/>
  <c r="P88" i="21" s="1"/>
  <c r="Q97" i="21" s="1"/>
  <c r="R106" i="21" s="1"/>
  <c r="S115" i="21" s="1"/>
  <c r="T124" i="21" s="1"/>
  <c r="U133" i="21" s="1"/>
  <c r="G17" i="21"/>
  <c r="G26" i="21"/>
  <c r="H48" i="21"/>
  <c r="G44" i="21"/>
  <c r="G48" i="21"/>
  <c r="G165" i="21" s="1"/>
  <c r="F44" i="21"/>
  <c r="F176" i="21" s="1"/>
  <c r="G35" i="21"/>
  <c r="J56" i="21"/>
  <c r="K65" i="21" s="1"/>
  <c r="J47" i="21"/>
  <c r="J169" i="21" l="1"/>
  <c r="L74" i="21"/>
  <c r="L83" i="21"/>
  <c r="G176" i="21"/>
  <c r="P144" i="7" s="1"/>
  <c r="G170" i="21"/>
  <c r="O144" i="7"/>
  <c r="K166" i="21"/>
  <c r="H167" i="21"/>
  <c r="J168" i="21"/>
  <c r="J164" i="21"/>
  <c r="G175" i="21"/>
  <c r="P143" i="7" s="1"/>
  <c r="M51" i="21"/>
  <c r="N60" i="21" s="1"/>
  <c r="O69" i="21" s="1"/>
  <c r="P78" i="21" s="1"/>
  <c r="Q87" i="21" s="1"/>
  <c r="R96" i="21" s="1"/>
  <c r="S105" i="21" s="1"/>
  <c r="T114" i="21" s="1"/>
  <c r="U123" i="21" s="1"/>
  <c r="K50" i="21"/>
  <c r="L59" i="21" s="1"/>
  <c r="M68" i="21" s="1"/>
  <c r="N77" i="21" s="1"/>
  <c r="O86" i="21" s="1"/>
  <c r="P95" i="21" s="1"/>
  <c r="Q104" i="21" s="1"/>
  <c r="R113" i="21" s="1"/>
  <c r="S122" i="21" s="1"/>
  <c r="T131" i="21" s="1"/>
  <c r="U140" i="21" s="1"/>
  <c r="M52" i="21"/>
  <c r="N61" i="21" s="1"/>
  <c r="O70" i="21" s="1"/>
  <c r="P79" i="21" s="1"/>
  <c r="Q88" i="21" s="1"/>
  <c r="R97" i="21" s="1"/>
  <c r="S106" i="21" s="1"/>
  <c r="T115" i="21" s="1"/>
  <c r="U124" i="21" s="1"/>
  <c r="H17" i="21"/>
  <c r="N49" i="21"/>
  <c r="O58" i="21" s="1"/>
  <c r="P67" i="21" s="1"/>
  <c r="Q76" i="21" s="1"/>
  <c r="R85" i="21" s="1"/>
  <c r="S94" i="21" s="1"/>
  <c r="T103" i="21" s="1"/>
  <c r="U112" i="21" s="1"/>
  <c r="H26" i="21"/>
  <c r="I57" i="21"/>
  <c r="H53" i="21"/>
  <c r="H35" i="21"/>
  <c r="K56" i="21"/>
  <c r="L65" i="21" s="1"/>
  <c r="I48" i="21"/>
  <c r="H44" i="21"/>
  <c r="H57" i="21"/>
  <c r="G53" i="21"/>
  <c r="G177" i="21" s="1"/>
  <c r="K47" i="21"/>
  <c r="L166" i="21" l="1"/>
  <c r="O49" i="21"/>
  <c r="P58" i="21" s="1"/>
  <c r="Q67" i="21" s="1"/>
  <c r="R76" i="21" s="1"/>
  <c r="S85" i="21" s="1"/>
  <c r="T94" i="21" s="1"/>
  <c r="U103" i="21" s="1"/>
  <c r="K169" i="21"/>
  <c r="N52" i="21"/>
  <c r="O61" i="21" s="1"/>
  <c r="P70" i="21" s="1"/>
  <c r="Q79" i="21" s="1"/>
  <c r="R88" i="21" s="1"/>
  <c r="S97" i="21" s="1"/>
  <c r="T106" i="21" s="1"/>
  <c r="U115" i="21" s="1"/>
  <c r="I167" i="21"/>
  <c r="L50" i="21"/>
  <c r="M59" i="21" s="1"/>
  <c r="N68" i="21" s="1"/>
  <c r="O77" i="21" s="1"/>
  <c r="P86" i="21" s="1"/>
  <c r="Q95" i="21" s="1"/>
  <c r="R104" i="21" s="1"/>
  <c r="S113" i="21" s="1"/>
  <c r="T122" i="21" s="1"/>
  <c r="U131" i="21" s="1"/>
  <c r="M74" i="21"/>
  <c r="M92" i="21"/>
  <c r="M83" i="21"/>
  <c r="H62" i="21"/>
  <c r="H177" i="21" s="1"/>
  <c r="I66" i="21"/>
  <c r="I165" i="21" s="1"/>
  <c r="I62" i="21"/>
  <c r="J66" i="21"/>
  <c r="H176" i="21"/>
  <c r="P145" i="7"/>
  <c r="K168" i="21"/>
  <c r="K164" i="21"/>
  <c r="H165" i="21"/>
  <c r="H170" i="21" s="1"/>
  <c r="H175" i="21"/>
  <c r="Q143" i="7" s="1"/>
  <c r="N51" i="21"/>
  <c r="O60" i="21" s="1"/>
  <c r="P69" i="21" s="1"/>
  <c r="Q78" i="21" s="1"/>
  <c r="R87" i="21" s="1"/>
  <c r="S96" i="21" s="1"/>
  <c r="T105" i="21" s="1"/>
  <c r="U114" i="21" s="1"/>
  <c r="J57" i="21"/>
  <c r="I53" i="21"/>
  <c r="L56" i="21"/>
  <c r="M65" i="21" s="1"/>
  <c r="I35" i="21"/>
  <c r="J48" i="21"/>
  <c r="I44" i="21"/>
  <c r="L47" i="21"/>
  <c r="I26" i="21"/>
  <c r="I17" i="21"/>
  <c r="I170" i="21" l="1"/>
  <c r="L169" i="21"/>
  <c r="O52" i="21"/>
  <c r="P61" i="21" s="1"/>
  <c r="Q70" i="21" s="1"/>
  <c r="R79" i="21" s="1"/>
  <c r="S88" i="21" s="1"/>
  <c r="T97" i="21" s="1"/>
  <c r="U106" i="21" s="1"/>
  <c r="M166" i="21"/>
  <c r="P49" i="21"/>
  <c r="Q58" i="21" s="1"/>
  <c r="R67" i="21" s="1"/>
  <c r="S76" i="21" s="1"/>
  <c r="T85" i="21" s="1"/>
  <c r="U94" i="21" s="1"/>
  <c r="I177" i="21"/>
  <c r="R145" i="7" s="1"/>
  <c r="I176" i="21"/>
  <c r="J75" i="21"/>
  <c r="I71" i="21"/>
  <c r="I178" i="21" s="1"/>
  <c r="R146" i="7" s="1"/>
  <c r="N101" i="21"/>
  <c r="N74" i="21"/>
  <c r="N92" i="21"/>
  <c r="J62" i="21"/>
  <c r="K66" i="21"/>
  <c r="K75" i="21"/>
  <c r="J71" i="21"/>
  <c r="N83" i="21"/>
  <c r="Q145" i="7"/>
  <c r="Q144" i="7"/>
  <c r="L168" i="21"/>
  <c r="J167" i="21"/>
  <c r="L164" i="21"/>
  <c r="I175" i="21"/>
  <c r="R143" i="7" s="1"/>
  <c r="O51" i="21"/>
  <c r="P60" i="21" s="1"/>
  <c r="Q69" i="21" s="1"/>
  <c r="R78" i="21" s="1"/>
  <c r="S87" i="21" s="1"/>
  <c r="T96" i="21" s="1"/>
  <c r="U105" i="21" s="1"/>
  <c r="M50" i="21"/>
  <c r="N59" i="21" s="1"/>
  <c r="O68" i="21" s="1"/>
  <c r="P77" i="21" s="1"/>
  <c r="Q86" i="21" s="1"/>
  <c r="R95" i="21" s="1"/>
  <c r="S104" i="21" s="1"/>
  <c r="T113" i="21" s="1"/>
  <c r="U122" i="21" s="1"/>
  <c r="J35" i="21"/>
  <c r="K57" i="21"/>
  <c r="J53" i="21"/>
  <c r="N47" i="21"/>
  <c r="K48" i="21"/>
  <c r="J44" i="21"/>
  <c r="J26" i="21"/>
  <c r="M56" i="21"/>
  <c r="N65" i="21" s="1"/>
  <c r="J17" i="21"/>
  <c r="M47" i="21"/>
  <c r="M168" i="21" l="1"/>
  <c r="M169" i="21"/>
  <c r="K167" i="21"/>
  <c r="N50" i="21"/>
  <c r="O59" i="21" s="1"/>
  <c r="P68" i="21" s="1"/>
  <c r="Q77" i="21" s="1"/>
  <c r="R86" i="21" s="1"/>
  <c r="S95" i="21" s="1"/>
  <c r="T104" i="21" s="1"/>
  <c r="U113" i="21" s="1"/>
  <c r="J176" i="21"/>
  <c r="K84" i="21"/>
  <c r="K165" i="21" s="1"/>
  <c r="J80" i="21"/>
  <c r="J178" i="21" s="1"/>
  <c r="S146" i="7" s="1"/>
  <c r="O74" i="21"/>
  <c r="J177" i="21"/>
  <c r="S145" i="7" s="1"/>
  <c r="K62" i="21"/>
  <c r="L66" i="21"/>
  <c r="O83" i="21"/>
  <c r="O101" i="21"/>
  <c r="O92" i="21"/>
  <c r="L84" i="21"/>
  <c r="K80" i="21"/>
  <c r="O110" i="21"/>
  <c r="J165" i="21"/>
  <c r="J170" i="21" s="1"/>
  <c r="L75" i="21"/>
  <c r="K71" i="21"/>
  <c r="N166" i="21"/>
  <c r="R144" i="7"/>
  <c r="M164" i="21"/>
  <c r="J175" i="21"/>
  <c r="S143" i="7" s="1"/>
  <c r="P52" i="21"/>
  <c r="Q61" i="21" s="1"/>
  <c r="R70" i="21" s="1"/>
  <c r="S79" i="21" s="1"/>
  <c r="T88" i="21" s="1"/>
  <c r="U97" i="21" s="1"/>
  <c r="Q49" i="21"/>
  <c r="R58" i="21" s="1"/>
  <c r="S67" i="21" s="1"/>
  <c r="T76" i="21" s="1"/>
  <c r="U85" i="21" s="1"/>
  <c r="K26" i="21"/>
  <c r="L48" i="21"/>
  <c r="K44" i="21"/>
  <c r="O56" i="21"/>
  <c r="P65" i="21" s="1"/>
  <c r="N56" i="21"/>
  <c r="O65" i="21" s="1"/>
  <c r="P51" i="21"/>
  <c r="L57" i="21"/>
  <c r="K53" i="21"/>
  <c r="K17" i="21"/>
  <c r="K35" i="21"/>
  <c r="K170" i="21" l="1"/>
  <c r="N169" i="21"/>
  <c r="Q52" i="21"/>
  <c r="R61" i="21" s="1"/>
  <c r="S70" i="21" s="1"/>
  <c r="T79" i="21" s="1"/>
  <c r="U88" i="21" s="1"/>
  <c r="N168" i="21"/>
  <c r="Q51" i="21"/>
  <c r="R60" i="21" s="1"/>
  <c r="S69" i="21" s="1"/>
  <c r="T78" i="21" s="1"/>
  <c r="U87" i="21" s="1"/>
  <c r="O166" i="21"/>
  <c r="R49" i="21"/>
  <c r="S58" i="21" s="1"/>
  <c r="T67" i="21" s="1"/>
  <c r="U76" i="21" s="1"/>
  <c r="K177" i="21"/>
  <c r="T145" i="7" s="1"/>
  <c r="L62" i="21"/>
  <c r="M66" i="21"/>
  <c r="L93" i="21"/>
  <c r="K89" i="21"/>
  <c r="K179" i="21" s="1"/>
  <c r="T147" i="7" s="1"/>
  <c r="P119" i="21"/>
  <c r="P92" i="21"/>
  <c r="K178" i="21"/>
  <c r="T146" i="7" s="1"/>
  <c r="M75" i="21"/>
  <c r="L71" i="21"/>
  <c r="P74" i="21"/>
  <c r="M93" i="21"/>
  <c r="L89" i="21"/>
  <c r="Q74" i="21"/>
  <c r="P101" i="21"/>
  <c r="M84" i="21"/>
  <c r="L80" i="21"/>
  <c r="P83" i="21"/>
  <c r="P110" i="21"/>
  <c r="K176" i="21"/>
  <c r="S144" i="7"/>
  <c r="L165" i="21"/>
  <c r="N164" i="21"/>
  <c r="L167" i="21"/>
  <c r="K175" i="21"/>
  <c r="T143" i="7" s="1"/>
  <c r="O50" i="21"/>
  <c r="P59" i="21" s="1"/>
  <c r="Q68" i="21" s="1"/>
  <c r="R77" i="21" s="1"/>
  <c r="S86" i="21" s="1"/>
  <c r="T95" i="21" s="1"/>
  <c r="U104" i="21" s="1"/>
  <c r="P47" i="21"/>
  <c r="Q56" i="21" s="1"/>
  <c r="R65" i="21" s="1"/>
  <c r="M57" i="21"/>
  <c r="L53" i="21"/>
  <c r="O47" i="21"/>
  <c r="L35" i="21"/>
  <c r="L17" i="21"/>
  <c r="M48" i="21"/>
  <c r="L44" i="21"/>
  <c r="Q60" i="21"/>
  <c r="R69" i="21" s="1"/>
  <c r="S78" i="21" s="1"/>
  <c r="T87" i="21" s="1"/>
  <c r="U96" i="21" s="1"/>
  <c r="L26" i="21"/>
  <c r="P166" i="21" l="1"/>
  <c r="O168" i="21"/>
  <c r="R51" i="21"/>
  <c r="S60" i="21" s="1"/>
  <c r="T69" i="21" s="1"/>
  <c r="U78" i="21" s="1"/>
  <c r="O169" i="21"/>
  <c r="R52" i="21"/>
  <c r="S61" i="21" s="1"/>
  <c r="T70" i="21" s="1"/>
  <c r="U79" i="21" s="1"/>
  <c r="M167" i="21"/>
  <c r="P50" i="21"/>
  <c r="Q59" i="21" s="1"/>
  <c r="R68" i="21" s="1"/>
  <c r="S77" i="21" s="1"/>
  <c r="T86" i="21" s="1"/>
  <c r="U95" i="21" s="1"/>
  <c r="Q92" i="21"/>
  <c r="N102" i="21"/>
  <c r="M98" i="21"/>
  <c r="M62" i="21"/>
  <c r="N66" i="21"/>
  <c r="S74" i="21"/>
  <c r="L178" i="21"/>
  <c r="U146" i="7" s="1"/>
  <c r="Q128" i="21"/>
  <c r="Q101" i="21"/>
  <c r="L176" i="21"/>
  <c r="N93" i="21"/>
  <c r="M89" i="21"/>
  <c r="Q83" i="21"/>
  <c r="Q119" i="21"/>
  <c r="R83" i="21"/>
  <c r="M102" i="21"/>
  <c r="M165" i="21" s="1"/>
  <c r="L98" i="21"/>
  <c r="L179" i="21" s="1"/>
  <c r="U147" i="7" s="1"/>
  <c r="L177" i="21"/>
  <c r="U145" i="7" s="1"/>
  <c r="Q110" i="21"/>
  <c r="N84" i="21"/>
  <c r="M80" i="21"/>
  <c r="N75" i="21"/>
  <c r="M71" i="21"/>
  <c r="T144" i="7"/>
  <c r="L170" i="21"/>
  <c r="O164" i="21"/>
  <c r="L175" i="21"/>
  <c r="U143" i="7" s="1"/>
  <c r="S49" i="21"/>
  <c r="T58" i="21" s="1"/>
  <c r="U67" i="21" s="1"/>
  <c r="M17" i="21"/>
  <c r="N57" i="21"/>
  <c r="M53" i="21"/>
  <c r="M26" i="21"/>
  <c r="J17" i="20"/>
  <c r="N48" i="21"/>
  <c r="M44" i="21"/>
  <c r="M35" i="21"/>
  <c r="P56" i="21"/>
  <c r="Q65" i="21" s="1"/>
  <c r="M170" i="21" l="1"/>
  <c r="P168" i="21"/>
  <c r="N167" i="21"/>
  <c r="Q50" i="21"/>
  <c r="R59" i="21" s="1"/>
  <c r="S68" i="21" s="1"/>
  <c r="T77" i="21" s="1"/>
  <c r="U86" i="21" s="1"/>
  <c r="M177" i="21"/>
  <c r="V145" i="7" s="1"/>
  <c r="O75" i="21"/>
  <c r="N71" i="21"/>
  <c r="M178" i="21"/>
  <c r="V146" i="7" s="1"/>
  <c r="S92" i="21"/>
  <c r="O93" i="21"/>
  <c r="N89" i="21"/>
  <c r="R110" i="21"/>
  <c r="M179" i="21"/>
  <c r="V147" i="7" s="1"/>
  <c r="R128" i="21"/>
  <c r="O111" i="21"/>
  <c r="N107" i="21"/>
  <c r="N111" i="21"/>
  <c r="N165" i="21" s="1"/>
  <c r="M107" i="21"/>
  <c r="M180" i="21" s="1"/>
  <c r="V148" i="7" s="1"/>
  <c r="T83" i="21"/>
  <c r="N62" i="21"/>
  <c r="O66" i="21"/>
  <c r="O84" i="21"/>
  <c r="N80" i="21"/>
  <c r="R74" i="21"/>
  <c r="R119" i="21"/>
  <c r="R137" i="21"/>
  <c r="O102" i="21"/>
  <c r="N98" i="21"/>
  <c r="R92" i="21"/>
  <c r="R101" i="21"/>
  <c r="M176" i="21"/>
  <c r="Q166" i="21"/>
  <c r="U144" i="7"/>
  <c r="P169" i="21"/>
  <c r="P164" i="21"/>
  <c r="M175" i="21"/>
  <c r="V143" i="7" s="1"/>
  <c r="S51" i="21"/>
  <c r="T60" i="21" s="1"/>
  <c r="U69" i="21" s="1"/>
  <c r="S52" i="21"/>
  <c r="T61" i="21" s="1"/>
  <c r="U70" i="21" s="1"/>
  <c r="T49" i="21"/>
  <c r="U58" i="21" s="1"/>
  <c r="N35" i="21"/>
  <c r="N26" i="21"/>
  <c r="N17" i="21"/>
  <c r="O48" i="21"/>
  <c r="N44" i="21"/>
  <c r="O57" i="21"/>
  <c r="N53" i="21"/>
  <c r="K26" i="20"/>
  <c r="Q47" i="21"/>
  <c r="K17" i="20"/>
  <c r="N178" i="21" l="1"/>
  <c r="W146" i="7" s="1"/>
  <c r="N170" i="21"/>
  <c r="R166" i="21"/>
  <c r="Q169" i="21"/>
  <c r="T52" i="21"/>
  <c r="U61" i="21" s="1"/>
  <c r="N177" i="21"/>
  <c r="W145" i="7" s="1"/>
  <c r="N179" i="21"/>
  <c r="W147" i="7" s="1"/>
  <c r="S83" i="21"/>
  <c r="S119" i="21"/>
  <c r="S101" i="21"/>
  <c r="O120" i="21"/>
  <c r="O165" i="21" s="1"/>
  <c r="N116" i="21"/>
  <c r="N180" i="21" s="1"/>
  <c r="W148" i="7" s="1"/>
  <c r="P102" i="21"/>
  <c r="O98" i="21"/>
  <c r="O62" i="21"/>
  <c r="P66" i="21"/>
  <c r="P111" i="21"/>
  <c r="O107" i="21"/>
  <c r="P93" i="21"/>
  <c r="O89" i="21"/>
  <c r="P120" i="21"/>
  <c r="O116" i="21"/>
  <c r="T101" i="21"/>
  <c r="S146" i="21"/>
  <c r="P75" i="21"/>
  <c r="O71" i="21"/>
  <c r="S137" i="21"/>
  <c r="S110" i="21"/>
  <c r="S128" i="21"/>
  <c r="U92" i="21"/>
  <c r="P84" i="21"/>
  <c r="O80" i="21"/>
  <c r="N176" i="21"/>
  <c r="V144" i="7"/>
  <c r="O167" i="21"/>
  <c r="Q168" i="21"/>
  <c r="Q164" i="21"/>
  <c r="K175" i="20"/>
  <c r="N175" i="21"/>
  <c r="W143" i="7" s="1"/>
  <c r="R50" i="21"/>
  <c r="S59" i="21" s="1"/>
  <c r="T68" i="21" s="1"/>
  <c r="U77" i="21" s="1"/>
  <c r="T51" i="21"/>
  <c r="U60" i="21" s="1"/>
  <c r="U49" i="21"/>
  <c r="L17" i="20"/>
  <c r="L35" i="20"/>
  <c r="P57" i="21"/>
  <c r="O53" i="21"/>
  <c r="R47" i="21"/>
  <c r="O35" i="21"/>
  <c r="O26" i="21"/>
  <c r="O17" i="21"/>
  <c r="R56" i="21"/>
  <c r="S65" i="21" s="1"/>
  <c r="L26" i="20"/>
  <c r="P48" i="21"/>
  <c r="O44" i="21"/>
  <c r="P167" i="21" l="1"/>
  <c r="S50" i="21"/>
  <c r="T59" i="21" s="1"/>
  <c r="U68" i="21" s="1"/>
  <c r="O177" i="21"/>
  <c r="X145" i="7" s="1"/>
  <c r="O180" i="21"/>
  <c r="X148" i="7" s="1"/>
  <c r="Q84" i="21"/>
  <c r="P80" i="21"/>
  <c r="Q102" i="21"/>
  <c r="P98" i="21"/>
  <c r="P129" i="21"/>
  <c r="O125" i="21"/>
  <c r="O181" i="21" s="1"/>
  <c r="X149" i="7" s="1"/>
  <c r="T74" i="21"/>
  <c r="P62" i="21"/>
  <c r="Q66" i="21"/>
  <c r="T137" i="21"/>
  <c r="T155" i="21"/>
  <c r="Q120" i="21"/>
  <c r="P116" i="21"/>
  <c r="T110" i="21"/>
  <c r="Q75" i="21"/>
  <c r="P71" i="21"/>
  <c r="T119" i="21"/>
  <c r="U110" i="21"/>
  <c r="T128" i="21"/>
  <c r="O178" i="21"/>
  <c r="X146" i="7" s="1"/>
  <c r="O179" i="21"/>
  <c r="X147" i="7" s="1"/>
  <c r="T92" i="21"/>
  <c r="Q93" i="21"/>
  <c r="P89" i="21"/>
  <c r="T146" i="21"/>
  <c r="Q129" i="21"/>
  <c r="P125" i="21"/>
  <c r="Q111" i="21"/>
  <c r="P107" i="21"/>
  <c r="O176" i="21"/>
  <c r="O170" i="21"/>
  <c r="S166" i="21"/>
  <c r="R168" i="21"/>
  <c r="W144" i="7"/>
  <c r="R164" i="21"/>
  <c r="R169" i="21"/>
  <c r="P165" i="21"/>
  <c r="O175" i="21"/>
  <c r="X143" i="7" s="1"/>
  <c r="L175" i="20"/>
  <c r="U51" i="21"/>
  <c r="M44" i="20"/>
  <c r="S169" i="21"/>
  <c r="Q48" i="21"/>
  <c r="P44" i="21"/>
  <c r="M26" i="20"/>
  <c r="S56" i="21"/>
  <c r="T65" i="21" s="1"/>
  <c r="P26" i="21"/>
  <c r="M17" i="20"/>
  <c r="P35" i="21"/>
  <c r="S47" i="21"/>
  <c r="M35" i="20"/>
  <c r="P17" i="21"/>
  <c r="Q57" i="21"/>
  <c r="P53" i="21"/>
  <c r="P170" i="21" l="1"/>
  <c r="P177" i="21"/>
  <c r="Y145" i="7" s="1"/>
  <c r="P180" i="21"/>
  <c r="Y148" i="7" s="1"/>
  <c r="R120" i="21"/>
  <c r="Q116" i="21"/>
  <c r="U128" i="21"/>
  <c r="Q62" i="21"/>
  <c r="R66" i="21"/>
  <c r="R102" i="21"/>
  <c r="Q98" i="21"/>
  <c r="R129" i="21"/>
  <c r="Q125" i="21"/>
  <c r="U74" i="21"/>
  <c r="U101" i="21"/>
  <c r="Q138" i="21"/>
  <c r="P134" i="21"/>
  <c r="P181" i="21" s="1"/>
  <c r="Y149" i="7" s="1"/>
  <c r="R138" i="21"/>
  <c r="Q134" i="21"/>
  <c r="R84" i="21"/>
  <c r="Q80" i="21"/>
  <c r="U146" i="21"/>
  <c r="R111" i="21"/>
  <c r="Q107" i="21"/>
  <c r="R75" i="21"/>
  <c r="Q71" i="21"/>
  <c r="P178" i="21"/>
  <c r="Y146" i="7" s="1"/>
  <c r="U155" i="21"/>
  <c r="U137" i="21"/>
  <c r="U119" i="21"/>
  <c r="R93" i="21"/>
  <c r="Q89" i="21"/>
  <c r="P179" i="21"/>
  <c r="Y147" i="7" s="1"/>
  <c r="U83" i="21"/>
  <c r="P176" i="21"/>
  <c r="M176" i="20"/>
  <c r="X144" i="7"/>
  <c r="T166" i="21"/>
  <c r="S164" i="21"/>
  <c r="Q165" i="21"/>
  <c r="Q167" i="21"/>
  <c r="S168" i="21"/>
  <c r="P175" i="21"/>
  <c r="Y143" i="7" s="1"/>
  <c r="M175" i="20"/>
  <c r="T50" i="21"/>
  <c r="U59" i="21" s="1"/>
  <c r="N17" i="20"/>
  <c r="R57" i="21"/>
  <c r="Q53" i="21"/>
  <c r="N26" i="20"/>
  <c r="Q26" i="21"/>
  <c r="N44" i="20"/>
  <c r="R48" i="21"/>
  <c r="Q44" i="21"/>
  <c r="T168" i="21"/>
  <c r="Q17" i="21"/>
  <c r="N53" i="20"/>
  <c r="T56" i="21"/>
  <c r="U65" i="21" s="1"/>
  <c r="Q35" i="21"/>
  <c r="N35" i="20"/>
  <c r="T47" i="21"/>
  <c r="Q176" i="21" l="1"/>
  <c r="Q177" i="21"/>
  <c r="Z145" i="7" s="1"/>
  <c r="Q179" i="21"/>
  <c r="Z147" i="7" s="1"/>
  <c r="S75" i="21"/>
  <c r="R71" i="21"/>
  <c r="Q178" i="21"/>
  <c r="Z146" i="7" s="1"/>
  <c r="R147" i="21"/>
  <c r="Q143" i="21"/>
  <c r="Q182" i="21" s="1"/>
  <c r="Z150" i="7" s="1"/>
  <c r="S93" i="21"/>
  <c r="R89" i="21"/>
  <c r="S120" i="21"/>
  <c r="R116" i="21"/>
  <c r="S111" i="21"/>
  <c r="R107" i="21"/>
  <c r="R62" i="21"/>
  <c r="S66" i="21"/>
  <c r="S102" i="21"/>
  <c r="R98" i="21"/>
  <c r="Q181" i="21"/>
  <c r="Z149" i="7" s="1"/>
  <c r="Q180" i="21"/>
  <c r="Z148" i="7" s="1"/>
  <c r="S84" i="21"/>
  <c r="R80" i="21"/>
  <c r="S147" i="21"/>
  <c r="R143" i="21"/>
  <c r="S138" i="21"/>
  <c r="R134" i="21"/>
  <c r="S129" i="21"/>
  <c r="R125" i="21"/>
  <c r="Y144" i="7"/>
  <c r="Q170" i="21"/>
  <c r="R165" i="21"/>
  <c r="R167" i="21"/>
  <c r="U166" i="21"/>
  <c r="Q175" i="21"/>
  <c r="Z143" i="7" s="1"/>
  <c r="N176" i="20"/>
  <c r="N175" i="20"/>
  <c r="U50" i="21"/>
  <c r="U168" i="21"/>
  <c r="O53" i="20"/>
  <c r="O26" i="20"/>
  <c r="R17" i="21"/>
  <c r="U52" i="21"/>
  <c r="U169" i="21" s="1"/>
  <c r="R35" i="21"/>
  <c r="O44" i="20"/>
  <c r="S48" i="21"/>
  <c r="R44" i="21"/>
  <c r="U47" i="21"/>
  <c r="O62" i="20"/>
  <c r="O35" i="20"/>
  <c r="O17" i="20"/>
  <c r="U56" i="21"/>
  <c r="R26" i="21"/>
  <c r="S57" i="21"/>
  <c r="R53" i="21"/>
  <c r="R177" i="21" l="1"/>
  <c r="AA145" i="7" s="1"/>
  <c r="R178" i="21"/>
  <c r="AA146" i="7" s="1"/>
  <c r="R180" i="21"/>
  <c r="AA148" i="7" s="1"/>
  <c r="R179" i="21"/>
  <c r="AA147" i="7" s="1"/>
  <c r="T147" i="21"/>
  <c r="S143" i="21"/>
  <c r="T111" i="21"/>
  <c r="S107" i="21"/>
  <c r="T156" i="21"/>
  <c r="T161" i="21" s="1"/>
  <c r="T183" i="21" s="1"/>
  <c r="AC151" i="7" s="1"/>
  <c r="S152" i="21"/>
  <c r="T75" i="21"/>
  <c r="S71" i="21"/>
  <c r="T102" i="21"/>
  <c r="S98" i="21"/>
  <c r="T93" i="21"/>
  <c r="S89" i="21"/>
  <c r="T84" i="21"/>
  <c r="S80" i="21"/>
  <c r="T129" i="21"/>
  <c r="S125" i="21"/>
  <c r="S62" i="21"/>
  <c r="T66" i="21"/>
  <c r="R181" i="21"/>
  <c r="AA149" i="7" s="1"/>
  <c r="T120" i="21"/>
  <c r="S116" i="21"/>
  <c r="T138" i="21"/>
  <c r="S134" i="21"/>
  <c r="S156" i="21"/>
  <c r="S161" i="21" s="1"/>
  <c r="S183" i="21" s="1"/>
  <c r="AB151" i="7" s="1"/>
  <c r="R152" i="21"/>
  <c r="R182" i="21" s="1"/>
  <c r="AA150" i="7" s="1"/>
  <c r="R176" i="21"/>
  <c r="S165" i="21"/>
  <c r="Z144" i="7"/>
  <c r="R170" i="21"/>
  <c r="S167" i="21"/>
  <c r="O177" i="20"/>
  <c r="O175" i="20"/>
  <c r="O176" i="20"/>
  <c r="R175" i="21"/>
  <c r="AA143" i="7" s="1"/>
  <c r="P17" i="20"/>
  <c r="P26" i="20"/>
  <c r="P44" i="20"/>
  <c r="T48" i="21"/>
  <c r="S44" i="21"/>
  <c r="S26" i="21"/>
  <c r="T57" i="21"/>
  <c r="S53" i="21"/>
  <c r="P62" i="20"/>
  <c r="P35" i="20"/>
  <c r="S17" i="21"/>
  <c r="S35" i="21"/>
  <c r="P71" i="20"/>
  <c r="P53" i="20"/>
  <c r="S177" i="21" l="1"/>
  <c r="AB145" i="7" s="1"/>
  <c r="T167" i="21"/>
  <c r="S180" i="21"/>
  <c r="AB148" i="7" s="1"/>
  <c r="S179" i="21"/>
  <c r="AB147" i="7" s="1"/>
  <c r="S181" i="21"/>
  <c r="AB149" i="7" s="1"/>
  <c r="U138" i="21"/>
  <c r="U143" i="21" s="1"/>
  <c r="T134" i="21"/>
  <c r="U84" i="21"/>
  <c r="U89" i="21" s="1"/>
  <c r="T80" i="21"/>
  <c r="S178" i="21"/>
  <c r="AB146" i="7" s="1"/>
  <c r="U93" i="21"/>
  <c r="U98" i="21" s="1"/>
  <c r="T89" i="21"/>
  <c r="U129" i="21"/>
  <c r="U134" i="21" s="1"/>
  <c r="T125" i="21"/>
  <c r="U102" i="21"/>
  <c r="U107" i="21" s="1"/>
  <c r="T98" i="21"/>
  <c r="U120" i="21"/>
  <c r="U125" i="21" s="1"/>
  <c r="T116" i="21"/>
  <c r="U75" i="21"/>
  <c r="U80" i="21" s="1"/>
  <c r="T71" i="21"/>
  <c r="S182" i="21"/>
  <c r="AB150" i="7" s="1"/>
  <c r="U147" i="21"/>
  <c r="U152" i="21" s="1"/>
  <c r="T143" i="21"/>
  <c r="T62" i="21"/>
  <c r="U66" i="21"/>
  <c r="U71" i="21" s="1"/>
  <c r="U111" i="21"/>
  <c r="U116" i="21" s="1"/>
  <c r="T107" i="21"/>
  <c r="U156" i="21"/>
  <c r="U161" i="21" s="1"/>
  <c r="U183" i="21" s="1"/>
  <c r="T152" i="21"/>
  <c r="S170" i="21"/>
  <c r="S176" i="21"/>
  <c r="AA144" i="7"/>
  <c r="T164" i="21"/>
  <c r="T165" i="21"/>
  <c r="T169" i="21"/>
  <c r="P177" i="20"/>
  <c r="S175" i="21"/>
  <c r="AB143" i="7" s="1"/>
  <c r="P176" i="20"/>
  <c r="P175" i="20"/>
  <c r="T17" i="21"/>
  <c r="Q44" i="20"/>
  <c r="Q17" i="20"/>
  <c r="Q53" i="20"/>
  <c r="Q35" i="20"/>
  <c r="U48" i="21"/>
  <c r="T44" i="21"/>
  <c r="T35" i="21"/>
  <c r="Q62" i="20"/>
  <c r="T26" i="21"/>
  <c r="Q80" i="20"/>
  <c r="Q71" i="20"/>
  <c r="U57" i="21"/>
  <c r="U62" i="21" s="1"/>
  <c r="T53" i="21"/>
  <c r="Q26" i="20"/>
  <c r="T176" i="21" l="1"/>
  <c r="U182" i="21"/>
  <c r="T177" i="21"/>
  <c r="AC145" i="7" s="1"/>
  <c r="U180" i="21"/>
  <c r="U178" i="21"/>
  <c r="T182" i="21"/>
  <c r="AC150" i="7" s="1"/>
  <c r="T179" i="21"/>
  <c r="AC147" i="7" s="1"/>
  <c r="T180" i="21"/>
  <c r="AC148" i="7" s="1"/>
  <c r="T178" i="21"/>
  <c r="AC146" i="7" s="1"/>
  <c r="U179" i="21"/>
  <c r="T181" i="21"/>
  <c r="AC149" i="7" s="1"/>
  <c r="U181" i="21"/>
  <c r="U167" i="21"/>
  <c r="AB144" i="7"/>
  <c r="U165" i="21"/>
  <c r="U164" i="21"/>
  <c r="T170" i="21"/>
  <c r="Q176" i="20"/>
  <c r="Q177" i="20"/>
  <c r="Q175" i="20"/>
  <c r="Q178" i="20"/>
  <c r="T175" i="21"/>
  <c r="AC143" i="7" s="1"/>
  <c r="U35" i="21"/>
  <c r="U44" i="21"/>
  <c r="U26" i="21"/>
  <c r="U53" i="21"/>
  <c r="U177" i="21" s="1"/>
  <c r="D17" i="20"/>
  <c r="R35" i="20"/>
  <c r="R80" i="20"/>
  <c r="U17" i="21"/>
  <c r="R89" i="20"/>
  <c r="R71" i="20"/>
  <c r="C26" i="20"/>
  <c r="C175" i="20" s="1"/>
  <c r="R26" i="20"/>
  <c r="R53" i="20"/>
  <c r="D26" i="20"/>
  <c r="R17" i="20"/>
  <c r="R44" i="20"/>
  <c r="R62" i="20"/>
  <c r="C171" i="20" l="1"/>
  <c r="U176" i="21"/>
  <c r="V8" i="9" a="1"/>
  <c r="V8" i="9" s="1"/>
  <c r="AC144" i="7"/>
  <c r="U170" i="21"/>
  <c r="R176" i="20"/>
  <c r="R177" i="20"/>
  <c r="D175" i="20"/>
  <c r="R178" i="20"/>
  <c r="R175" i="20"/>
  <c r="U175" i="21"/>
  <c r="T89" i="20"/>
  <c r="S80" i="20"/>
  <c r="T80" i="20"/>
  <c r="S71" i="20"/>
  <c r="T71" i="20"/>
  <c r="S62" i="20"/>
  <c r="E17" i="20"/>
  <c r="T98" i="20"/>
  <c r="S89" i="20"/>
  <c r="T107" i="20"/>
  <c r="S98" i="20"/>
  <c r="T44" i="20"/>
  <c r="S35" i="20"/>
  <c r="T26" i="20"/>
  <c r="S17" i="20"/>
  <c r="T62" i="20"/>
  <c r="S53" i="20"/>
  <c r="T53" i="20"/>
  <c r="S44" i="20"/>
  <c r="D35" i="20"/>
  <c r="E26" i="20"/>
  <c r="T35" i="20"/>
  <c r="S26" i="20"/>
  <c r="E35" i="20"/>
  <c r="G53" i="7" l="1"/>
  <c r="T177" i="20"/>
  <c r="S176" i="20"/>
  <c r="T178" i="20"/>
  <c r="S178" i="20"/>
  <c r="T176" i="20"/>
  <c r="S177" i="20"/>
  <c r="S179" i="20"/>
  <c r="T179" i="20"/>
  <c r="D176" i="20"/>
  <c r="S175" i="20"/>
  <c r="E175" i="20"/>
  <c r="F17" i="20"/>
  <c r="F44" i="20"/>
  <c r="F35" i="20"/>
  <c r="T17" i="20"/>
  <c r="E44" i="20"/>
  <c r="E171" i="20" s="1"/>
  <c r="F26" i="20"/>
  <c r="Z65" i="9" l="1"/>
  <c r="T175" i="20"/>
  <c r="F175" i="20"/>
  <c r="E176" i="20"/>
  <c r="F176" i="20"/>
  <c r="G26" i="20"/>
  <c r="G35" i="20"/>
  <c r="G17" i="20"/>
  <c r="F53" i="20"/>
  <c r="F171" i="20" s="1"/>
  <c r="G44" i="20"/>
  <c r="G53" i="20"/>
  <c r="W94" i="9" l="1"/>
  <c r="AG17" i="9"/>
  <c r="AH17" i="9" s="1"/>
  <c r="Y94" i="9"/>
  <c r="Y111" i="9"/>
  <c r="G41" i="7"/>
  <c r="I41" i="7" s="1"/>
  <c r="J41" i="7" s="1"/>
  <c r="Y110" i="9"/>
  <c r="Y38" i="9"/>
  <c r="AG22" i="9"/>
  <c r="AH22" i="9" s="1"/>
  <c r="Y97" i="9"/>
  <c r="AG10" i="9"/>
  <c r="AH10" i="9" s="1"/>
  <c r="G43" i="7"/>
  <c r="I43" i="7" s="1"/>
  <c r="J43" i="7" s="1"/>
  <c r="W104" i="9"/>
  <c r="Y77" i="9"/>
  <c r="Y66" i="9"/>
  <c r="AG14" i="9"/>
  <c r="AH14" i="9" s="1"/>
  <c r="Y98" i="9"/>
  <c r="W68" i="9"/>
  <c r="AL9" i="9"/>
  <c r="AN9" i="9" s="1"/>
  <c r="AO9" i="9" s="1"/>
  <c r="Y68" i="9"/>
  <c r="W66" i="9"/>
  <c r="Y95" i="9"/>
  <c r="Y50" i="9"/>
  <c r="Y67" i="9"/>
  <c r="V50" i="9"/>
  <c r="AG9" i="9"/>
  <c r="AH9" i="9" s="1"/>
  <c r="AL22" i="9"/>
  <c r="AN22" i="9" s="1"/>
  <c r="AO22" i="9" s="1"/>
  <c r="AL17" i="9"/>
  <c r="AN17" i="9" s="1"/>
  <c r="AO17" i="9" s="1"/>
  <c r="AG13" i="9"/>
  <c r="AH13" i="9" s="1"/>
  <c r="Y41" i="9"/>
  <c r="AG11" i="9"/>
  <c r="AH11" i="9" s="1"/>
  <c r="Y79" i="9"/>
  <c r="AL19" i="9"/>
  <c r="AN19" i="9" s="1"/>
  <c r="AO19" i="9" s="1"/>
  <c r="Y105" i="9"/>
  <c r="Y70" i="9"/>
  <c r="Y83" i="9"/>
  <c r="AL18" i="9"/>
  <c r="AN18" i="9" s="1"/>
  <c r="AO18" i="9" s="1"/>
  <c r="Z38" i="9"/>
  <c r="V46" i="9"/>
  <c r="Y71" i="9"/>
  <c r="AG23" i="9"/>
  <c r="AH23" i="9" s="1"/>
  <c r="Y54" i="9"/>
  <c r="G49" i="7"/>
  <c r="I49" i="7" s="1"/>
  <c r="J49" i="7" s="1"/>
  <c r="Y48" i="9"/>
  <c r="AG12" i="9"/>
  <c r="AH12" i="9" s="1"/>
  <c r="Y45" i="9"/>
  <c r="AG16" i="9"/>
  <c r="AH16" i="9" s="1"/>
  <c r="W80" i="9"/>
  <c r="W70" i="9"/>
  <c r="AA44" i="9"/>
  <c r="Y46" i="9"/>
  <c r="AG27" i="9"/>
  <c r="AH27" i="9" s="1"/>
  <c r="AK27" i="9" s="1"/>
  <c r="Y96" i="9"/>
  <c r="AL25" i="9"/>
  <c r="AN25" i="9" s="1"/>
  <c r="AO25" i="9" s="1"/>
  <c r="Y76" i="9"/>
  <c r="Y51" i="9"/>
  <c r="AG15" i="9"/>
  <c r="AH15" i="9" s="1"/>
  <c r="Y107" i="9"/>
  <c r="G44" i="7"/>
  <c r="I44" i="7" s="1"/>
  <c r="J44" i="7" s="1"/>
  <c r="W102" i="9"/>
  <c r="W44" i="9"/>
  <c r="AA100" i="9"/>
  <c r="Y53" i="9"/>
  <c r="Z56" i="9"/>
  <c r="G48" i="7"/>
  <c r="I48" i="7" s="1"/>
  <c r="J48" i="7" s="1"/>
  <c r="Y104" i="9"/>
  <c r="AG18" i="9"/>
  <c r="AH18" i="9" s="1"/>
  <c r="AL16" i="9"/>
  <c r="AN16" i="9" s="1"/>
  <c r="AO16" i="9" s="1"/>
  <c r="Y44" i="9"/>
  <c r="G38" i="7"/>
  <c r="I38" i="7" s="1"/>
  <c r="J38" i="7" s="1"/>
  <c r="Y56" i="9"/>
  <c r="AG24" i="9"/>
  <c r="AH24" i="9" s="1"/>
  <c r="W46" i="9"/>
  <c r="W67" i="9"/>
  <c r="AA70" i="9"/>
  <c r="Y103" i="9"/>
  <c r="Y52" i="9"/>
  <c r="Y39" i="9"/>
  <c r="Y42" i="9"/>
  <c r="AL12" i="9"/>
  <c r="AN12" i="9" s="1"/>
  <c r="AO12" i="9" s="1"/>
  <c r="Y81" i="9"/>
  <c r="G45" i="7"/>
  <c r="I45" i="7" s="1"/>
  <c r="J45" i="7" s="1"/>
  <c r="AL23" i="9"/>
  <c r="AN23" i="9" s="1"/>
  <c r="AO23" i="9" s="1"/>
  <c r="Y72" i="9"/>
  <c r="W103" i="9"/>
  <c r="W72" i="9"/>
  <c r="AA73" i="9"/>
  <c r="AL27" i="9"/>
  <c r="AN27" i="9" s="1"/>
  <c r="AO27" i="9" s="1"/>
  <c r="Y49" i="9"/>
  <c r="AL20" i="9"/>
  <c r="AN20" i="9" s="1"/>
  <c r="AO20" i="9" s="1"/>
  <c r="AL14" i="9"/>
  <c r="AN14" i="9" s="1"/>
  <c r="AO14" i="9" s="1"/>
  <c r="Y73" i="9"/>
  <c r="G47" i="7"/>
  <c r="I47" i="7" s="1"/>
  <c r="J47" i="7" s="1"/>
  <c r="Y106" i="9"/>
  <c r="AG20" i="9"/>
  <c r="AH20" i="9" s="1"/>
  <c r="AL15" i="9"/>
  <c r="AN15" i="9" s="1"/>
  <c r="AO15" i="9" s="1"/>
  <c r="I53" i="7"/>
  <c r="J53" i="7" s="1"/>
  <c r="W42" i="9"/>
  <c r="AA75" i="9"/>
  <c r="AL26" i="9"/>
  <c r="AN26" i="9" s="1"/>
  <c r="AO26" i="9" s="1"/>
  <c r="Y78" i="9"/>
  <c r="AG19" i="9"/>
  <c r="AH19" i="9" s="1"/>
  <c r="Y74" i="9"/>
  <c r="G51" i="7"/>
  <c r="I51" i="7" s="1"/>
  <c r="J51" i="7" s="1"/>
  <c r="AL10" i="9"/>
  <c r="AN10" i="9" s="1"/>
  <c r="AO10" i="9" s="1"/>
  <c r="W110" i="9"/>
  <c r="W40" i="9"/>
  <c r="Z66" i="9"/>
  <c r="W71" i="9"/>
  <c r="W47" i="9"/>
  <c r="W101" i="9"/>
  <c r="Z42" i="9"/>
  <c r="V101" i="9"/>
  <c r="AA49" i="9"/>
  <c r="Z54" i="9"/>
  <c r="Y101" i="9"/>
  <c r="AL24" i="9"/>
  <c r="AN24" i="9" s="1"/>
  <c r="AO24" i="9" s="1"/>
  <c r="AL11" i="9"/>
  <c r="AN11" i="9" s="1"/>
  <c r="AO11" i="9" s="1"/>
  <c r="W83" i="9"/>
  <c r="W43" i="9"/>
  <c r="W73" i="9"/>
  <c r="W81" i="9"/>
  <c r="W99" i="9"/>
  <c r="W75" i="9"/>
  <c r="Z83" i="9"/>
  <c r="AA110" i="9"/>
  <c r="V95" i="9"/>
  <c r="X100" i="9"/>
  <c r="G52" i="7"/>
  <c r="I52" i="7" s="1"/>
  <c r="J52" i="7" s="1"/>
  <c r="Y55" i="9"/>
  <c r="G39" i="7"/>
  <c r="I39" i="7" s="1"/>
  <c r="J39" i="7" s="1"/>
  <c r="Y109" i="9"/>
  <c r="Y80" i="9"/>
  <c r="G40" i="7"/>
  <c r="I40" i="7" s="1"/>
  <c r="J40" i="7" s="1"/>
  <c r="W77" i="9"/>
  <c r="G50" i="7"/>
  <c r="I50" i="7" s="1"/>
  <c r="J50" i="7" s="1"/>
  <c r="W97" i="9"/>
  <c r="W98" i="9"/>
  <c r="W107" i="9"/>
  <c r="V67" i="9"/>
  <c r="V55" i="9"/>
  <c r="AA41" i="9"/>
  <c r="AA98" i="9"/>
  <c r="X80" i="9"/>
  <c r="Y47" i="9"/>
  <c r="G46" i="7"/>
  <c r="I46" i="7" s="1"/>
  <c r="J46" i="7" s="1"/>
  <c r="Y100" i="9"/>
  <c r="W38" i="9"/>
  <c r="Y69" i="9"/>
  <c r="Y82" i="9"/>
  <c r="G42" i="7"/>
  <c r="I42" i="7" s="1"/>
  <c r="J42" i="7" s="1"/>
  <c r="W56" i="9"/>
  <c r="W54" i="9"/>
  <c r="W105" i="9"/>
  <c r="W106" i="9"/>
  <c r="W53" i="9"/>
  <c r="AA102" i="9"/>
  <c r="AA38" i="9"/>
  <c r="Z80" i="9"/>
  <c r="Z52" i="9"/>
  <c r="X111" i="9"/>
  <c r="Y99" i="9"/>
  <c r="AL21" i="9"/>
  <c r="AN21" i="9" s="1"/>
  <c r="AO21" i="9" s="1"/>
  <c r="Y108" i="9"/>
  <c r="AL13" i="9"/>
  <c r="AN13" i="9" s="1"/>
  <c r="AO13" i="9" s="1"/>
  <c r="AG21" i="9"/>
  <c r="AH21" i="9" s="1"/>
  <c r="Y102" i="9"/>
  <c r="V66" i="9"/>
  <c r="V94" i="9"/>
  <c r="W96" i="9"/>
  <c r="W79" i="9"/>
  <c r="W39" i="9"/>
  <c r="W100" i="9"/>
  <c r="Z81" i="9"/>
  <c r="AA74" i="9"/>
  <c r="AA68" i="9"/>
  <c r="Z105" i="9"/>
  <c r="AA108" i="9"/>
  <c r="Y75" i="9"/>
  <c r="AG25" i="9"/>
  <c r="AH25" i="9" s="1"/>
  <c r="G37" i="7"/>
  <c r="I37" i="7" s="1"/>
  <c r="J37" i="7" s="1"/>
  <c r="Y43" i="9"/>
  <c r="AG26" i="9"/>
  <c r="AH26" i="9" s="1"/>
  <c r="Y40" i="9"/>
  <c r="W82" i="9"/>
  <c r="W95" i="9"/>
  <c r="W49" i="9"/>
  <c r="AA94" i="9"/>
  <c r="AA66" i="9"/>
  <c r="V38" i="9"/>
  <c r="X94" i="9"/>
  <c r="Z101" i="9"/>
  <c r="Z44" i="9"/>
  <c r="Z51" i="9"/>
  <c r="W108" i="9"/>
  <c r="W109" i="9"/>
  <c r="AA39" i="9"/>
  <c r="AA82" i="9"/>
  <c r="V100" i="9"/>
  <c r="AA67" i="9"/>
  <c r="Z55" i="9"/>
  <c r="V109" i="9"/>
  <c r="AA51" i="9"/>
  <c r="V98" i="9"/>
  <c r="Z108" i="9"/>
  <c r="Z49" i="9"/>
  <c r="AA69" i="9"/>
  <c r="V96" i="9"/>
  <c r="AA71" i="9"/>
  <c r="AA42" i="9"/>
  <c r="X70" i="9"/>
  <c r="X44" i="9"/>
  <c r="V47" i="9"/>
  <c r="AA103" i="9"/>
  <c r="Z109" i="9"/>
  <c r="V108" i="9"/>
  <c r="AA48" i="9"/>
  <c r="Z45" i="9"/>
  <c r="V72" i="9"/>
  <c r="AA43" i="9"/>
  <c r="V106" i="9"/>
  <c r="V102" i="9"/>
  <c r="Z40" i="9"/>
  <c r="AA81" i="9"/>
  <c r="V39" i="9"/>
  <c r="V80" i="9"/>
  <c r="X45" i="9"/>
  <c r="X98" i="9"/>
  <c r="Z93" i="9"/>
  <c r="W52" i="9"/>
  <c r="W48" i="9"/>
  <c r="W50" i="9"/>
  <c r="W69" i="9"/>
  <c r="V99" i="9"/>
  <c r="AA53" i="9"/>
  <c r="Z100" i="9"/>
  <c r="V83" i="9"/>
  <c r="AA99" i="9"/>
  <c r="Z73" i="9"/>
  <c r="V77" i="9"/>
  <c r="Z94" i="9"/>
  <c r="V41" i="9"/>
  <c r="V110" i="9"/>
  <c r="Z43" i="9"/>
  <c r="AA95" i="9"/>
  <c r="V68" i="9"/>
  <c r="V76" i="9"/>
  <c r="X99" i="9"/>
  <c r="X71" i="9"/>
  <c r="Z37" i="9"/>
  <c r="W111" i="9"/>
  <c r="W51" i="9"/>
  <c r="W76" i="9"/>
  <c r="W41" i="9"/>
  <c r="W45" i="9"/>
  <c r="V107" i="9"/>
  <c r="AA54" i="9"/>
  <c r="Z39" i="9"/>
  <c r="V69" i="9"/>
  <c r="AA50" i="9"/>
  <c r="V78" i="9"/>
  <c r="V71" i="9"/>
  <c r="Z102" i="9"/>
  <c r="X66" i="9"/>
  <c r="V40" i="9"/>
  <c r="AA40" i="9"/>
  <c r="Z95" i="9"/>
  <c r="V51" i="9"/>
  <c r="V70" i="9"/>
  <c r="X72" i="9"/>
  <c r="X67" i="9"/>
  <c r="Y93" i="9"/>
  <c r="W78" i="9"/>
  <c r="V75" i="9"/>
  <c r="AA76" i="9"/>
  <c r="Z97" i="9"/>
  <c r="V52" i="9"/>
  <c r="Z70" i="9"/>
  <c r="Z72" i="9"/>
  <c r="AA106" i="9"/>
  <c r="Z74" i="9"/>
  <c r="AA47" i="9"/>
  <c r="V44" i="9"/>
  <c r="V73" i="9"/>
  <c r="Z68" i="9"/>
  <c r="AA79" i="9"/>
  <c r="X38" i="9"/>
  <c r="X55" i="9"/>
  <c r="X41" i="9"/>
  <c r="X37" i="9"/>
  <c r="W55" i="9"/>
  <c r="W74" i="9"/>
  <c r="AA97" i="9"/>
  <c r="V43" i="9"/>
  <c r="Z53" i="9"/>
  <c r="V45" i="9"/>
  <c r="AA111" i="9"/>
  <c r="Z110" i="9"/>
  <c r="V74" i="9"/>
  <c r="AA80" i="9"/>
  <c r="Z107" i="9"/>
  <c r="AA77" i="9"/>
  <c r="AA96" i="9"/>
  <c r="V42" i="9"/>
  <c r="Z41" i="9"/>
  <c r="Z106" i="9"/>
  <c r="Z98" i="9"/>
  <c r="X52" i="9"/>
  <c r="X49" i="9"/>
  <c r="V79" i="9"/>
  <c r="Z103" i="9"/>
  <c r="V103" i="9"/>
  <c r="AA46" i="9"/>
  <c r="AA55" i="9"/>
  <c r="Z96" i="9"/>
  <c r="Z77" i="9"/>
  <c r="AA56" i="9"/>
  <c r="Z79" i="9"/>
  <c r="X107" i="9"/>
  <c r="X108" i="9"/>
  <c r="X74" i="9"/>
  <c r="X46" i="9"/>
  <c r="X78" i="9"/>
  <c r="X81" i="9"/>
  <c r="AA37" i="9"/>
  <c r="AA65" i="9"/>
  <c r="Z82" i="9"/>
  <c r="V111" i="9"/>
  <c r="Z76" i="9"/>
  <c r="AA104" i="9"/>
  <c r="Z46" i="9"/>
  <c r="V53" i="9"/>
  <c r="AA105" i="9"/>
  <c r="Z69" i="9"/>
  <c r="X75" i="9"/>
  <c r="X83" i="9"/>
  <c r="X101" i="9"/>
  <c r="X82" i="9"/>
  <c r="X47" i="9"/>
  <c r="X73" i="9"/>
  <c r="X97" i="9"/>
  <c r="X65" i="9"/>
  <c r="X93" i="9"/>
  <c r="V54" i="9"/>
  <c r="AA109" i="9"/>
  <c r="V49" i="9"/>
  <c r="Z104" i="9"/>
  <c r="V81" i="9"/>
  <c r="AA107" i="9"/>
  <c r="Z71" i="9"/>
  <c r="V97" i="9"/>
  <c r="AA101" i="9"/>
  <c r="Z75" i="9"/>
  <c r="X50" i="9"/>
  <c r="X69" i="9"/>
  <c r="X109" i="9"/>
  <c r="X102" i="9"/>
  <c r="X79" i="9"/>
  <c r="X96" i="9"/>
  <c r="X105" i="9"/>
  <c r="AA93" i="9"/>
  <c r="Y37" i="9"/>
  <c r="Z111" i="9"/>
  <c r="V82" i="9"/>
  <c r="AA52" i="9"/>
  <c r="AA83" i="9"/>
  <c r="Z50" i="9"/>
  <c r="V105" i="9"/>
  <c r="AA78" i="9"/>
  <c r="Z67" i="9"/>
  <c r="X106" i="9"/>
  <c r="X42" i="9"/>
  <c r="X51" i="9"/>
  <c r="X110" i="9"/>
  <c r="X54" i="9"/>
  <c r="X104" i="9"/>
  <c r="X48" i="9"/>
  <c r="Y65" i="9"/>
  <c r="W93" i="9"/>
  <c r="Z78" i="9"/>
  <c r="V56" i="9"/>
  <c r="V104" i="9"/>
  <c r="AA45" i="9"/>
  <c r="Z47" i="9"/>
  <c r="V48" i="9"/>
  <c r="AA72" i="9"/>
  <c r="Z99" i="9"/>
  <c r="X43" i="9"/>
  <c r="Z48" i="9"/>
  <c r="X77" i="9"/>
  <c r="X40" i="9"/>
  <c r="X95" i="9"/>
  <c r="X39" i="9"/>
  <c r="X76" i="9"/>
  <c r="W37" i="9"/>
  <c r="AL8" i="9"/>
  <c r="AN8" i="9" s="1"/>
  <c r="AO8" i="9" s="1"/>
  <c r="X53" i="9"/>
  <c r="X56" i="9"/>
  <c r="X103" i="9"/>
  <c r="X68" i="9"/>
  <c r="W65" i="9"/>
  <c r="G175" i="20"/>
  <c r="F177" i="20"/>
  <c r="G176" i="20"/>
  <c r="G62" i="20"/>
  <c r="G171" i="20" s="1"/>
  <c r="H62" i="20"/>
  <c r="H53" i="20"/>
  <c r="H17" i="20"/>
  <c r="I17" i="20"/>
  <c r="H35" i="20"/>
  <c r="H44" i="20"/>
  <c r="H26" i="20"/>
  <c r="AI24" i="9" l="1"/>
  <c r="AK24" i="9"/>
  <c r="AI14" i="9"/>
  <c r="AK14" i="9"/>
  <c r="AI26" i="9"/>
  <c r="AK26" i="9"/>
  <c r="AI20" i="9"/>
  <c r="AK20" i="9"/>
  <c r="AI16" i="9"/>
  <c r="AK16" i="9"/>
  <c r="AI11" i="9"/>
  <c r="AK11" i="9"/>
  <c r="AI21" i="9"/>
  <c r="AK21" i="9"/>
  <c r="AI19" i="9"/>
  <c r="AK19" i="9"/>
  <c r="AI12" i="9"/>
  <c r="AK12" i="9"/>
  <c r="AI13" i="9"/>
  <c r="AK13" i="9"/>
  <c r="AI25" i="9"/>
  <c r="AK25" i="9"/>
  <c r="AI18" i="9"/>
  <c r="AK18" i="9"/>
  <c r="AI10" i="9"/>
  <c r="AK10" i="9"/>
  <c r="AI17" i="9"/>
  <c r="AK17" i="9"/>
  <c r="AI9" i="9"/>
  <c r="AK9" i="9"/>
  <c r="AI15" i="9"/>
  <c r="AK15" i="9"/>
  <c r="AI23" i="9"/>
  <c r="AK23" i="9"/>
  <c r="AI22" i="9"/>
  <c r="AK22" i="9"/>
  <c r="AL40" i="9"/>
  <c r="AN40" i="9" s="1"/>
  <c r="AO40" i="9" s="1"/>
  <c r="AG68" i="9"/>
  <c r="AH68" i="9" s="1"/>
  <c r="AI68" i="9" s="1"/>
  <c r="V93" i="9"/>
  <c r="AG93" i="9" s="1"/>
  <c r="AH93" i="9" s="1"/>
  <c r="AI93" i="9" s="1"/>
  <c r="AG8" i="9"/>
  <c r="AH8" i="9" s="1"/>
  <c r="G36" i="7"/>
  <c r="I36" i="7" s="1"/>
  <c r="J36" i="7" s="1"/>
  <c r="V37" i="9"/>
  <c r="AG37" i="9" s="1"/>
  <c r="AH37" i="9" s="1"/>
  <c r="AI37" i="9" s="1"/>
  <c r="AL54" i="9"/>
  <c r="AN54" i="9" s="1"/>
  <c r="AO54" i="9" s="1"/>
  <c r="V65" i="9"/>
  <c r="AG65" i="9" s="1"/>
  <c r="AH65" i="9" s="1"/>
  <c r="AI65" i="9" s="1"/>
  <c r="AG70" i="9"/>
  <c r="AH70" i="9" s="1"/>
  <c r="AI70" i="9" s="1"/>
  <c r="AL79" i="9"/>
  <c r="AN79" i="9" s="1"/>
  <c r="AO79" i="9" s="1"/>
  <c r="AL101" i="9"/>
  <c r="AN101" i="9" s="1"/>
  <c r="AO101" i="9" s="1"/>
  <c r="AL80" i="9"/>
  <c r="AN80" i="9" s="1"/>
  <c r="AO80" i="9" s="1"/>
  <c r="AL73" i="9"/>
  <c r="AN73" i="9" s="1"/>
  <c r="AO73" i="9" s="1"/>
  <c r="AL38" i="9"/>
  <c r="AN38" i="9" s="1"/>
  <c r="AO38" i="9" s="1"/>
  <c r="AL43" i="9"/>
  <c r="AN43" i="9" s="1"/>
  <c r="AO43" i="9" s="1"/>
  <c r="AL105" i="9"/>
  <c r="AN105" i="9" s="1"/>
  <c r="AO105" i="9" s="1"/>
  <c r="AL66" i="9"/>
  <c r="AN66" i="9" s="1"/>
  <c r="AO66" i="9" s="1"/>
  <c r="AL94" i="9"/>
  <c r="AN94" i="9" s="1"/>
  <c r="AO94" i="9" s="1"/>
  <c r="AG102" i="9"/>
  <c r="AH102" i="9" s="1"/>
  <c r="AI102" i="9" s="1"/>
  <c r="AL53" i="9"/>
  <c r="AN53" i="9" s="1"/>
  <c r="AO53" i="9" s="1"/>
  <c r="AL68" i="9"/>
  <c r="AN68" i="9" s="1"/>
  <c r="AO68" i="9" s="1"/>
  <c r="AG76" i="9"/>
  <c r="AH76" i="9" s="1"/>
  <c r="AI76" i="9" s="1"/>
  <c r="AG73" i="9"/>
  <c r="AH73" i="9" s="1"/>
  <c r="AI73" i="9" s="1"/>
  <c r="AG56" i="9"/>
  <c r="AH56" i="9" s="1"/>
  <c r="AG54" i="9"/>
  <c r="AH54" i="9" s="1"/>
  <c r="AI54" i="9" s="1"/>
  <c r="AG43" i="9"/>
  <c r="AH43" i="9" s="1"/>
  <c r="AI43" i="9" s="1"/>
  <c r="AG38" i="9"/>
  <c r="AH38" i="9" s="1"/>
  <c r="AI38" i="9" s="1"/>
  <c r="AL83" i="9"/>
  <c r="AN83" i="9" s="1"/>
  <c r="AO83" i="9" s="1"/>
  <c r="AG46" i="9"/>
  <c r="AH46" i="9" s="1"/>
  <c r="AI46" i="9" s="1"/>
  <c r="AL52" i="9"/>
  <c r="AN52" i="9" s="1"/>
  <c r="AO52" i="9" s="1"/>
  <c r="AL103" i="9"/>
  <c r="AN103" i="9" s="1"/>
  <c r="AO103" i="9" s="1"/>
  <c r="AL95" i="9"/>
  <c r="AN95" i="9" s="1"/>
  <c r="AO95" i="9" s="1"/>
  <c r="AG108" i="9"/>
  <c r="AH108" i="9" s="1"/>
  <c r="AI108" i="9" s="1"/>
  <c r="AL96" i="9"/>
  <c r="AN96" i="9" s="1"/>
  <c r="AO96" i="9" s="1"/>
  <c r="AG99" i="9"/>
  <c r="AH99" i="9" s="1"/>
  <c r="AI99" i="9" s="1"/>
  <c r="AL98" i="9"/>
  <c r="AN98" i="9" s="1"/>
  <c r="AO98" i="9" s="1"/>
  <c r="AG81" i="9"/>
  <c r="AH81" i="9" s="1"/>
  <c r="AI81" i="9" s="1"/>
  <c r="AG44" i="9"/>
  <c r="AH44" i="9" s="1"/>
  <c r="AI44" i="9" s="1"/>
  <c r="AL70" i="9"/>
  <c r="AN70" i="9" s="1"/>
  <c r="AO70" i="9" s="1"/>
  <c r="AG101" i="9"/>
  <c r="AH101" i="9" s="1"/>
  <c r="AI101" i="9" s="1"/>
  <c r="AG51" i="9"/>
  <c r="AH51" i="9" s="1"/>
  <c r="AI51" i="9" s="1"/>
  <c r="AL56" i="9"/>
  <c r="AN56" i="9" s="1"/>
  <c r="AO56" i="9" s="1"/>
  <c r="AL76" i="9"/>
  <c r="AN76" i="9" s="1"/>
  <c r="AO76" i="9" s="1"/>
  <c r="AG72" i="9"/>
  <c r="AH72" i="9" s="1"/>
  <c r="AI72" i="9" s="1"/>
  <c r="AG98" i="9"/>
  <c r="AH98" i="9" s="1"/>
  <c r="AI98" i="9" s="1"/>
  <c r="AG52" i="9"/>
  <c r="AH52" i="9" s="1"/>
  <c r="AI52" i="9" s="1"/>
  <c r="AL81" i="9"/>
  <c r="AN81" i="9" s="1"/>
  <c r="AO81" i="9" s="1"/>
  <c r="AL44" i="9"/>
  <c r="AN44" i="9" s="1"/>
  <c r="AO44" i="9" s="1"/>
  <c r="AL67" i="9"/>
  <c r="AN67" i="9" s="1"/>
  <c r="AO67" i="9" s="1"/>
  <c r="AG95" i="9"/>
  <c r="AH95" i="9" s="1"/>
  <c r="AI95" i="9" s="1"/>
  <c r="AG96" i="9"/>
  <c r="AH96" i="9" s="1"/>
  <c r="AI96" i="9" s="1"/>
  <c r="AL97" i="9"/>
  <c r="AN97" i="9" s="1"/>
  <c r="AO97" i="9" s="1"/>
  <c r="AG74" i="9"/>
  <c r="AH74" i="9" s="1"/>
  <c r="AI74" i="9" s="1"/>
  <c r="AL47" i="9"/>
  <c r="AN47" i="9" s="1"/>
  <c r="AO47" i="9" s="1"/>
  <c r="AG75" i="9"/>
  <c r="AH75" i="9" s="1"/>
  <c r="AI75" i="9" s="1"/>
  <c r="AL111" i="9"/>
  <c r="AN111" i="9" s="1"/>
  <c r="AO111" i="9" s="1"/>
  <c r="AL110" i="9"/>
  <c r="AN110" i="9" s="1"/>
  <c r="AO110" i="9" s="1"/>
  <c r="AL69" i="9"/>
  <c r="AN69" i="9" s="1"/>
  <c r="AO69" i="9" s="1"/>
  <c r="AG40" i="9"/>
  <c r="AH40" i="9" s="1"/>
  <c r="AI40" i="9" s="1"/>
  <c r="AL41" i="9"/>
  <c r="AN41" i="9" s="1"/>
  <c r="AO41" i="9" s="1"/>
  <c r="AL99" i="9"/>
  <c r="AN99" i="9" s="1"/>
  <c r="AO99" i="9" s="1"/>
  <c r="AG80" i="9"/>
  <c r="AH80" i="9" s="1"/>
  <c r="AI80" i="9" s="1"/>
  <c r="AL109" i="9"/>
  <c r="AN109" i="9" s="1"/>
  <c r="AO109" i="9" s="1"/>
  <c r="AL108" i="9"/>
  <c r="AN108" i="9" s="1"/>
  <c r="AO108" i="9" s="1"/>
  <c r="AG79" i="9"/>
  <c r="AH79" i="9" s="1"/>
  <c r="AI79" i="9" s="1"/>
  <c r="AL106" i="9"/>
  <c r="AN106" i="9" s="1"/>
  <c r="AO106" i="9" s="1"/>
  <c r="AL100" i="9"/>
  <c r="AN100" i="9" s="1"/>
  <c r="AO100" i="9" s="1"/>
  <c r="AL42" i="9"/>
  <c r="AN42" i="9" s="1"/>
  <c r="AO42" i="9" s="1"/>
  <c r="AL45" i="9"/>
  <c r="AN45" i="9" s="1"/>
  <c r="AO45" i="9" s="1"/>
  <c r="AL55" i="9"/>
  <c r="AN55" i="9" s="1"/>
  <c r="AO55" i="9" s="1"/>
  <c r="AG107" i="9"/>
  <c r="AH107" i="9" s="1"/>
  <c r="AI107" i="9" s="1"/>
  <c r="AG71" i="9"/>
  <c r="AH71" i="9" s="1"/>
  <c r="AI71" i="9" s="1"/>
  <c r="AG69" i="9"/>
  <c r="AH69" i="9" s="1"/>
  <c r="AI69" i="9" s="1"/>
  <c r="AG109" i="9"/>
  <c r="AH109" i="9" s="1"/>
  <c r="AI109" i="9" s="1"/>
  <c r="AG47" i="9"/>
  <c r="AH47" i="9" s="1"/>
  <c r="AI47" i="9" s="1"/>
  <c r="AL51" i="9"/>
  <c r="AN51" i="9" s="1"/>
  <c r="AO51" i="9" s="1"/>
  <c r="AG100" i="9"/>
  <c r="AH100" i="9" s="1"/>
  <c r="AI100" i="9" s="1"/>
  <c r="AG111" i="9"/>
  <c r="AH111" i="9" s="1"/>
  <c r="AL74" i="9"/>
  <c r="AN74" i="9" s="1"/>
  <c r="AO74" i="9" s="1"/>
  <c r="AG110" i="9"/>
  <c r="AH110" i="9" s="1"/>
  <c r="AI110" i="9" s="1"/>
  <c r="AG41" i="9"/>
  <c r="AH41" i="9" s="1"/>
  <c r="AI41" i="9" s="1"/>
  <c r="AG106" i="9"/>
  <c r="AH106" i="9" s="1"/>
  <c r="AI106" i="9" s="1"/>
  <c r="AG83" i="9"/>
  <c r="AH83" i="9" s="1"/>
  <c r="AL75" i="9"/>
  <c r="AN75" i="9" s="1"/>
  <c r="AO75" i="9" s="1"/>
  <c r="AG50" i="9"/>
  <c r="AH50" i="9" s="1"/>
  <c r="AI50" i="9" s="1"/>
  <c r="AG49" i="9"/>
  <c r="AH49" i="9" s="1"/>
  <c r="AI49" i="9" s="1"/>
  <c r="AG104" i="9"/>
  <c r="AH104" i="9" s="1"/>
  <c r="AI104" i="9" s="1"/>
  <c r="AG77" i="9"/>
  <c r="AH77" i="9" s="1"/>
  <c r="AI77" i="9" s="1"/>
  <c r="AL46" i="9"/>
  <c r="AN46" i="9" s="1"/>
  <c r="AO46" i="9" s="1"/>
  <c r="AL72" i="9"/>
  <c r="AN72" i="9" s="1"/>
  <c r="AO72" i="9" s="1"/>
  <c r="AL71" i="9"/>
  <c r="AN71" i="9" s="1"/>
  <c r="AO71" i="9" s="1"/>
  <c r="AL102" i="9"/>
  <c r="AN102" i="9" s="1"/>
  <c r="AO102" i="9" s="1"/>
  <c r="AG94" i="9"/>
  <c r="AH94" i="9" s="1"/>
  <c r="AI94" i="9" s="1"/>
  <c r="AG42" i="9"/>
  <c r="AH42" i="9" s="1"/>
  <c r="AI42" i="9" s="1"/>
  <c r="AG67" i="9"/>
  <c r="AH67" i="9" s="1"/>
  <c r="AI67" i="9" s="1"/>
  <c r="AG55" i="9"/>
  <c r="AH55" i="9" s="1"/>
  <c r="AG39" i="9"/>
  <c r="AH39" i="9" s="1"/>
  <c r="AI39" i="9" s="1"/>
  <c r="AG48" i="9"/>
  <c r="AH48" i="9" s="1"/>
  <c r="AI48" i="9" s="1"/>
  <c r="AG66" i="9"/>
  <c r="AH66" i="9" s="1"/>
  <c r="AI66" i="9" s="1"/>
  <c r="AG105" i="9"/>
  <c r="AH105" i="9" s="1"/>
  <c r="AI105" i="9" s="1"/>
  <c r="AG103" i="9"/>
  <c r="AH103" i="9" s="1"/>
  <c r="AI103" i="9" s="1"/>
  <c r="AL107" i="9"/>
  <c r="AN107" i="9" s="1"/>
  <c r="AO107" i="9" s="1"/>
  <c r="AG45" i="9"/>
  <c r="AH45" i="9" s="1"/>
  <c r="AI45" i="9" s="1"/>
  <c r="AG97" i="9"/>
  <c r="AH97" i="9" s="1"/>
  <c r="AI97" i="9" s="1"/>
  <c r="AL104" i="9"/>
  <c r="AN104" i="9" s="1"/>
  <c r="AO104" i="9" s="1"/>
  <c r="AG78" i="9"/>
  <c r="AH78" i="9" s="1"/>
  <c r="AI78" i="9" s="1"/>
  <c r="AL78" i="9"/>
  <c r="AN78" i="9" s="1"/>
  <c r="AO78" i="9" s="1"/>
  <c r="AG53" i="9"/>
  <c r="AH53" i="9" s="1"/>
  <c r="AI53" i="9" s="1"/>
  <c r="AL39" i="9"/>
  <c r="AN39" i="9" s="1"/>
  <c r="AO39" i="9" s="1"/>
  <c r="AL49" i="9"/>
  <c r="AN49" i="9" s="1"/>
  <c r="AO49" i="9" s="1"/>
  <c r="AL50" i="9"/>
  <c r="AN50" i="9" s="1"/>
  <c r="AO50" i="9" s="1"/>
  <c r="AL77" i="9"/>
  <c r="AN77" i="9" s="1"/>
  <c r="AO77" i="9" s="1"/>
  <c r="AL48" i="9"/>
  <c r="AN48" i="9" s="1"/>
  <c r="AO48" i="9" s="1"/>
  <c r="AG82" i="9"/>
  <c r="AH82" i="9" s="1"/>
  <c r="AI82" i="9" s="1"/>
  <c r="AL82" i="9"/>
  <c r="AN82" i="9" s="1"/>
  <c r="AO82" i="9" s="1"/>
  <c r="H176" i="20"/>
  <c r="H177" i="20"/>
  <c r="H175" i="20"/>
  <c r="G177" i="20"/>
  <c r="I53" i="20"/>
  <c r="I26" i="20"/>
  <c r="I175" i="20" s="1"/>
  <c r="I35" i="20"/>
  <c r="I71" i="20"/>
  <c r="I44" i="20"/>
  <c r="I62" i="20"/>
  <c r="J26" i="20"/>
  <c r="H71" i="20"/>
  <c r="H171" i="20" s="1"/>
  <c r="AL93" i="9" l="1"/>
  <c r="AN93" i="9" s="1"/>
  <c r="AO93" i="9" s="1"/>
  <c r="AI8" i="9"/>
  <c r="AK8" i="9"/>
  <c r="AL37" i="9"/>
  <c r="AN37" i="9" s="1"/>
  <c r="AO37" i="9" s="1"/>
  <c r="AL65" i="9"/>
  <c r="AN65" i="9" s="1"/>
  <c r="AO65" i="9" s="1"/>
  <c r="I176" i="20"/>
  <c r="J175" i="20"/>
  <c r="H178" i="20"/>
  <c r="I177" i="20"/>
  <c r="J53" i="20"/>
  <c r="I80" i="20"/>
  <c r="I171" i="20" s="1"/>
  <c r="J62" i="20"/>
  <c r="J44" i="20"/>
  <c r="K35" i="20"/>
  <c r="J71" i="20"/>
  <c r="J80" i="20"/>
  <c r="J35" i="20"/>
  <c r="J178" i="20" l="1"/>
  <c r="J177" i="20"/>
  <c r="J176" i="20"/>
  <c r="I178" i="20"/>
  <c r="K71" i="20"/>
  <c r="K44" i="20"/>
  <c r="K176" i="20" s="1"/>
  <c r="J89" i="20"/>
  <c r="J171" i="20" s="1"/>
  <c r="K89" i="20"/>
  <c r="L44" i="20"/>
  <c r="K80" i="20"/>
  <c r="K53" i="20"/>
  <c r="K62" i="20"/>
  <c r="L176" i="20" l="1"/>
  <c r="K178" i="20"/>
  <c r="K177" i="20"/>
  <c r="J179" i="20"/>
  <c r="L62" i="20"/>
  <c r="L71" i="20"/>
  <c r="M53" i="20"/>
  <c r="L89" i="20"/>
  <c r="L98" i="20"/>
  <c r="L53" i="20"/>
  <c r="K98" i="20"/>
  <c r="K171" i="20" s="1"/>
  <c r="L80" i="20"/>
  <c r="L179" i="20" l="1"/>
  <c r="L178" i="20"/>
  <c r="L177" i="20"/>
  <c r="K179" i="20"/>
  <c r="M80" i="20"/>
  <c r="M98" i="20"/>
  <c r="M62" i="20"/>
  <c r="M177" i="20" s="1"/>
  <c r="M71" i="20"/>
  <c r="M107" i="20"/>
  <c r="L107" i="20"/>
  <c r="L171" i="20" s="1"/>
  <c r="M89" i="20"/>
  <c r="N62" i="20"/>
  <c r="M179" i="20" l="1"/>
  <c r="N177" i="20"/>
  <c r="L180" i="20"/>
  <c r="M178" i="20"/>
  <c r="N98" i="20"/>
  <c r="N80" i="20"/>
  <c r="N107" i="20"/>
  <c r="M116" i="20"/>
  <c r="M171" i="20" s="1"/>
  <c r="O71" i="20"/>
  <c r="N71" i="20"/>
  <c r="N116" i="20"/>
  <c r="N89" i="20"/>
  <c r="M180" i="20" l="1"/>
  <c r="N178" i="20"/>
  <c r="N180" i="20"/>
  <c r="N179" i="20"/>
  <c r="P80" i="20"/>
  <c r="O89" i="20"/>
  <c r="O98" i="20"/>
  <c r="O116" i="20"/>
  <c r="N125" i="20"/>
  <c r="N171" i="20" s="1"/>
  <c r="O80" i="20"/>
  <c r="O178" i="20" s="1"/>
  <c r="O125" i="20"/>
  <c r="O107" i="20"/>
  <c r="P178" i="20" l="1"/>
  <c r="O180" i="20"/>
  <c r="O179" i="20"/>
  <c r="N181" i="20"/>
  <c r="P89" i="20"/>
  <c r="P107" i="20"/>
  <c r="P134" i="20"/>
  <c r="P98" i="20"/>
  <c r="O134" i="20"/>
  <c r="O171" i="20" s="1"/>
  <c r="P116" i="20"/>
  <c r="P125" i="20"/>
  <c r="Q89" i="20"/>
  <c r="P180" i="20" l="1"/>
  <c r="P181" i="20"/>
  <c r="P179" i="20"/>
  <c r="O181" i="20"/>
  <c r="R98" i="20"/>
  <c r="Q107" i="20"/>
  <c r="Q98" i="20"/>
  <c r="Q179" i="20" s="1"/>
  <c r="Q134" i="20"/>
  <c r="Q116" i="20"/>
  <c r="Q143" i="20"/>
  <c r="Q125" i="20"/>
  <c r="P143" i="20"/>
  <c r="P171" i="20" s="1"/>
  <c r="Q181" i="20" l="1"/>
  <c r="Q180" i="20"/>
  <c r="R179" i="20"/>
  <c r="P182" i="20"/>
  <c r="R161" i="20"/>
  <c r="R183" i="20" s="1"/>
  <c r="Q152" i="20"/>
  <c r="Q171" i="20" s="1"/>
  <c r="R134" i="20"/>
  <c r="R107" i="20"/>
  <c r="S161" i="20"/>
  <c r="S183" i="20" s="1"/>
  <c r="R152" i="20"/>
  <c r="R116" i="20"/>
  <c r="R125" i="20"/>
  <c r="R143" i="20"/>
  <c r="S107" i="20"/>
  <c r="R171" i="20" l="1"/>
  <c r="R181" i="20"/>
  <c r="R180" i="20"/>
  <c r="R182" i="20"/>
  <c r="Q182" i="20"/>
  <c r="S116" i="20"/>
  <c r="T134" i="20"/>
  <c r="S125" i="20"/>
  <c r="T161" i="20"/>
  <c r="T183" i="20" s="1"/>
  <c r="S152" i="20"/>
  <c r="T143" i="20"/>
  <c r="S134" i="20"/>
  <c r="T152" i="20"/>
  <c r="S143" i="20"/>
  <c r="T116" i="20"/>
  <c r="S180" i="20" l="1"/>
  <c r="S171" i="20"/>
  <c r="S181" i="20"/>
  <c r="S182" i="20"/>
  <c r="T180" i="20"/>
  <c r="T182" i="20"/>
  <c r="T125" i="20"/>
  <c r="T171" i="20" s="1"/>
  <c r="T181" i="20" l="1"/>
  <c r="D8" i="20" l="1"/>
  <c r="D171" i="20" s="1"/>
  <c r="D174" i="20" l="1"/>
  <c r="A185" i="20" s="1" a="1"/>
  <c r="E13" i="12" l="1"/>
  <c r="E21" i="12"/>
  <c r="E11" i="12"/>
  <c r="E95" i="12" s="1"/>
  <c r="E14" i="12"/>
  <c r="E98" i="12" s="1"/>
  <c r="E22" i="12"/>
  <c r="E106" i="12" s="1"/>
  <c r="E15" i="12"/>
  <c r="E99" i="12" s="1"/>
  <c r="E23" i="12"/>
  <c r="E19" i="12"/>
  <c r="E103" i="12" s="1"/>
  <c r="E20" i="12"/>
  <c r="E16" i="12"/>
  <c r="E24" i="12"/>
  <c r="E108" i="12" s="1"/>
  <c r="E26" i="12"/>
  <c r="E110" i="12" s="1"/>
  <c r="E12" i="12"/>
  <c r="E96" i="12" s="1"/>
  <c r="E10" i="12"/>
  <c r="E17" i="12"/>
  <c r="E25" i="12"/>
  <c r="E109" i="12" s="1"/>
  <c r="E18" i="12"/>
  <c r="E9" i="12"/>
  <c r="F208" i="7"/>
  <c r="F216" i="7"/>
  <c r="F219" i="7"/>
  <c r="F212" i="7"/>
  <c r="F209" i="7"/>
  <c r="F217" i="7"/>
  <c r="G217" i="7" s="1"/>
  <c r="F210" i="7"/>
  <c r="F202" i="7"/>
  <c r="F203" i="7"/>
  <c r="F204" i="7"/>
  <c r="F205" i="7"/>
  <c r="G205" i="7" s="1"/>
  <c r="F213" i="7"/>
  <c r="G213" i="7" s="1"/>
  <c r="F211" i="7"/>
  <c r="F206" i="7"/>
  <c r="F214" i="7"/>
  <c r="F207" i="7"/>
  <c r="F215" i="7"/>
  <c r="F218" i="7"/>
  <c r="E102" i="12"/>
  <c r="E97" i="12"/>
  <c r="E105" i="12"/>
  <c r="E104" i="12"/>
  <c r="G11" i="12"/>
  <c r="G95" i="12" s="1"/>
  <c r="H12" i="12"/>
  <c r="H96" i="12" s="1"/>
  <c r="I13" i="12"/>
  <c r="I97" i="12" s="1"/>
  <c r="J14" i="12"/>
  <c r="J98" i="12" s="1"/>
  <c r="K15" i="12"/>
  <c r="K99" i="12" s="1"/>
  <c r="L16" i="12"/>
  <c r="L100" i="12" s="1"/>
  <c r="M17" i="12"/>
  <c r="M101" i="12" s="1"/>
  <c r="G19" i="12"/>
  <c r="G103" i="12" s="1"/>
  <c r="H20" i="12"/>
  <c r="H104" i="12" s="1"/>
  <c r="I21" i="12"/>
  <c r="I105" i="12" s="1"/>
  <c r="J22" i="12"/>
  <c r="J106" i="12" s="1"/>
  <c r="K23" i="12"/>
  <c r="K107" i="12" s="1"/>
  <c r="L24" i="12"/>
  <c r="L108" i="12" s="1"/>
  <c r="M25" i="12"/>
  <c r="M109" i="12" s="1"/>
  <c r="F12" i="12"/>
  <c r="F20" i="12"/>
  <c r="H11" i="12"/>
  <c r="H95" i="12" s="1"/>
  <c r="I12" i="12"/>
  <c r="I96" i="12" s="1"/>
  <c r="J13" i="12"/>
  <c r="J97" i="12" s="1"/>
  <c r="K14" i="12"/>
  <c r="K98" i="12" s="1"/>
  <c r="L15" i="12"/>
  <c r="L99" i="12" s="1"/>
  <c r="M16" i="12"/>
  <c r="M100" i="12" s="1"/>
  <c r="G18" i="12"/>
  <c r="G102" i="12" s="1"/>
  <c r="H19" i="12"/>
  <c r="H103" i="12" s="1"/>
  <c r="I20" i="12"/>
  <c r="I104" i="12" s="1"/>
  <c r="J21" i="12"/>
  <c r="J105" i="12" s="1"/>
  <c r="K22" i="12"/>
  <c r="K106" i="12" s="1"/>
  <c r="L23" i="12"/>
  <c r="L107" i="12" s="1"/>
  <c r="M24" i="12"/>
  <c r="M108" i="12" s="1"/>
  <c r="G26" i="12"/>
  <c r="G110" i="12" s="1"/>
  <c r="F13" i="12"/>
  <c r="F21" i="12"/>
  <c r="I11" i="12"/>
  <c r="I95" i="12" s="1"/>
  <c r="J12" i="12"/>
  <c r="J96" i="12" s="1"/>
  <c r="K13" i="12"/>
  <c r="K97" i="12" s="1"/>
  <c r="L14" i="12"/>
  <c r="L98" i="12" s="1"/>
  <c r="M15" i="12"/>
  <c r="M99" i="12" s="1"/>
  <c r="G17" i="12"/>
  <c r="G101" i="12" s="1"/>
  <c r="H18" i="12"/>
  <c r="H102" i="12" s="1"/>
  <c r="I19" i="12"/>
  <c r="I103" i="12" s="1"/>
  <c r="J20" i="12"/>
  <c r="J104" i="12" s="1"/>
  <c r="K21" i="12"/>
  <c r="K105" i="12" s="1"/>
  <c r="L22" i="12"/>
  <c r="L106" i="12" s="1"/>
  <c r="M23" i="12"/>
  <c r="M107" i="12" s="1"/>
  <c r="G25" i="12"/>
  <c r="G109" i="12" s="1"/>
  <c r="H26" i="12"/>
  <c r="H110" i="12" s="1"/>
  <c r="F14" i="12"/>
  <c r="F22" i="12"/>
  <c r="J11" i="12"/>
  <c r="J95" i="12" s="1"/>
  <c r="K12" i="12"/>
  <c r="K96" i="12" s="1"/>
  <c r="L13" i="12"/>
  <c r="L97" i="12" s="1"/>
  <c r="M14" i="12"/>
  <c r="M98" i="12" s="1"/>
  <c r="G16" i="12"/>
  <c r="G100" i="12" s="1"/>
  <c r="H17" i="12"/>
  <c r="H101" i="12" s="1"/>
  <c r="I18" i="12"/>
  <c r="I102" i="12" s="1"/>
  <c r="J19" i="12"/>
  <c r="J103" i="12" s="1"/>
  <c r="K20" i="12"/>
  <c r="K104" i="12" s="1"/>
  <c r="L21" i="12"/>
  <c r="L105" i="12" s="1"/>
  <c r="M22" i="12"/>
  <c r="M106" i="12" s="1"/>
  <c r="G24" i="12"/>
  <c r="G108" i="12" s="1"/>
  <c r="H25" i="12"/>
  <c r="H109" i="12" s="1"/>
  <c r="I26" i="12"/>
  <c r="I110" i="12" s="1"/>
  <c r="F15" i="12"/>
  <c r="F23" i="12"/>
  <c r="K11" i="12"/>
  <c r="K95" i="12" s="1"/>
  <c r="L12" i="12"/>
  <c r="L96" i="12" s="1"/>
  <c r="M13" i="12"/>
  <c r="M97" i="12" s="1"/>
  <c r="G15" i="12"/>
  <c r="G99" i="12" s="1"/>
  <c r="H16" i="12"/>
  <c r="H100" i="12" s="1"/>
  <c r="I17" i="12"/>
  <c r="I101" i="12" s="1"/>
  <c r="J18" i="12"/>
  <c r="J102" i="12" s="1"/>
  <c r="K19" i="12"/>
  <c r="K103" i="12" s="1"/>
  <c r="L20" i="12"/>
  <c r="L104" i="12" s="1"/>
  <c r="M21" i="12"/>
  <c r="M105" i="12" s="1"/>
  <c r="G23" i="12"/>
  <c r="G107" i="12" s="1"/>
  <c r="H24" i="12"/>
  <c r="H108" i="12" s="1"/>
  <c r="I25" i="12"/>
  <c r="I109" i="12" s="1"/>
  <c r="J26" i="12"/>
  <c r="J110" i="12" s="1"/>
  <c r="F16" i="12"/>
  <c r="F24" i="12"/>
  <c r="L11" i="12"/>
  <c r="L95" i="12" s="1"/>
  <c r="M12" i="12"/>
  <c r="M96" i="12" s="1"/>
  <c r="G14" i="12"/>
  <c r="G98" i="12" s="1"/>
  <c r="H15" i="12"/>
  <c r="H99" i="12" s="1"/>
  <c r="I16" i="12"/>
  <c r="I100" i="12" s="1"/>
  <c r="J17" i="12"/>
  <c r="J101" i="12" s="1"/>
  <c r="K18" i="12"/>
  <c r="K102" i="12" s="1"/>
  <c r="L19" i="12"/>
  <c r="L103" i="12" s="1"/>
  <c r="M20" i="12"/>
  <c r="M104" i="12" s="1"/>
  <c r="G22" i="12"/>
  <c r="G106" i="12" s="1"/>
  <c r="H23" i="12"/>
  <c r="H107" i="12" s="1"/>
  <c r="I24" i="12"/>
  <c r="I108" i="12" s="1"/>
  <c r="J25" i="12"/>
  <c r="J109" i="12" s="1"/>
  <c r="K26" i="12"/>
  <c r="K110" i="12" s="1"/>
  <c r="F17" i="12"/>
  <c r="F25" i="12"/>
  <c r="M11" i="12"/>
  <c r="M95" i="12" s="1"/>
  <c r="G13" i="12"/>
  <c r="G97" i="12" s="1"/>
  <c r="H14" i="12"/>
  <c r="H98" i="12" s="1"/>
  <c r="I15" i="12"/>
  <c r="I99" i="12" s="1"/>
  <c r="J16" i="12"/>
  <c r="J100" i="12" s="1"/>
  <c r="K17" i="12"/>
  <c r="K101" i="12" s="1"/>
  <c r="L18" i="12"/>
  <c r="L102" i="12" s="1"/>
  <c r="M19" i="12"/>
  <c r="M103" i="12" s="1"/>
  <c r="G21" i="12"/>
  <c r="G105" i="12" s="1"/>
  <c r="H22" i="12"/>
  <c r="H106" i="12" s="1"/>
  <c r="I23" i="12"/>
  <c r="I107" i="12" s="1"/>
  <c r="J24" i="12"/>
  <c r="J108" i="12" s="1"/>
  <c r="K25" i="12"/>
  <c r="K109" i="12" s="1"/>
  <c r="L26" i="12"/>
  <c r="L110" i="12" s="1"/>
  <c r="F18" i="12"/>
  <c r="F26" i="12"/>
  <c r="G12" i="12"/>
  <c r="G96" i="12" s="1"/>
  <c r="H13" i="12"/>
  <c r="H97" i="12" s="1"/>
  <c r="I14" i="12"/>
  <c r="I98" i="12" s="1"/>
  <c r="J15" i="12"/>
  <c r="J99" i="12" s="1"/>
  <c r="K16" i="12"/>
  <c r="K100" i="12" s="1"/>
  <c r="L17" i="12"/>
  <c r="L101" i="12" s="1"/>
  <c r="M18" i="12"/>
  <c r="M102" i="12" s="1"/>
  <c r="G20" i="12"/>
  <c r="G104" i="12" s="1"/>
  <c r="H21" i="12"/>
  <c r="H105" i="12" s="1"/>
  <c r="I22" i="12"/>
  <c r="I106" i="12" s="1"/>
  <c r="J23" i="12"/>
  <c r="J107" i="12" s="1"/>
  <c r="K24" i="12"/>
  <c r="K108" i="12" s="1"/>
  <c r="L25" i="12"/>
  <c r="L109" i="12" s="1"/>
  <c r="M26" i="12"/>
  <c r="M110" i="12" s="1"/>
  <c r="F19" i="12"/>
  <c r="F11" i="12"/>
  <c r="R89" i="10"/>
  <c r="S89" i="10"/>
  <c r="T89" i="10"/>
  <c r="U89" i="10"/>
  <c r="V89" i="10"/>
  <c r="Q90" i="10"/>
  <c r="R90" i="10"/>
  <c r="S90" i="10"/>
  <c r="T90" i="10"/>
  <c r="U90" i="10"/>
  <c r="V90" i="10"/>
  <c r="Q91" i="10"/>
  <c r="R91" i="10"/>
  <c r="S91" i="10"/>
  <c r="T91" i="10"/>
  <c r="U91" i="10"/>
  <c r="V91" i="10"/>
  <c r="Q92" i="10"/>
  <c r="R92" i="10"/>
  <c r="S92" i="10"/>
  <c r="T92" i="10"/>
  <c r="U92" i="10"/>
  <c r="V92" i="10"/>
  <c r="Q93" i="10"/>
  <c r="R93" i="10"/>
  <c r="S93" i="10"/>
  <c r="T93" i="10"/>
  <c r="U93" i="10"/>
  <c r="V93" i="10"/>
  <c r="Q94" i="10"/>
  <c r="R94" i="10"/>
  <c r="S94" i="10"/>
  <c r="T94" i="10"/>
  <c r="U94" i="10"/>
  <c r="V94" i="10"/>
  <c r="Q95" i="10"/>
  <c r="R95" i="10"/>
  <c r="S95" i="10"/>
  <c r="T95" i="10"/>
  <c r="U95" i="10"/>
  <c r="V95" i="10"/>
  <c r="Q96" i="10"/>
  <c r="R96" i="10"/>
  <c r="S96" i="10"/>
  <c r="T96" i="10"/>
  <c r="U96" i="10"/>
  <c r="V96" i="10"/>
  <c r="Q97" i="10"/>
  <c r="R97" i="10"/>
  <c r="S97" i="10"/>
  <c r="T97" i="10"/>
  <c r="U97" i="10"/>
  <c r="V97" i="10"/>
  <c r="Q98" i="10"/>
  <c r="R98" i="10"/>
  <c r="S98" i="10"/>
  <c r="T98" i="10"/>
  <c r="U98" i="10"/>
  <c r="V98" i="10"/>
  <c r="Q99" i="10"/>
  <c r="R99" i="10"/>
  <c r="S99" i="10"/>
  <c r="T99" i="10"/>
  <c r="U99" i="10"/>
  <c r="V99" i="10"/>
  <c r="Q100" i="10"/>
  <c r="R100" i="10"/>
  <c r="S100" i="10"/>
  <c r="T100" i="10"/>
  <c r="U100" i="10"/>
  <c r="V100" i="10"/>
  <c r="Q101" i="10"/>
  <c r="R101" i="10"/>
  <c r="S101" i="10"/>
  <c r="T101" i="10"/>
  <c r="U101" i="10"/>
  <c r="V101" i="10"/>
  <c r="Q102" i="10"/>
  <c r="R102" i="10"/>
  <c r="S102" i="10"/>
  <c r="T102" i="10"/>
  <c r="U102" i="10"/>
  <c r="V102" i="10"/>
  <c r="Q103" i="10"/>
  <c r="R103" i="10"/>
  <c r="S103" i="10"/>
  <c r="T103" i="10"/>
  <c r="U103" i="10"/>
  <c r="V103" i="10"/>
  <c r="Q104" i="10"/>
  <c r="R104" i="10"/>
  <c r="S104" i="10"/>
  <c r="T104" i="10"/>
  <c r="U104" i="10"/>
  <c r="V104" i="10"/>
  <c r="Q105" i="10"/>
  <c r="R105" i="10"/>
  <c r="S105" i="10"/>
  <c r="T105" i="10"/>
  <c r="U105" i="10"/>
  <c r="V105" i="10"/>
  <c r="Q106" i="10"/>
  <c r="R106" i="10"/>
  <c r="S106" i="10"/>
  <c r="T106" i="10"/>
  <c r="U106" i="10"/>
  <c r="V106" i="10"/>
  <c r="Q107" i="10"/>
  <c r="R107" i="10"/>
  <c r="S107" i="10"/>
  <c r="T107" i="10"/>
  <c r="U107" i="10"/>
  <c r="V107" i="10"/>
  <c r="Q108" i="10"/>
  <c r="R108" i="10"/>
  <c r="S108" i="10"/>
  <c r="T108" i="10"/>
  <c r="U108" i="10"/>
  <c r="V108" i="10"/>
  <c r="Q69" i="10"/>
  <c r="Q77" i="10"/>
  <c r="Q53" i="10"/>
  <c r="Q45" i="10"/>
  <c r="Q37" i="10"/>
  <c r="Q48" i="10"/>
  <c r="Q47" i="10"/>
  <c r="Q38" i="10"/>
  <c r="Q70" i="10"/>
  <c r="Q78" i="10"/>
  <c r="Q52" i="10"/>
  <c r="Q44" i="10"/>
  <c r="Q36" i="10"/>
  <c r="Q40" i="10"/>
  <c r="Q68" i="10"/>
  <c r="Q63" i="10"/>
  <c r="Q71" i="10"/>
  <c r="Q79" i="10"/>
  <c r="Q51" i="10"/>
  <c r="Q43" i="10"/>
  <c r="Q74" i="10"/>
  <c r="Q75" i="10"/>
  <c r="Q46" i="10"/>
  <c r="Q64" i="10"/>
  <c r="Q72" i="10"/>
  <c r="Q80" i="10"/>
  <c r="Q50" i="10"/>
  <c r="Q42" i="10"/>
  <c r="Q54" i="10"/>
  <c r="Q65" i="10"/>
  <c r="Q73" i="10"/>
  <c r="Q81" i="10"/>
  <c r="Q49" i="10"/>
  <c r="Q41" i="10"/>
  <c r="Q66" i="10"/>
  <c r="Q67" i="10"/>
  <c r="Q39" i="10"/>
  <c r="Q76" i="10"/>
  <c r="Q89" i="10"/>
  <c r="R62" i="10"/>
  <c r="U35" i="10"/>
  <c r="T35" i="10"/>
  <c r="S35" i="10"/>
  <c r="V35" i="10"/>
  <c r="V62" i="10"/>
  <c r="R35" i="10"/>
  <c r="U62" i="10"/>
  <c r="T62" i="10"/>
  <c r="S62" i="10"/>
  <c r="A185" i="20"/>
  <c r="V79" i="10"/>
  <c r="V41" i="10"/>
  <c r="R68" i="10"/>
  <c r="S52" i="10"/>
  <c r="S40" i="10"/>
  <c r="V70" i="10"/>
  <c r="V40" i="10"/>
  <c r="R69" i="10"/>
  <c r="T46" i="10"/>
  <c r="R40" i="10"/>
  <c r="R47" i="10"/>
  <c r="R43" i="10"/>
  <c r="R66" i="10"/>
  <c r="V76" i="10"/>
  <c r="V53" i="10"/>
  <c r="V73" i="10"/>
  <c r="T74" i="10"/>
  <c r="V51" i="10"/>
  <c r="U78" i="10"/>
  <c r="R76" i="10"/>
  <c r="T76" i="10"/>
  <c r="R77" i="10"/>
  <c r="T79" i="10"/>
  <c r="U54" i="10"/>
  <c r="S73" i="10"/>
  <c r="S68" i="10"/>
  <c r="U42" i="10"/>
  <c r="U39" i="10"/>
  <c r="S79" i="10"/>
  <c r="T51" i="10"/>
  <c r="R36" i="10"/>
  <c r="S71" i="10"/>
  <c r="R80" i="10"/>
  <c r="T50" i="10"/>
  <c r="U64" i="10"/>
  <c r="V52" i="10"/>
  <c r="V44" i="10"/>
  <c r="U41" i="10"/>
  <c r="V50" i="10"/>
  <c r="R52" i="10"/>
  <c r="U66" i="10"/>
  <c r="V75" i="10"/>
  <c r="U37" i="10"/>
  <c r="S36" i="10"/>
  <c r="R45" i="10"/>
  <c r="T80" i="10"/>
  <c r="R73" i="10"/>
  <c r="S69" i="10"/>
  <c r="T36" i="10"/>
  <c r="T54" i="10"/>
  <c r="R38" i="10"/>
  <c r="S49" i="10"/>
  <c r="U80" i="10"/>
  <c r="U44" i="10"/>
  <c r="T40" i="10"/>
  <c r="S46" i="10"/>
  <c r="V46" i="10"/>
  <c r="R49" i="10"/>
  <c r="T47" i="10"/>
  <c r="T68" i="10"/>
  <c r="V69" i="10"/>
  <c r="U73" i="10"/>
  <c r="V72" i="10"/>
  <c r="R71" i="10"/>
  <c r="U69" i="10"/>
  <c r="T72" i="10"/>
  <c r="R48" i="10"/>
  <c r="T39" i="10"/>
  <c r="T81" i="10"/>
  <c r="V42" i="10"/>
  <c r="T77" i="10"/>
  <c r="V77" i="10"/>
  <c r="U47" i="10"/>
  <c r="V66" i="10"/>
  <c r="V36" i="10"/>
  <c r="V49" i="10"/>
  <c r="R81" i="10"/>
  <c r="R42" i="10"/>
  <c r="T53" i="10"/>
  <c r="V47" i="10"/>
  <c r="T37" i="10"/>
  <c r="U49" i="10"/>
  <c r="V54" i="10"/>
  <c r="R64" i="10"/>
  <c r="U72" i="10"/>
  <c r="T66" i="10"/>
  <c r="U70" i="10"/>
  <c r="U40" i="10"/>
  <c r="S75" i="10"/>
  <c r="R67" i="10"/>
  <c r="S41" i="10"/>
  <c r="U79" i="10"/>
  <c r="T69" i="10"/>
  <c r="U63" i="10"/>
  <c r="R39" i="10"/>
  <c r="U46" i="10"/>
  <c r="V43" i="10"/>
  <c r="U52" i="10"/>
  <c r="U53" i="10"/>
  <c r="S72" i="10"/>
  <c r="T43" i="10"/>
  <c r="S67" i="10"/>
  <c r="U77" i="10"/>
  <c r="R46" i="10"/>
  <c r="S42" i="10"/>
  <c r="V71" i="10"/>
  <c r="S65" i="10"/>
  <c r="T67" i="10"/>
  <c r="V48" i="10"/>
  <c r="V67" i="10"/>
  <c r="S48" i="10"/>
  <c r="R65" i="10"/>
  <c r="U76" i="10"/>
  <c r="V68" i="10"/>
  <c r="V80" i="10"/>
  <c r="R54" i="10"/>
  <c r="S77" i="10"/>
  <c r="S50" i="10"/>
  <c r="U36" i="10"/>
  <c r="R78" i="10"/>
  <c r="S47" i="10"/>
  <c r="R51" i="10"/>
  <c r="T73" i="10"/>
  <c r="T75" i="10"/>
  <c r="T63" i="10"/>
  <c r="T71" i="10"/>
  <c r="S63" i="10"/>
  <c r="V74" i="10"/>
  <c r="R70" i="10"/>
  <c r="S51" i="10"/>
  <c r="R63" i="10"/>
  <c r="S78" i="10"/>
  <c r="T64" i="10"/>
  <c r="V37" i="10"/>
  <c r="R53" i="10"/>
  <c r="U50" i="10"/>
  <c r="T78" i="10"/>
  <c r="V78" i="10"/>
  <c r="U65" i="10"/>
  <c r="U67" i="10"/>
  <c r="S39" i="10"/>
  <c r="U68" i="10"/>
  <c r="S80" i="10"/>
  <c r="S74" i="10"/>
  <c r="U71" i="10"/>
  <c r="R50" i="10"/>
  <c r="T70" i="10"/>
  <c r="T65" i="10"/>
  <c r="T41" i="10"/>
  <c r="S66" i="10"/>
  <c r="U51" i="10"/>
  <c r="T45" i="10"/>
  <c r="U81" i="10"/>
  <c r="U75" i="10"/>
  <c r="R74" i="10"/>
  <c r="S70" i="10"/>
  <c r="V64" i="10"/>
  <c r="T38" i="10"/>
  <c r="R79" i="10"/>
  <c r="T42" i="10"/>
  <c r="R41" i="10"/>
  <c r="S54" i="10"/>
  <c r="S37" i="10"/>
  <c r="R37" i="10"/>
  <c r="S38" i="10"/>
  <c r="U38" i="10"/>
  <c r="V39" i="10"/>
  <c r="S43" i="10"/>
  <c r="U45" i="10"/>
  <c r="S44" i="10"/>
  <c r="S45" i="10"/>
  <c r="R72" i="10"/>
  <c r="V45" i="10"/>
  <c r="T44" i="10"/>
  <c r="V63" i="10"/>
  <c r="V38" i="10"/>
  <c r="R75" i="10"/>
  <c r="S53" i="10"/>
  <c r="U48" i="10"/>
  <c r="U43" i="10"/>
  <c r="T52" i="10"/>
  <c r="R44" i="10"/>
  <c r="T49" i="10"/>
  <c r="S81" i="10"/>
  <c r="V81" i="10"/>
  <c r="T48" i="10"/>
  <c r="S64" i="10"/>
  <c r="S76" i="10"/>
  <c r="U74" i="10"/>
  <c r="V65" i="10"/>
  <c r="E94" i="12" l="1"/>
  <c r="W94" i="12" s="1"/>
  <c r="G207" i="7"/>
  <c r="G214" i="7"/>
  <c r="G210" i="7"/>
  <c r="E93" i="12"/>
  <c r="W93" i="12" s="1"/>
  <c r="G211" i="7"/>
  <c r="G209" i="7"/>
  <c r="G212" i="7"/>
  <c r="G206" i="7"/>
  <c r="G219" i="7"/>
  <c r="G218" i="7"/>
  <c r="G204" i="7"/>
  <c r="G216" i="7"/>
  <c r="G215" i="7"/>
  <c r="G208" i="7"/>
  <c r="E100" i="12"/>
  <c r="W100" i="12" s="1"/>
  <c r="N11" i="12"/>
  <c r="E101" i="12"/>
  <c r="W101" i="12" s="1"/>
  <c r="E107" i="12"/>
  <c r="W107" i="12" s="1"/>
  <c r="N15" i="12"/>
  <c r="F103" i="12"/>
  <c r="X19" i="12"/>
  <c r="F101" i="12"/>
  <c r="X17" i="12"/>
  <c r="F96" i="12"/>
  <c r="N96" i="12" s="1"/>
  <c r="X12" i="12"/>
  <c r="F100" i="12"/>
  <c r="N100" i="12" s="1"/>
  <c r="X16" i="12"/>
  <c r="F107" i="12"/>
  <c r="N107" i="12" s="1"/>
  <c r="X23" i="12"/>
  <c r="F97" i="12"/>
  <c r="X13" i="12"/>
  <c r="F106" i="12"/>
  <c r="N106" i="12" s="1"/>
  <c r="X22" i="12"/>
  <c r="F98" i="12"/>
  <c r="X14" i="12"/>
  <c r="F104" i="12"/>
  <c r="N104" i="12" s="1"/>
  <c r="X20" i="12"/>
  <c r="F99" i="12"/>
  <c r="X15" i="12"/>
  <c r="F110" i="12"/>
  <c r="X26" i="12"/>
  <c r="F95" i="12"/>
  <c r="X11" i="12"/>
  <c r="F102" i="12"/>
  <c r="X18" i="12"/>
  <c r="F108" i="12"/>
  <c r="N108" i="12" s="1"/>
  <c r="X24" i="12"/>
  <c r="F105" i="12"/>
  <c r="N105" i="12" s="1"/>
  <c r="X21" i="12"/>
  <c r="F109" i="12"/>
  <c r="N109" i="12" s="1"/>
  <c r="X25" i="12"/>
  <c r="Z107" i="10"/>
  <c r="Z103" i="10"/>
  <c r="Z99" i="10"/>
  <c r="Z95" i="10"/>
  <c r="Z91" i="10"/>
  <c r="Z108" i="10"/>
  <c r="Z104" i="10"/>
  <c r="Z100" i="10"/>
  <c r="Z96" i="10"/>
  <c r="Z92" i="10"/>
  <c r="Z105" i="10"/>
  <c r="Z101" i="10"/>
  <c r="Z97" i="10"/>
  <c r="Z93" i="10"/>
  <c r="Z106" i="10"/>
  <c r="Z102" i="10"/>
  <c r="Z98" i="10"/>
  <c r="Z94" i="10"/>
  <c r="Z90" i="10"/>
  <c r="W98" i="12"/>
  <c r="W103" i="12"/>
  <c r="W109" i="12"/>
  <c r="W105" i="12"/>
  <c r="W97" i="12"/>
  <c r="W110" i="12"/>
  <c r="W96" i="12"/>
  <c r="W102" i="12"/>
  <c r="W99" i="12"/>
  <c r="W108" i="12"/>
  <c r="W106" i="12"/>
  <c r="W95" i="12"/>
  <c r="W104" i="12"/>
  <c r="Z89" i="10"/>
  <c r="Q62" i="10"/>
  <c r="Z62" i="10" s="1"/>
  <c r="Q35" i="10"/>
  <c r="N20" i="12"/>
  <c r="N24" i="12"/>
  <c r="N19" i="12"/>
  <c r="N12" i="12"/>
  <c r="N25" i="12"/>
  <c r="N22" i="12"/>
  <c r="N26" i="12"/>
  <c r="N14" i="12"/>
  <c r="N16" i="12"/>
  <c r="N21" i="12"/>
  <c r="N17" i="12"/>
  <c r="N18" i="12"/>
  <c r="N13" i="12"/>
  <c r="N23" i="12"/>
  <c r="Z73" i="10"/>
  <c r="Z43" i="10"/>
  <c r="Z41" i="10"/>
  <c r="Z70" i="10"/>
  <c r="M43" i="12"/>
  <c r="M71" i="12"/>
  <c r="F74" i="12"/>
  <c r="F46" i="12"/>
  <c r="G48" i="12"/>
  <c r="G76" i="12"/>
  <c r="Z48" i="10"/>
  <c r="Z37" i="10"/>
  <c r="Z71" i="10"/>
  <c r="I47" i="12"/>
  <c r="I75" i="12"/>
  <c r="M80" i="12"/>
  <c r="M52" i="12"/>
  <c r="J43" i="12"/>
  <c r="J71" i="12"/>
  <c r="H48" i="12"/>
  <c r="H76" i="12"/>
  <c r="E74" i="12"/>
  <c r="E46" i="12"/>
  <c r="W18" i="12"/>
  <c r="F41" i="12"/>
  <c r="F69" i="12"/>
  <c r="E71" i="12"/>
  <c r="E43" i="12"/>
  <c r="W15" i="12"/>
  <c r="L52" i="12"/>
  <c r="L80" i="12"/>
  <c r="E80" i="12"/>
  <c r="E52" i="12"/>
  <c r="W24" i="12"/>
  <c r="I43" i="12"/>
  <c r="I71" i="12"/>
  <c r="G67" i="12"/>
  <c r="G39" i="12"/>
  <c r="L46" i="12"/>
  <c r="L74" i="12"/>
  <c r="E78" i="12"/>
  <c r="E50" i="12"/>
  <c r="W22" i="12"/>
  <c r="I48" i="12"/>
  <c r="I76" i="12"/>
  <c r="J40" i="12"/>
  <c r="J68" i="12"/>
  <c r="J81" i="12"/>
  <c r="J53" i="12"/>
  <c r="J78" i="12"/>
  <c r="J50" i="12"/>
  <c r="K49" i="12"/>
  <c r="K77" i="12"/>
  <c r="Z51" i="10"/>
  <c r="F45" i="12"/>
  <c r="F73" i="12"/>
  <c r="I42" i="12"/>
  <c r="I70" i="12"/>
  <c r="K40" i="12"/>
  <c r="K68" i="12"/>
  <c r="Z63" i="10"/>
  <c r="Z36" i="10"/>
  <c r="Z69" i="10"/>
  <c r="Z47" i="10"/>
  <c r="Z54" i="10"/>
  <c r="Z50" i="10"/>
  <c r="Z64" i="10"/>
  <c r="G80" i="12"/>
  <c r="G52" i="12"/>
  <c r="H42" i="12"/>
  <c r="H70" i="12"/>
  <c r="J39" i="12"/>
  <c r="J67" i="12"/>
  <c r="I44" i="12"/>
  <c r="I72" i="12"/>
  <c r="F51" i="12"/>
  <c r="F79" i="12"/>
  <c r="L49" i="12"/>
  <c r="L77" i="12"/>
  <c r="G40" i="12"/>
  <c r="G68" i="12"/>
  <c r="E39" i="12"/>
  <c r="E67" i="12"/>
  <c r="W67" i="12" s="1"/>
  <c r="W11" i="12"/>
  <c r="F43" i="12"/>
  <c r="F71" i="12"/>
  <c r="H44" i="12"/>
  <c r="H72" i="12"/>
  <c r="G51" i="12"/>
  <c r="G79" i="12"/>
  <c r="L48" i="12"/>
  <c r="L76" i="12"/>
  <c r="G71" i="12"/>
  <c r="G43" i="12"/>
  <c r="I53" i="12"/>
  <c r="I81" i="12"/>
  <c r="H52" i="12"/>
  <c r="H80" i="12"/>
  <c r="K52" i="12"/>
  <c r="K80" i="12"/>
  <c r="I40" i="12"/>
  <c r="I68" i="12"/>
  <c r="W20" i="12"/>
  <c r="E76" i="12"/>
  <c r="E48" i="12"/>
  <c r="I54" i="12"/>
  <c r="I82" i="12"/>
  <c r="L67" i="12"/>
  <c r="L39" i="12"/>
  <c r="I45" i="12"/>
  <c r="I73" i="12"/>
  <c r="Z74" i="10"/>
  <c r="Z44" i="10"/>
  <c r="Z68" i="10"/>
  <c r="Z79" i="10"/>
  <c r="Z77" i="10"/>
  <c r="M40" i="12"/>
  <c r="M68" i="12"/>
  <c r="J69" i="12"/>
  <c r="J41" i="12"/>
  <c r="J44" i="12"/>
  <c r="J72" i="12"/>
  <c r="H53" i="12"/>
  <c r="H81" i="12"/>
  <c r="E42" i="12"/>
  <c r="E70" i="12"/>
  <c r="W14" i="12"/>
  <c r="K45" i="12"/>
  <c r="K73" i="12"/>
  <c r="G54" i="12"/>
  <c r="G82" i="12"/>
  <c r="F48" i="12"/>
  <c r="F76" i="12"/>
  <c r="H68" i="12"/>
  <c r="H40" i="12"/>
  <c r="L44" i="12"/>
  <c r="L72" i="12"/>
  <c r="F80" i="12"/>
  <c r="F52" i="12"/>
  <c r="L41" i="12"/>
  <c r="L69" i="12"/>
  <c r="J80" i="12"/>
  <c r="J52" i="12"/>
  <c r="I46" i="12"/>
  <c r="I74" i="12"/>
  <c r="E72" i="12"/>
  <c r="E44" i="12"/>
  <c r="W16" i="12"/>
  <c r="K72" i="12"/>
  <c r="K44" i="12"/>
  <c r="M45" i="12"/>
  <c r="M73" i="12"/>
  <c r="H77" i="12"/>
  <c r="H49" i="12"/>
  <c r="I49" i="12"/>
  <c r="I77" i="12"/>
  <c r="H51" i="12"/>
  <c r="H79" i="12"/>
  <c r="Z39" i="10"/>
  <c r="Z42" i="10"/>
  <c r="Z49" i="10"/>
  <c r="E47" i="12"/>
  <c r="E75" i="12"/>
  <c r="W19" i="12"/>
  <c r="L54" i="12"/>
  <c r="L82" i="12"/>
  <c r="F40" i="12"/>
  <c r="F68" i="12"/>
  <c r="H41" i="12"/>
  <c r="H69" i="12"/>
  <c r="E66" i="12"/>
  <c r="E38" i="12"/>
  <c r="W10" i="12"/>
  <c r="K50" i="12"/>
  <c r="K78" i="12"/>
  <c r="E73" i="12"/>
  <c r="E45" i="12"/>
  <c r="W17" i="12"/>
  <c r="E81" i="12"/>
  <c r="E53" i="12"/>
  <c r="W25" i="12"/>
  <c r="H47" i="12"/>
  <c r="H75" i="12"/>
  <c r="G69" i="12"/>
  <c r="G41" i="12"/>
  <c r="J79" i="12"/>
  <c r="J51" i="12"/>
  <c r="J47" i="12"/>
  <c r="J75" i="12"/>
  <c r="M78" i="12"/>
  <c r="M50" i="12"/>
  <c r="H50" i="12"/>
  <c r="H78" i="12"/>
  <c r="K41" i="12"/>
  <c r="K69" i="12"/>
  <c r="G75" i="12"/>
  <c r="G47" i="12"/>
  <c r="K46" i="12"/>
  <c r="K74" i="12"/>
  <c r="F81" i="12"/>
  <c r="F53" i="12"/>
  <c r="Z53" i="10"/>
  <c r="L50" i="12"/>
  <c r="L78" i="12"/>
  <c r="M70" i="12"/>
  <c r="M42" i="12"/>
  <c r="Z66" i="10"/>
  <c r="Z46" i="10"/>
  <c r="Z81" i="10"/>
  <c r="Z76" i="10"/>
  <c r="Z52" i="10"/>
  <c r="K43" i="12"/>
  <c r="K71" i="12"/>
  <c r="L45" i="12"/>
  <c r="L73" i="12"/>
  <c r="L51" i="12"/>
  <c r="L79" i="12"/>
  <c r="G44" i="12"/>
  <c r="G72" i="12"/>
  <c r="J54" i="12"/>
  <c r="J82" i="12"/>
  <c r="I41" i="12"/>
  <c r="I69" i="12"/>
  <c r="K67" i="12"/>
  <c r="K39" i="12"/>
  <c r="F78" i="12"/>
  <c r="F50" i="12"/>
  <c r="L47" i="12"/>
  <c r="L75" i="12"/>
  <c r="F54" i="12"/>
  <c r="F82" i="12"/>
  <c r="K75" i="12"/>
  <c r="K47" i="12"/>
  <c r="M74" i="12"/>
  <c r="M46" i="12"/>
  <c r="J42" i="12"/>
  <c r="J70" i="12"/>
  <c r="I39" i="12"/>
  <c r="I67" i="12"/>
  <c r="H39" i="12"/>
  <c r="H67" i="12"/>
  <c r="H46" i="12"/>
  <c r="H74" i="12"/>
  <c r="K70" i="12"/>
  <c r="K42" i="12"/>
  <c r="G81" i="12"/>
  <c r="G53" i="12"/>
  <c r="I50" i="12"/>
  <c r="I78" i="12"/>
  <c r="H43" i="12"/>
  <c r="H71" i="12"/>
  <c r="M77" i="12"/>
  <c r="M49" i="12"/>
  <c r="Z65" i="10"/>
  <c r="Z75" i="10"/>
  <c r="Z40" i="10"/>
  <c r="Z38" i="10"/>
  <c r="Z67" i="10"/>
  <c r="F75" i="12"/>
  <c r="F47" i="12"/>
  <c r="M44" i="12"/>
  <c r="M72" i="12"/>
  <c r="E77" i="12"/>
  <c r="E49" i="12"/>
  <c r="W21" i="12"/>
  <c r="G73" i="12"/>
  <c r="G45" i="12"/>
  <c r="G42" i="12"/>
  <c r="G70" i="12"/>
  <c r="H45" i="12"/>
  <c r="H73" i="12"/>
  <c r="M53" i="12"/>
  <c r="M81" i="12"/>
  <c r="F42" i="12"/>
  <c r="F70" i="12"/>
  <c r="M39" i="12"/>
  <c r="M67" i="12"/>
  <c r="E79" i="12"/>
  <c r="E51" i="12"/>
  <c r="W23" i="12"/>
  <c r="M51" i="12"/>
  <c r="M79" i="12"/>
  <c r="G77" i="12"/>
  <c r="G49" i="12"/>
  <c r="K54" i="12"/>
  <c r="K82" i="12"/>
  <c r="G46" i="12"/>
  <c r="G74" i="12"/>
  <c r="L70" i="12"/>
  <c r="L42" i="12"/>
  <c r="L68" i="12"/>
  <c r="L40" i="12"/>
  <c r="K81" i="12"/>
  <c r="K53" i="12"/>
  <c r="H82" i="12"/>
  <c r="H54" i="12"/>
  <c r="J77" i="12"/>
  <c r="J49" i="12"/>
  <c r="M41" i="12"/>
  <c r="M69" i="12"/>
  <c r="M48" i="12"/>
  <c r="M76" i="12"/>
  <c r="Z72" i="10"/>
  <c r="Z78" i="10"/>
  <c r="Z45" i="10"/>
  <c r="Z80" i="10"/>
  <c r="E69" i="12"/>
  <c r="E41" i="12"/>
  <c r="W13" i="12"/>
  <c r="L43" i="12"/>
  <c r="L71" i="12"/>
  <c r="K48" i="12"/>
  <c r="K76" i="12"/>
  <c r="F44" i="12"/>
  <c r="F72" i="12"/>
  <c r="J48" i="12"/>
  <c r="J76" i="12"/>
  <c r="G50" i="12"/>
  <c r="G78" i="12"/>
  <c r="E37" i="12"/>
  <c r="E65" i="12"/>
  <c r="W9" i="12"/>
  <c r="M75" i="12"/>
  <c r="M47" i="12"/>
  <c r="E82" i="12"/>
  <c r="E54" i="12"/>
  <c r="W26" i="12"/>
  <c r="E68" i="12"/>
  <c r="E40" i="12"/>
  <c r="W12" i="12"/>
  <c r="F39" i="12"/>
  <c r="F67" i="12"/>
  <c r="L53" i="12"/>
  <c r="L81" i="12"/>
  <c r="M54" i="12"/>
  <c r="M82" i="12"/>
  <c r="J45" i="12"/>
  <c r="J73" i="12"/>
  <c r="I52" i="12"/>
  <c r="I80" i="12"/>
  <c r="K51" i="12"/>
  <c r="K79" i="12"/>
  <c r="I79" i="12"/>
  <c r="I51" i="12"/>
  <c r="F77" i="12"/>
  <c r="F49" i="12"/>
  <c r="J74" i="12"/>
  <c r="J46" i="12"/>
  <c r="N39" i="12" l="1"/>
  <c r="N72" i="12"/>
  <c r="N50" i="12"/>
  <c r="N70" i="12"/>
  <c r="N75" i="12"/>
  <c r="N49" i="12"/>
  <c r="N44" i="12"/>
  <c r="N42" i="12"/>
  <c r="N78" i="12"/>
  <c r="N80" i="12"/>
  <c r="N69" i="12"/>
  <c r="X99" i="12"/>
  <c r="N99" i="12"/>
  <c r="X97" i="12"/>
  <c r="N97" i="12"/>
  <c r="X101" i="12"/>
  <c r="N101" i="12"/>
  <c r="N41" i="12"/>
  <c r="N81" i="12"/>
  <c r="N68" i="12"/>
  <c r="N73" i="12"/>
  <c r="N46" i="12"/>
  <c r="X102" i="12"/>
  <c r="N102" i="12"/>
  <c r="X103" i="12"/>
  <c r="N103" i="12"/>
  <c r="N82" i="12"/>
  <c r="N40" i="12"/>
  <c r="N45" i="12"/>
  <c r="N74" i="12"/>
  <c r="N54" i="12"/>
  <c r="N71" i="12"/>
  <c r="X95" i="12"/>
  <c r="N95" i="12"/>
  <c r="X98" i="12"/>
  <c r="N98" i="12"/>
  <c r="N52" i="12"/>
  <c r="N77" i="12"/>
  <c r="N53" i="12"/>
  <c r="N76" i="12"/>
  <c r="N43" i="12"/>
  <c r="N79" i="12"/>
  <c r="N67" i="12"/>
  <c r="N47" i="12"/>
  <c r="N48" i="12"/>
  <c r="N51" i="12"/>
  <c r="X110" i="12"/>
  <c r="N110" i="12"/>
  <c r="X96" i="12"/>
  <c r="X107" i="12"/>
  <c r="X104" i="12"/>
  <c r="X106" i="12"/>
  <c r="X105" i="12"/>
  <c r="X108" i="12"/>
  <c r="X100" i="12"/>
  <c r="X109" i="12"/>
  <c r="X77" i="12"/>
  <c r="X73" i="12"/>
  <c r="W47" i="12"/>
  <c r="X51" i="12"/>
  <c r="W54" i="12"/>
  <c r="W65" i="12"/>
  <c r="W38" i="12"/>
  <c r="X52" i="12"/>
  <c r="X45" i="12"/>
  <c r="W78" i="12"/>
  <c r="X69" i="12"/>
  <c r="X40" i="12"/>
  <c r="W82" i="12"/>
  <c r="W37" i="12"/>
  <c r="X72" i="12"/>
  <c r="X53" i="12"/>
  <c r="W73" i="12"/>
  <c r="W66" i="12"/>
  <c r="X80" i="12"/>
  <c r="X76" i="12"/>
  <c r="X41" i="12"/>
  <c r="X46" i="12"/>
  <c r="W45" i="12"/>
  <c r="X44" i="12"/>
  <c r="X81" i="12"/>
  <c r="X48" i="12"/>
  <c r="X74" i="12"/>
  <c r="W79" i="12"/>
  <c r="X43" i="12"/>
  <c r="W50" i="12"/>
  <c r="W40" i="12"/>
  <c r="X82" i="12"/>
  <c r="W70" i="12"/>
  <c r="W76" i="12"/>
  <c r="W41" i="12"/>
  <c r="W68" i="12"/>
  <c r="W69" i="12"/>
  <c r="X47" i="12"/>
  <c r="X50" i="12"/>
  <c r="W53" i="12"/>
  <c r="W42" i="12"/>
  <c r="W52" i="12"/>
  <c r="W43" i="12"/>
  <c r="W46" i="12"/>
  <c r="X39" i="12"/>
  <c r="X70" i="12"/>
  <c r="W49" i="12"/>
  <c r="X75" i="12"/>
  <c r="X78" i="12"/>
  <c r="W81" i="12"/>
  <c r="W44" i="12"/>
  <c r="W48" i="12"/>
  <c r="X71" i="12"/>
  <c r="W39" i="12"/>
  <c r="W80" i="12"/>
  <c r="W71" i="12"/>
  <c r="X49" i="12"/>
  <c r="X67" i="12"/>
  <c r="W51" i="12"/>
  <c r="X42" i="12"/>
  <c r="W77" i="12"/>
  <c r="X54" i="12"/>
  <c r="X68" i="12"/>
  <c r="W75" i="12"/>
  <c r="W72" i="12"/>
  <c r="X79" i="12"/>
  <c r="W74" i="12"/>
  <c r="G12" i="8" l="1"/>
  <c r="M4" i="10" l="1"/>
  <c r="L123" i="12"/>
  <c r="L153" i="12" s="1"/>
  <c r="P4" i="10" l="1"/>
  <c r="AD4" i="10" s="1"/>
  <c r="M123" i="12" s="1"/>
  <c r="O4" i="12"/>
  <c r="O60" i="12" s="1"/>
  <c r="Y60" i="12" s="1"/>
  <c r="F141" i="7"/>
  <c r="G141" i="7" s="1"/>
  <c r="M31" i="10"/>
  <c r="P31" i="10" s="1"/>
  <c r="AD31" i="10" s="1"/>
  <c r="AE31" i="10" s="1"/>
  <c r="AA32" i="10" s="1"/>
  <c r="AE4" i="10"/>
  <c r="AA5" i="10" s="1"/>
  <c r="J123" i="12"/>
  <c r="K123" i="12" s="1"/>
  <c r="K153" i="12" s="1"/>
  <c r="M58" i="10"/>
  <c r="P58" i="10" s="1"/>
  <c r="AD58" i="10" s="1"/>
  <c r="AE58" i="10" s="1"/>
  <c r="AA59" i="10" s="1"/>
  <c r="M85" i="10"/>
  <c r="P85" i="10" s="1"/>
  <c r="AD85" i="10" s="1"/>
  <c r="AE85" i="10" s="1"/>
  <c r="O88" i="12" l="1"/>
  <c r="P88" i="12" s="1"/>
  <c r="P60" i="12"/>
  <c r="Y4" i="12"/>
  <c r="P4" i="12"/>
  <c r="O32" i="12"/>
  <c r="P32" i="12" s="1"/>
  <c r="AC5" i="10"/>
  <c r="R32" i="12"/>
  <c r="R4" i="12"/>
  <c r="N123" i="12"/>
  <c r="M153" i="12" s="1"/>
  <c r="J153" i="12"/>
  <c r="R60" i="12"/>
  <c r="AC32" i="10"/>
  <c r="AE32" i="10" s="1"/>
  <c r="Q33" i="12"/>
  <c r="Z33" i="12" s="1"/>
  <c r="R88" i="12"/>
  <c r="AA86" i="10"/>
  <c r="AC86" i="10" s="1"/>
  <c r="AC59" i="10"/>
  <c r="AE59" i="10" s="1"/>
  <c r="Q62" i="12"/>
  <c r="Z62" i="12" s="1"/>
  <c r="Y88" i="12" l="1"/>
  <c r="Y32" i="12"/>
  <c r="Q5" i="12"/>
  <c r="Z5" i="12" s="1"/>
  <c r="Q89" i="12"/>
  <c r="Z89" i="12" s="1"/>
  <c r="AE86" i="10"/>
  <c r="AA60" i="10"/>
  <c r="R61" i="12"/>
  <c r="AA33" i="10"/>
  <c r="R33" i="12"/>
  <c r="R89" i="12" l="1"/>
  <c r="AA87" i="10"/>
  <c r="AC87" i="10" s="1"/>
  <c r="Q34" i="12"/>
  <c r="Z34" i="12" s="1"/>
  <c r="AC33" i="10"/>
  <c r="AE33" i="10" s="1"/>
  <c r="AC60" i="10"/>
  <c r="AE60" i="10" s="1"/>
  <c r="Q63" i="12"/>
  <c r="Z63" i="12" s="1"/>
  <c r="AA34" i="10" l="1"/>
  <c r="R34" i="12"/>
  <c r="R62" i="12"/>
  <c r="AA61" i="10"/>
  <c r="Q90" i="12"/>
  <c r="Z90" i="12" s="1"/>
  <c r="AE87" i="10"/>
  <c r="R90" i="12" l="1"/>
  <c r="AA88" i="10"/>
  <c r="AC88" i="10" s="1"/>
  <c r="AC61" i="10"/>
  <c r="Q64" i="12"/>
  <c r="Z64" i="12" s="1"/>
  <c r="Q35" i="12"/>
  <c r="Z35" i="12" s="1"/>
  <c r="AC34" i="10"/>
  <c r="Q91" i="12" l="1"/>
  <c r="Z91" i="12" s="1"/>
  <c r="AE5" i="10" l="1"/>
  <c r="N124" i="12" s="1"/>
  <c r="M154" i="12" s="1"/>
  <c r="L124" i="12"/>
  <c r="L154" i="12" s="1"/>
  <c r="AA6" i="10" l="1"/>
  <c r="AC6" i="10" s="1"/>
  <c r="R5" i="12"/>
  <c r="Q6" i="12" l="1"/>
  <c r="Z6" i="12" s="1"/>
  <c r="AE6" i="10" l="1"/>
  <c r="L125" i="12"/>
  <c r="L155" i="12" s="1"/>
  <c r="N125" i="12" l="1"/>
  <c r="M155" i="12" s="1"/>
  <c r="R6" i="12"/>
  <c r="AA7" i="10"/>
  <c r="M7" i="10" l="1"/>
  <c r="O7" i="12" s="1"/>
  <c r="E225" i="7"/>
  <c r="AC7" i="10"/>
  <c r="Q7" i="12"/>
  <c r="Z7" i="12" s="1"/>
  <c r="D225" i="7"/>
  <c r="H200" i="7" l="1"/>
  <c r="I200" i="7" s="1"/>
  <c r="F144" i="7"/>
  <c r="G144" i="7" s="1"/>
  <c r="M61" i="10"/>
  <c r="P61" i="10" s="1"/>
  <c r="AD61" i="10" s="1"/>
  <c r="AE61" i="10" s="1"/>
  <c r="M34" i="10"/>
  <c r="P34" i="10" s="1"/>
  <c r="AD34" i="10" s="1"/>
  <c r="AE34" i="10" s="1"/>
  <c r="M88" i="10"/>
  <c r="P88" i="10" s="1"/>
  <c r="AD88" i="10" s="1"/>
  <c r="AE88" i="10" s="1"/>
  <c r="J126" i="12"/>
  <c r="P7" i="10"/>
  <c r="AD7" i="10" s="1"/>
  <c r="L126" i="12"/>
  <c r="L156" i="12" s="1"/>
  <c r="F225" i="7"/>
  <c r="J156" i="12" l="1"/>
  <c r="K126" i="12"/>
  <c r="K156" i="12" s="1"/>
  <c r="R63" i="12"/>
  <c r="AA62" i="10"/>
  <c r="R91" i="12"/>
  <c r="AA89" i="10"/>
  <c r="AC89" i="10" s="1"/>
  <c r="M126" i="12"/>
  <c r="G225" i="7"/>
  <c r="AE7" i="10"/>
  <c r="R7" i="12" s="1"/>
  <c r="P7" i="12"/>
  <c r="O91" i="12"/>
  <c r="O35" i="12"/>
  <c r="O63" i="12"/>
  <c r="Y7" i="12"/>
  <c r="R35" i="12"/>
  <c r="AA35" i="10"/>
  <c r="N126" i="12" l="1"/>
  <c r="M156" i="12" s="1"/>
  <c r="AA8" i="10"/>
  <c r="Q8" i="12" s="1"/>
  <c r="Z8" i="12" s="1"/>
  <c r="H225" i="7"/>
  <c r="P35" i="12"/>
  <c r="Y35" i="12"/>
  <c r="AC62" i="10"/>
  <c r="Q65" i="12"/>
  <c r="Z65" i="12" s="1"/>
  <c r="M8" i="10"/>
  <c r="O8" i="12" s="1"/>
  <c r="E226" i="7"/>
  <c r="Y91" i="12"/>
  <c r="P91" i="12"/>
  <c r="AC35" i="10"/>
  <c r="Q36" i="12"/>
  <c r="Z36" i="12" s="1"/>
  <c r="Q92" i="12"/>
  <c r="Z92" i="12" s="1"/>
  <c r="P63" i="12"/>
  <c r="Y63" i="12"/>
  <c r="D226" i="7" l="1"/>
  <c r="AC8" i="10"/>
  <c r="L127" i="12" s="1"/>
  <c r="L157" i="12" s="1"/>
  <c r="H201" i="7"/>
  <c r="I201" i="7" s="1"/>
  <c r="M62" i="10"/>
  <c r="P62" i="10" s="1"/>
  <c r="AD62" i="10" s="1"/>
  <c r="AE62" i="10" s="1"/>
  <c r="J127" i="12"/>
  <c r="M89" i="10"/>
  <c r="P89" i="10" s="1"/>
  <c r="AD89" i="10" s="1"/>
  <c r="AE89" i="10" s="1"/>
  <c r="F145" i="7"/>
  <c r="G145" i="7" s="1"/>
  <c r="M35" i="10"/>
  <c r="P35" i="10" s="1"/>
  <c r="AD35" i="10" s="1"/>
  <c r="AE35" i="10" s="1"/>
  <c r="P8" i="10"/>
  <c r="AD8" i="10" s="1"/>
  <c r="F226" i="7" l="1"/>
  <c r="AE8" i="10"/>
  <c r="R8" i="12" s="1"/>
  <c r="AA36" i="10"/>
  <c r="R36" i="12"/>
  <c r="R64" i="12"/>
  <c r="AA63" i="10"/>
  <c r="M127" i="12"/>
  <c r="G226" i="7"/>
  <c r="R92" i="12"/>
  <c r="AA90" i="10"/>
  <c r="AC90" i="10" s="1"/>
  <c r="J157" i="12"/>
  <c r="K127" i="12"/>
  <c r="K157" i="12" s="1"/>
  <c r="O64" i="12"/>
  <c r="O36" i="12"/>
  <c r="Y8" i="12"/>
  <c r="O92" i="12"/>
  <c r="P8" i="12"/>
  <c r="N127" i="12" l="1"/>
  <c r="M157" i="12" s="1"/>
  <c r="H226" i="7"/>
  <c r="AA9" i="10"/>
  <c r="AC9" i="10" s="1"/>
  <c r="Q93" i="12"/>
  <c r="Z93" i="12" s="1"/>
  <c r="Y36" i="12"/>
  <c r="P36" i="12"/>
  <c r="Q66" i="12"/>
  <c r="Z66" i="12" s="1"/>
  <c r="AC63" i="10"/>
  <c r="Y64" i="12"/>
  <c r="P64" i="12"/>
  <c r="E227" i="7"/>
  <c r="M9" i="10"/>
  <c r="O9" i="12" s="1"/>
  <c r="Y92" i="12"/>
  <c r="P92" i="12"/>
  <c r="AC36" i="10"/>
  <c r="Q37" i="12"/>
  <c r="Z37" i="12" s="1"/>
  <c r="D227" i="7" l="1"/>
  <c r="Q9" i="12"/>
  <c r="Z9" i="12" s="1"/>
  <c r="M90" i="10"/>
  <c r="P90" i="10" s="1"/>
  <c r="AD90" i="10" s="1"/>
  <c r="AE90" i="10" s="1"/>
  <c r="P9" i="10"/>
  <c r="AD9" i="10" s="1"/>
  <c r="AE9" i="10" s="1"/>
  <c r="J128" i="12"/>
  <c r="H202" i="7"/>
  <c r="I202" i="7" s="1"/>
  <c r="M36" i="10"/>
  <c r="P36" i="10" s="1"/>
  <c r="AD36" i="10" s="1"/>
  <c r="AE36" i="10" s="1"/>
  <c r="F146" i="7"/>
  <c r="G146" i="7" s="1"/>
  <c r="M63" i="10"/>
  <c r="P63" i="10" s="1"/>
  <c r="AD63" i="10" s="1"/>
  <c r="AE63" i="10" s="1"/>
  <c r="F227" i="7"/>
  <c r="L128" i="12"/>
  <c r="L158" i="12" s="1"/>
  <c r="R65" i="12" l="1"/>
  <c r="AA64" i="10"/>
  <c r="R37" i="12"/>
  <c r="AA37" i="10"/>
  <c r="P9" i="12"/>
  <c r="O93" i="12"/>
  <c r="O37" i="12"/>
  <c r="Y9" i="12"/>
  <c r="O65" i="12"/>
  <c r="G227" i="7"/>
  <c r="M128" i="12"/>
  <c r="J158" i="12"/>
  <c r="K128" i="12"/>
  <c r="K158" i="12" s="1"/>
  <c r="AA91" i="10"/>
  <c r="AC91" i="10" s="1"/>
  <c r="Q94" i="12" s="1"/>
  <c r="Z94" i="12" s="1"/>
  <c r="R93" i="12"/>
  <c r="H227" i="7"/>
  <c r="R9" i="12"/>
  <c r="AA10" i="10"/>
  <c r="N128" i="12"/>
  <c r="M158" i="12" s="1"/>
  <c r="P93" i="12" l="1"/>
  <c r="Y93" i="12"/>
  <c r="AC64" i="10"/>
  <c r="Q67" i="12"/>
  <c r="Z67" i="12" s="1"/>
  <c r="Y37" i="12"/>
  <c r="P37" i="12"/>
  <c r="Q38" i="12"/>
  <c r="Z38" i="12" s="1"/>
  <c r="AC37" i="10"/>
  <c r="P65" i="12"/>
  <c r="Y65" i="12"/>
  <c r="D228" i="7"/>
  <c r="Q10" i="12"/>
  <c r="Z10" i="12" s="1"/>
  <c r="M10" i="10"/>
  <c r="AC10" i="10"/>
  <c r="F228" i="7" s="1"/>
  <c r="E228" i="7"/>
  <c r="H203" i="7" l="1"/>
  <c r="I203" i="7" s="1"/>
  <c r="O10" i="12"/>
  <c r="O94" i="12" s="1"/>
  <c r="F147" i="7"/>
  <c r="G147" i="7" s="1"/>
  <c r="M91" i="10"/>
  <c r="P91" i="10" s="1"/>
  <c r="AD91" i="10" s="1"/>
  <c r="AE91" i="10" s="1"/>
  <c r="R94" i="12" s="1"/>
  <c r="M37" i="10"/>
  <c r="P37" i="10" s="1"/>
  <c r="AD37" i="10" s="1"/>
  <c r="AE37" i="10" s="1"/>
  <c r="R38" i="12" s="1"/>
  <c r="J129" i="12"/>
  <c r="P10" i="10"/>
  <c r="AD10" i="10" s="1"/>
  <c r="M64" i="10"/>
  <c r="P64" i="10" s="1"/>
  <c r="AD64" i="10" s="1"/>
  <c r="AE64" i="10" s="1"/>
  <c r="L129" i="12"/>
  <c r="L159" i="12" s="1"/>
  <c r="O38" i="12" l="1"/>
  <c r="P38" i="12" s="1"/>
  <c r="Y10" i="12"/>
  <c r="P10" i="12"/>
  <c r="O66" i="12"/>
  <c r="Y66" i="12" s="1"/>
  <c r="AA92" i="10"/>
  <c r="AC92" i="10" s="1"/>
  <c r="Q95" i="12" s="1"/>
  <c r="Z95" i="12" s="1"/>
  <c r="AA38" i="10"/>
  <c r="Q39" i="12" s="1"/>
  <c r="Z39" i="12" s="1"/>
  <c r="J159" i="12"/>
  <c r="K129" i="12"/>
  <c r="K159" i="12" s="1"/>
  <c r="Y94" i="12"/>
  <c r="P94" i="12"/>
  <c r="R66" i="12"/>
  <c r="AA65" i="10"/>
  <c r="M129" i="12"/>
  <c r="AE10" i="10"/>
  <c r="G228" i="7"/>
  <c r="Y38" i="12" l="1"/>
  <c r="AC38" i="10"/>
  <c r="P66" i="12"/>
  <c r="R10" i="12"/>
  <c r="N129" i="12"/>
  <c r="M159" i="12" s="1"/>
  <c r="H228" i="7"/>
  <c r="AA11" i="10"/>
  <c r="AC65" i="10"/>
  <c r="Q68" i="12"/>
  <c r="Z68" i="12" s="1"/>
  <c r="M11" i="10" l="1"/>
  <c r="O11" i="12" s="1"/>
  <c r="E229" i="7"/>
  <c r="AC11" i="10"/>
  <c r="Q11" i="12"/>
  <c r="Z11" i="12" s="1"/>
  <c r="D229" i="7"/>
  <c r="H204" i="7" l="1"/>
  <c r="I204" i="7" s="1"/>
  <c r="M65" i="10"/>
  <c r="P65" i="10" s="1"/>
  <c r="AD65" i="10" s="1"/>
  <c r="AE65" i="10" s="1"/>
  <c r="F148" i="7"/>
  <c r="G148" i="7" s="1"/>
  <c r="M38" i="10"/>
  <c r="P38" i="10" s="1"/>
  <c r="AD38" i="10" s="1"/>
  <c r="AE38" i="10" s="1"/>
  <c r="P11" i="10"/>
  <c r="AD11" i="10" s="1"/>
  <c r="AE11" i="10" s="1"/>
  <c r="M92" i="10"/>
  <c r="P92" i="10" s="1"/>
  <c r="AD92" i="10" s="1"/>
  <c r="AE92" i="10" s="1"/>
  <c r="J130" i="12"/>
  <c r="L130" i="12"/>
  <c r="L160" i="12" s="1"/>
  <c r="F229" i="7"/>
  <c r="Y11" i="12" l="1"/>
  <c r="O39" i="12"/>
  <c r="O67" i="12"/>
  <c r="O95" i="12"/>
  <c r="P11" i="12"/>
  <c r="G229" i="7"/>
  <c r="M130" i="12"/>
  <c r="AA39" i="10"/>
  <c r="R39" i="12"/>
  <c r="AA93" i="10"/>
  <c r="AC93" i="10" s="1"/>
  <c r="R95" i="12"/>
  <c r="R67" i="12"/>
  <c r="AA66" i="10"/>
  <c r="J160" i="12"/>
  <c r="K130" i="12"/>
  <c r="K160" i="12" s="1"/>
  <c r="R11" i="12"/>
  <c r="N130" i="12"/>
  <c r="M160" i="12" s="1"/>
  <c r="H229" i="7"/>
  <c r="AA12" i="10"/>
  <c r="Y95" i="12" l="1"/>
  <c r="P95" i="12"/>
  <c r="E230" i="7"/>
  <c r="M12" i="10"/>
  <c r="O12" i="12" s="1"/>
  <c r="Y67" i="12"/>
  <c r="P67" i="12"/>
  <c r="AC39" i="10"/>
  <c r="Q40" i="12"/>
  <c r="Z40" i="12" s="1"/>
  <c r="AC66" i="10"/>
  <c r="Q69" i="12"/>
  <c r="Z69" i="12" s="1"/>
  <c r="Y39" i="12"/>
  <c r="P39" i="12"/>
  <c r="Q96" i="12"/>
  <c r="Z96" i="12" s="1"/>
  <c r="AC12" i="10"/>
  <c r="D230" i="7"/>
  <c r="Q12" i="12"/>
  <c r="Z12" i="12" s="1"/>
  <c r="J131" i="12" l="1"/>
  <c r="M39" i="10"/>
  <c r="P39" i="10" s="1"/>
  <c r="AD39" i="10" s="1"/>
  <c r="AE39" i="10" s="1"/>
  <c r="M93" i="10"/>
  <c r="P93" i="10" s="1"/>
  <c r="AD93" i="10" s="1"/>
  <c r="AE93" i="10" s="1"/>
  <c r="F149" i="7"/>
  <c r="G149" i="7" s="1"/>
  <c r="H205" i="7"/>
  <c r="I205" i="7" s="1"/>
  <c r="M66" i="10"/>
  <c r="P66" i="10" s="1"/>
  <c r="AD66" i="10" s="1"/>
  <c r="AE66" i="10" s="1"/>
  <c r="P12" i="10"/>
  <c r="AD12" i="10" s="1"/>
  <c r="F230" i="7"/>
  <c r="L131" i="12"/>
  <c r="L161" i="12" s="1"/>
  <c r="R68" i="12" l="1"/>
  <c r="AA67" i="10"/>
  <c r="AA40" i="10"/>
  <c r="R40" i="12"/>
  <c r="G230" i="7"/>
  <c r="M131" i="12"/>
  <c r="R96" i="12"/>
  <c r="AA94" i="10"/>
  <c r="AC94" i="10" s="1"/>
  <c r="J161" i="12"/>
  <c r="K131" i="12"/>
  <c r="K161" i="12" s="1"/>
  <c r="AE12" i="10"/>
  <c r="O96" i="12"/>
  <c r="Y12" i="12"/>
  <c r="O68" i="12"/>
  <c r="O40" i="12"/>
  <c r="P12" i="12"/>
  <c r="AA13" i="10" l="1"/>
  <c r="AC13" i="10" s="1"/>
  <c r="N131" i="12"/>
  <c r="M161" i="12" s="1"/>
  <c r="H230" i="7"/>
  <c r="Y40" i="12"/>
  <c r="P40" i="12"/>
  <c r="Y96" i="12"/>
  <c r="P96" i="12"/>
  <c r="E231" i="7"/>
  <c r="M13" i="10"/>
  <c r="O13" i="12" s="1"/>
  <c r="AC40" i="10"/>
  <c r="Q41" i="12"/>
  <c r="Z41" i="12" s="1"/>
  <c r="Y68" i="12"/>
  <c r="P68" i="12"/>
  <c r="Q70" i="12"/>
  <c r="Z70" i="12" s="1"/>
  <c r="AC67" i="10"/>
  <c r="Q97" i="12"/>
  <c r="Z97" i="12" s="1"/>
  <c r="R12" i="12"/>
  <c r="D231" i="7" l="1"/>
  <c r="Q13" i="12"/>
  <c r="Z13" i="12" s="1"/>
  <c r="M40" i="10"/>
  <c r="P40" i="10" s="1"/>
  <c r="AD40" i="10" s="1"/>
  <c r="AE40" i="10" s="1"/>
  <c r="J132" i="12"/>
  <c r="F150" i="7"/>
  <c r="G150" i="7" s="1"/>
  <c r="M94" i="10"/>
  <c r="P94" i="10" s="1"/>
  <c r="AD94" i="10" s="1"/>
  <c r="AE94" i="10" s="1"/>
  <c r="H206" i="7"/>
  <c r="I206" i="7" s="1"/>
  <c r="P13" i="10"/>
  <c r="AD13" i="10" s="1"/>
  <c r="M67" i="10"/>
  <c r="P67" i="10" s="1"/>
  <c r="AD67" i="10" s="1"/>
  <c r="AE67" i="10" s="1"/>
  <c r="F231" i="7"/>
  <c r="L132" i="12"/>
  <c r="L162" i="12" s="1"/>
  <c r="R69" i="12" l="1"/>
  <c r="AA68" i="10"/>
  <c r="AA95" i="10"/>
  <c r="AC95" i="10" s="1"/>
  <c r="R97" i="12"/>
  <c r="G231" i="7"/>
  <c r="M132" i="12"/>
  <c r="O41" i="12"/>
  <c r="O97" i="12"/>
  <c r="Y13" i="12"/>
  <c r="O69" i="12"/>
  <c r="P13" i="12"/>
  <c r="J162" i="12"/>
  <c r="K132" i="12"/>
  <c r="K162" i="12" s="1"/>
  <c r="AE13" i="10"/>
  <c r="AA14" i="10" s="1"/>
  <c r="AC14" i="10" s="1"/>
  <c r="R41" i="12"/>
  <c r="AA41" i="10"/>
  <c r="R13" i="12" l="1"/>
  <c r="E232" i="7"/>
  <c r="M14" i="10"/>
  <c r="O14" i="12" s="1"/>
  <c r="Q98" i="12"/>
  <c r="Z98" i="12" s="1"/>
  <c r="Q42" i="12"/>
  <c r="Z42" i="12" s="1"/>
  <c r="AC41" i="10"/>
  <c r="H231" i="7"/>
  <c r="Y69" i="12"/>
  <c r="P69" i="12"/>
  <c r="Q71" i="12"/>
  <c r="Z71" i="12" s="1"/>
  <c r="AC68" i="10"/>
  <c r="Y97" i="12"/>
  <c r="P97" i="12"/>
  <c r="Y41" i="12"/>
  <c r="P41" i="12"/>
  <c r="N132" i="12"/>
  <c r="M162" i="12" s="1"/>
  <c r="Q14" i="12"/>
  <c r="Z14" i="12" s="1"/>
  <c r="D232" i="7"/>
  <c r="M41" i="10" l="1"/>
  <c r="P41" i="10" s="1"/>
  <c r="AD41" i="10" s="1"/>
  <c r="AE41" i="10" s="1"/>
  <c r="H207" i="7"/>
  <c r="I207" i="7" s="1"/>
  <c r="F151" i="7"/>
  <c r="G151" i="7" s="1"/>
  <c r="M68" i="10"/>
  <c r="P68" i="10" s="1"/>
  <c r="AD68" i="10" s="1"/>
  <c r="AE68" i="10" s="1"/>
  <c r="P14" i="10"/>
  <c r="AD14" i="10" s="1"/>
  <c r="AE14" i="10" s="1"/>
  <c r="J133" i="12"/>
  <c r="M95" i="10"/>
  <c r="P95" i="10" s="1"/>
  <c r="AD95" i="10" s="1"/>
  <c r="AE95" i="10" s="1"/>
  <c r="L133" i="12"/>
  <c r="L163" i="12" s="1"/>
  <c r="F232" i="7"/>
  <c r="AA69" i="10" l="1"/>
  <c r="R70" i="12"/>
  <c r="R42" i="12"/>
  <c r="AA42" i="10"/>
  <c r="O98" i="12"/>
  <c r="Y14" i="12"/>
  <c r="O42" i="12"/>
  <c r="O70" i="12"/>
  <c r="P14" i="12"/>
  <c r="M133" i="12"/>
  <c r="G232" i="7"/>
  <c r="AA96" i="10"/>
  <c r="AC96" i="10" s="1"/>
  <c r="Q99" i="12" s="1"/>
  <c r="Z99" i="12" s="1"/>
  <c r="R98" i="12"/>
  <c r="K133" i="12"/>
  <c r="K163" i="12" s="1"/>
  <c r="J163" i="12"/>
  <c r="AA15" i="10"/>
  <c r="N133" i="12"/>
  <c r="M163" i="12" s="1"/>
  <c r="R14" i="12"/>
  <c r="H232" i="7"/>
  <c r="Y98" i="12" l="1"/>
  <c r="P98" i="12"/>
  <c r="AC42" i="10"/>
  <c r="Q43" i="12"/>
  <c r="Z43" i="12" s="1"/>
  <c r="Y70" i="12"/>
  <c r="P70" i="12"/>
  <c r="Y42" i="12"/>
  <c r="P42" i="12"/>
  <c r="Q72" i="12"/>
  <c r="Z72" i="12" s="1"/>
  <c r="AC69" i="10"/>
  <c r="AC15" i="10"/>
  <c r="M15" i="10"/>
  <c r="O15" i="12" s="1"/>
  <c r="E233" i="7"/>
  <c r="Q15" i="12"/>
  <c r="Z15" i="12" s="1"/>
  <c r="D233" i="7"/>
  <c r="M42" i="10" l="1"/>
  <c r="P42" i="10" s="1"/>
  <c r="AD42" i="10" s="1"/>
  <c r="AE42" i="10" s="1"/>
  <c r="F152" i="7"/>
  <c r="G152" i="7" s="1"/>
  <c r="M96" i="10"/>
  <c r="P96" i="10" s="1"/>
  <c r="AD96" i="10" s="1"/>
  <c r="AE96" i="10" s="1"/>
  <c r="M69" i="10"/>
  <c r="P69" i="10" s="1"/>
  <c r="AD69" i="10" s="1"/>
  <c r="AE69" i="10" s="1"/>
  <c r="P15" i="10"/>
  <c r="AD15" i="10" s="1"/>
  <c r="AE15" i="10" s="1"/>
  <c r="H208" i="7"/>
  <c r="I208" i="7" s="1"/>
  <c r="J134" i="12"/>
  <c r="F233" i="7"/>
  <c r="L134" i="12"/>
  <c r="L164" i="12" s="1"/>
  <c r="O71" i="12" l="1"/>
  <c r="Y15" i="12"/>
  <c r="O99" i="12"/>
  <c r="O43" i="12"/>
  <c r="P15" i="12"/>
  <c r="J164" i="12"/>
  <c r="K134" i="12"/>
  <c r="K164" i="12" s="1"/>
  <c r="AA70" i="10"/>
  <c r="R71" i="12"/>
  <c r="AA97" i="10"/>
  <c r="AC97" i="10" s="1"/>
  <c r="R99" i="12"/>
  <c r="G233" i="7"/>
  <c r="M134" i="12"/>
  <c r="R43" i="12"/>
  <c r="AA43" i="10"/>
  <c r="N134" i="12"/>
  <c r="M164" i="12" s="1"/>
  <c r="AA16" i="10"/>
  <c r="R15" i="12"/>
  <c r="H233" i="7"/>
  <c r="AC70" i="10" l="1"/>
  <c r="Q73" i="12"/>
  <c r="Z73" i="12" s="1"/>
  <c r="Y43" i="12"/>
  <c r="P43" i="12"/>
  <c r="M16" i="10"/>
  <c r="O16" i="12" s="1"/>
  <c r="E234" i="7"/>
  <c r="AC16" i="10"/>
  <c r="Y99" i="12"/>
  <c r="P99" i="12"/>
  <c r="Q44" i="12"/>
  <c r="Z44" i="12" s="1"/>
  <c r="AC43" i="10"/>
  <c r="Q100" i="12"/>
  <c r="Z100" i="12" s="1"/>
  <c r="Y71" i="12"/>
  <c r="P71" i="12"/>
  <c r="Q16" i="12"/>
  <c r="Z16" i="12" s="1"/>
  <c r="D234" i="7"/>
  <c r="M70" i="10" l="1"/>
  <c r="P70" i="10" s="1"/>
  <c r="AD70" i="10" s="1"/>
  <c r="AE70" i="10" s="1"/>
  <c r="J135" i="12"/>
  <c r="F153" i="7"/>
  <c r="G153" i="7" s="1"/>
  <c r="H209" i="7"/>
  <c r="I209" i="7" s="1"/>
  <c r="M43" i="10"/>
  <c r="P43" i="10" s="1"/>
  <c r="AD43" i="10" s="1"/>
  <c r="AE43" i="10" s="1"/>
  <c r="P16" i="10"/>
  <c r="AD16" i="10" s="1"/>
  <c r="M97" i="10"/>
  <c r="P97" i="10" s="1"/>
  <c r="AD97" i="10" s="1"/>
  <c r="AE97" i="10" s="1"/>
  <c r="F234" i="7"/>
  <c r="L135" i="12"/>
  <c r="L165" i="12" s="1"/>
  <c r="AA44" i="10" l="1"/>
  <c r="R44" i="12"/>
  <c r="R100" i="12"/>
  <c r="AA98" i="10"/>
  <c r="AC98" i="10" s="1"/>
  <c r="G234" i="7"/>
  <c r="M135" i="12"/>
  <c r="O100" i="12"/>
  <c r="O44" i="12"/>
  <c r="Y16" i="12"/>
  <c r="O72" i="12"/>
  <c r="P16" i="12"/>
  <c r="K135" i="12"/>
  <c r="K165" i="12" s="1"/>
  <c r="J165" i="12"/>
  <c r="AE16" i="10"/>
  <c r="AA17" i="10" s="1"/>
  <c r="R72" i="12"/>
  <c r="AA71" i="10"/>
  <c r="H234" i="7" l="1"/>
  <c r="AC17" i="10"/>
  <c r="R16" i="12"/>
  <c r="N135" i="12"/>
  <c r="M165" i="12" s="1"/>
  <c r="Q74" i="12"/>
  <c r="Z74" i="12" s="1"/>
  <c r="AC71" i="10"/>
  <c r="Y44" i="12"/>
  <c r="P44" i="12"/>
  <c r="Y100" i="12"/>
  <c r="P100" i="12"/>
  <c r="Q101" i="12"/>
  <c r="Z101" i="12" s="1"/>
  <c r="E235" i="7"/>
  <c r="M17" i="10"/>
  <c r="O17" i="12" s="1"/>
  <c r="Y72" i="12"/>
  <c r="P72" i="12"/>
  <c r="AC44" i="10"/>
  <c r="Q45" i="12"/>
  <c r="Z45" i="12" s="1"/>
  <c r="D235" i="7"/>
  <c r="Q17" i="12"/>
  <c r="Z17" i="12" s="1"/>
  <c r="J136" i="12" l="1"/>
  <c r="F154" i="7"/>
  <c r="G154" i="7" s="1"/>
  <c r="H210" i="7"/>
  <c r="I210" i="7" s="1"/>
  <c r="P17" i="10"/>
  <c r="AD17" i="10" s="1"/>
  <c r="AE17" i="10" s="1"/>
  <c r="M71" i="10"/>
  <c r="P71" i="10" s="1"/>
  <c r="AD71" i="10" s="1"/>
  <c r="AE71" i="10" s="1"/>
  <c r="M98" i="10"/>
  <c r="P98" i="10" s="1"/>
  <c r="AD98" i="10" s="1"/>
  <c r="AE98" i="10" s="1"/>
  <c r="M44" i="10"/>
  <c r="P44" i="10" s="1"/>
  <c r="AD44" i="10" s="1"/>
  <c r="AE44" i="10" s="1"/>
  <c r="F235" i="7"/>
  <c r="L136" i="12"/>
  <c r="L166" i="12" s="1"/>
  <c r="R45" i="12" l="1"/>
  <c r="AA45" i="10"/>
  <c r="R73" i="12"/>
  <c r="AA72" i="10"/>
  <c r="R101" i="12"/>
  <c r="AA99" i="10"/>
  <c r="AC99" i="10" s="1"/>
  <c r="G235" i="7"/>
  <c r="M136" i="12"/>
  <c r="O45" i="12"/>
  <c r="O73" i="12"/>
  <c r="O101" i="12"/>
  <c r="Y17" i="12"/>
  <c r="P17" i="12"/>
  <c r="J166" i="12"/>
  <c r="K136" i="12"/>
  <c r="K166" i="12" s="1"/>
  <c r="N136" i="12"/>
  <c r="M166" i="12" s="1"/>
  <c r="R17" i="12"/>
  <c r="AA18" i="10"/>
  <c r="AC18" i="10" s="1"/>
  <c r="H235" i="7"/>
  <c r="Q102" i="12" l="1"/>
  <c r="Z102" i="12" s="1"/>
  <c r="Q75" i="12"/>
  <c r="Z75" i="12" s="1"/>
  <c r="AC72" i="10"/>
  <c r="E236" i="7"/>
  <c r="M18" i="10"/>
  <c r="O18" i="12" s="1"/>
  <c r="Y101" i="12"/>
  <c r="P101" i="12"/>
  <c r="Y73" i="12"/>
  <c r="P73" i="12"/>
  <c r="Q46" i="12"/>
  <c r="Z46" i="12" s="1"/>
  <c r="AC45" i="10"/>
  <c r="Y45" i="12"/>
  <c r="P45" i="12"/>
  <c r="Q18" i="12"/>
  <c r="Z18" i="12" s="1"/>
  <c r="D236" i="7"/>
  <c r="H211" i="7" l="1"/>
  <c r="I211" i="7" s="1"/>
  <c r="M99" i="10"/>
  <c r="P99" i="10" s="1"/>
  <c r="AD99" i="10" s="1"/>
  <c r="AE99" i="10" s="1"/>
  <c r="M45" i="10"/>
  <c r="P45" i="10" s="1"/>
  <c r="AD45" i="10" s="1"/>
  <c r="AE45" i="10" s="1"/>
  <c r="M72" i="10"/>
  <c r="P72" i="10" s="1"/>
  <c r="AD72" i="10" s="1"/>
  <c r="AE72" i="10" s="1"/>
  <c r="F155" i="7"/>
  <c r="G155" i="7" s="1"/>
  <c r="J137" i="12"/>
  <c r="P18" i="10"/>
  <c r="AD18" i="10" s="1"/>
  <c r="F236" i="7"/>
  <c r="L137" i="12"/>
  <c r="L167" i="12" s="1"/>
  <c r="AA73" i="10" l="1"/>
  <c r="R74" i="12"/>
  <c r="AA46" i="10"/>
  <c r="R46" i="12"/>
  <c r="G236" i="7"/>
  <c r="M137" i="12"/>
  <c r="J167" i="12"/>
  <c r="K137" i="12"/>
  <c r="K167" i="12" s="1"/>
  <c r="O102" i="12"/>
  <c r="O46" i="12"/>
  <c r="O74" i="12"/>
  <c r="Y18" i="12"/>
  <c r="P18" i="12"/>
  <c r="AE18" i="10"/>
  <c r="AA19" i="10" s="1"/>
  <c r="AA100" i="10"/>
  <c r="AC100" i="10" s="1"/>
  <c r="R102" i="12"/>
  <c r="H236" i="7" l="1"/>
  <c r="Q103" i="12"/>
  <c r="Z103" i="12" s="1"/>
  <c r="Y74" i="12"/>
  <c r="P74" i="12"/>
  <c r="Q47" i="12"/>
  <c r="Z47" i="12" s="1"/>
  <c r="AC46" i="10"/>
  <c r="R18" i="12"/>
  <c r="Y46" i="12"/>
  <c r="P46" i="12"/>
  <c r="N137" i="12"/>
  <c r="M167" i="12" s="1"/>
  <c r="Y102" i="12"/>
  <c r="P102" i="12"/>
  <c r="Q76" i="12"/>
  <c r="Z76" i="12" s="1"/>
  <c r="AC73" i="10"/>
  <c r="D237" i="7"/>
  <c r="Q19" i="12"/>
  <c r="Z19" i="12" s="1"/>
  <c r="E237" i="7" l="1"/>
  <c r="M19" i="10"/>
  <c r="O19" i="12" s="1"/>
  <c r="AC19" i="10"/>
  <c r="L138" i="12" s="1"/>
  <c r="L168" i="12" s="1"/>
  <c r="M100" i="10" l="1"/>
  <c r="P100" i="10" s="1"/>
  <c r="AD100" i="10" s="1"/>
  <c r="AE100" i="10" s="1"/>
  <c r="M46" i="10"/>
  <c r="P46" i="10" s="1"/>
  <c r="AD46" i="10" s="1"/>
  <c r="AE46" i="10" s="1"/>
  <c r="P19" i="10"/>
  <c r="AD19" i="10" s="1"/>
  <c r="H212" i="7"/>
  <c r="I212" i="7" s="1"/>
  <c r="F156" i="7"/>
  <c r="G156" i="7" s="1"/>
  <c r="M73" i="10"/>
  <c r="P73" i="10" s="1"/>
  <c r="AD73" i="10" s="1"/>
  <c r="AE73" i="10" s="1"/>
  <c r="J138" i="12"/>
  <c r="F237" i="7"/>
  <c r="G237" i="7" l="1"/>
  <c r="M138" i="12"/>
  <c r="AA74" i="10"/>
  <c r="R75" i="12"/>
  <c r="R47" i="12"/>
  <c r="AA47" i="10"/>
  <c r="AA101" i="10"/>
  <c r="AC101" i="10" s="1"/>
  <c r="R103" i="12"/>
  <c r="O103" i="12"/>
  <c r="O75" i="12"/>
  <c r="O47" i="12"/>
  <c r="Y19" i="12"/>
  <c r="P19" i="12"/>
  <c r="J168" i="12"/>
  <c r="K138" i="12"/>
  <c r="K168" i="12" s="1"/>
  <c r="AE19" i="10"/>
  <c r="Q104" i="12" l="1"/>
  <c r="Z104" i="12" s="1"/>
  <c r="R19" i="12"/>
  <c r="H237" i="7"/>
  <c r="AA20" i="10"/>
  <c r="N138" i="12"/>
  <c r="M168" i="12" s="1"/>
  <c r="Q48" i="12"/>
  <c r="Z48" i="12" s="1"/>
  <c r="AC47" i="10"/>
  <c r="Y47" i="12"/>
  <c r="P47" i="12"/>
  <c r="Q77" i="12"/>
  <c r="Z77" i="12" s="1"/>
  <c r="AC74" i="10"/>
  <c r="Y75" i="12"/>
  <c r="P75" i="12"/>
  <c r="Y103" i="12"/>
  <c r="P103" i="12"/>
  <c r="M20" i="10" l="1"/>
  <c r="O20" i="12" s="1"/>
  <c r="E238" i="7"/>
  <c r="AC20" i="10"/>
  <c r="Q20" i="12"/>
  <c r="Z20" i="12" s="1"/>
  <c r="D238" i="7"/>
  <c r="L139" i="12" l="1"/>
  <c r="L169" i="12" s="1"/>
  <c r="F238" i="7"/>
  <c r="F157" i="7"/>
  <c r="G157" i="7" s="1"/>
  <c r="J139" i="12"/>
  <c r="M47" i="10"/>
  <c r="P47" i="10" s="1"/>
  <c r="AD47" i="10" s="1"/>
  <c r="AE47" i="10" s="1"/>
  <c r="H213" i="7"/>
  <c r="I213" i="7" s="1"/>
  <c r="P20" i="10"/>
  <c r="AD20" i="10" s="1"/>
  <c r="AE20" i="10" s="1"/>
  <c r="M101" i="10"/>
  <c r="P101" i="10" s="1"/>
  <c r="AD101" i="10" s="1"/>
  <c r="AE101" i="10" s="1"/>
  <c r="M74" i="10"/>
  <c r="P74" i="10" s="1"/>
  <c r="AD74" i="10" s="1"/>
  <c r="AE74" i="10" s="1"/>
  <c r="N139" i="12" l="1"/>
  <c r="M169" i="12" s="1"/>
  <c r="R20" i="12"/>
  <c r="AA21" i="10"/>
  <c r="H238" i="7"/>
  <c r="O48" i="12"/>
  <c r="O76" i="12"/>
  <c r="Y20" i="12"/>
  <c r="O104" i="12"/>
  <c r="P20" i="12"/>
  <c r="R48" i="12"/>
  <c r="AA48" i="10"/>
  <c r="J169" i="12"/>
  <c r="K139" i="12"/>
  <c r="K169" i="12" s="1"/>
  <c r="AA75" i="10"/>
  <c r="R76" i="12"/>
  <c r="AA102" i="10"/>
  <c r="AC102" i="10" s="1"/>
  <c r="R104" i="12"/>
  <c r="G238" i="7"/>
  <c r="M139" i="12"/>
  <c r="M21" i="10" l="1"/>
  <c r="O21" i="12" s="1"/>
  <c r="E239" i="7"/>
  <c r="Y48" i="12"/>
  <c r="P48" i="12"/>
  <c r="AC48" i="10"/>
  <c r="Q49" i="12"/>
  <c r="Z49" i="12" s="1"/>
  <c r="AC21" i="10"/>
  <c r="D239" i="7"/>
  <c r="Q21" i="12"/>
  <c r="Z21" i="12" s="1"/>
  <c r="Q78" i="12"/>
  <c r="Z78" i="12" s="1"/>
  <c r="AC75" i="10"/>
  <c r="Y76" i="12"/>
  <c r="P76" i="12"/>
  <c r="Q105" i="12"/>
  <c r="Z105" i="12" s="1"/>
  <c r="Y104" i="12"/>
  <c r="P104" i="12"/>
  <c r="L140" i="12" l="1"/>
  <c r="L170" i="12" s="1"/>
  <c r="F239" i="7"/>
  <c r="M48" i="10"/>
  <c r="P48" i="10" s="1"/>
  <c r="AD48" i="10" s="1"/>
  <c r="AE48" i="10" s="1"/>
  <c r="P21" i="10"/>
  <c r="AD21" i="10" s="1"/>
  <c r="H214" i="7"/>
  <c r="I214" i="7" s="1"/>
  <c r="M102" i="10"/>
  <c r="P102" i="10" s="1"/>
  <c r="AD102" i="10" s="1"/>
  <c r="AE102" i="10" s="1"/>
  <c r="J140" i="12"/>
  <c r="F158" i="7"/>
  <c r="G158" i="7" s="1"/>
  <c r="M75" i="10"/>
  <c r="P75" i="10" s="1"/>
  <c r="AD75" i="10" s="1"/>
  <c r="AE75" i="10" s="1"/>
  <c r="AA49" i="10" l="1"/>
  <c r="R49" i="12"/>
  <c r="R77" i="12"/>
  <c r="AA76" i="10"/>
  <c r="G239" i="7"/>
  <c r="M140" i="12"/>
  <c r="J170" i="12"/>
  <c r="K140" i="12"/>
  <c r="K170" i="12" s="1"/>
  <c r="AE21" i="10"/>
  <c r="AA103" i="10"/>
  <c r="AC103" i="10" s="1"/>
  <c r="R105" i="12"/>
  <c r="O77" i="12"/>
  <c r="Y21" i="12"/>
  <c r="O105" i="12"/>
  <c r="O49" i="12"/>
  <c r="P21" i="12"/>
  <c r="Q79" i="12" l="1"/>
  <c r="Z79" i="12" s="1"/>
  <c r="AC76" i="10"/>
  <c r="Y49" i="12"/>
  <c r="P49" i="12"/>
  <c r="Y105" i="12"/>
  <c r="P105" i="12"/>
  <c r="Y77" i="12"/>
  <c r="P77" i="12"/>
  <c r="Q106" i="12"/>
  <c r="Z106" i="12" s="1"/>
  <c r="AA22" i="10"/>
  <c r="H239" i="7"/>
  <c r="N140" i="12"/>
  <c r="M170" i="12" s="1"/>
  <c r="R21" i="12"/>
  <c r="AC49" i="10"/>
  <c r="Q50" i="12"/>
  <c r="Z50" i="12" s="1"/>
  <c r="E240" i="7" l="1"/>
  <c r="M22" i="10"/>
  <c r="O22" i="12" s="1"/>
  <c r="AC22" i="10"/>
  <c r="Q22" i="12"/>
  <c r="Z22" i="12" s="1"/>
  <c r="D240" i="7"/>
  <c r="L141" i="12" l="1"/>
  <c r="L171" i="12" s="1"/>
  <c r="F240" i="7"/>
  <c r="H215" i="7"/>
  <c r="I215" i="7" s="1"/>
  <c r="F159" i="7"/>
  <c r="G159" i="7" s="1"/>
  <c r="M76" i="10"/>
  <c r="P76" i="10" s="1"/>
  <c r="AD76" i="10" s="1"/>
  <c r="AE76" i="10" s="1"/>
  <c r="M49" i="10"/>
  <c r="P49" i="10" s="1"/>
  <c r="AD49" i="10" s="1"/>
  <c r="AE49" i="10" s="1"/>
  <c r="J141" i="12"/>
  <c r="P22" i="10"/>
  <c r="AD22" i="10" s="1"/>
  <c r="M103" i="10"/>
  <c r="P103" i="10" s="1"/>
  <c r="AD103" i="10" s="1"/>
  <c r="AE103" i="10" s="1"/>
  <c r="R78" i="12" l="1"/>
  <c r="AA77" i="10"/>
  <c r="O50" i="12"/>
  <c r="O106" i="12"/>
  <c r="Y22" i="12"/>
  <c r="O78" i="12"/>
  <c r="P22" i="12"/>
  <c r="AA50" i="10"/>
  <c r="R50" i="12"/>
  <c r="AA104" i="10"/>
  <c r="AC104" i="10" s="1"/>
  <c r="R106" i="12"/>
  <c r="G240" i="7"/>
  <c r="M141" i="12"/>
  <c r="J171" i="12"/>
  <c r="K141" i="12"/>
  <c r="K171" i="12" s="1"/>
  <c r="AE22" i="10"/>
  <c r="Y106" i="12" l="1"/>
  <c r="P106" i="12"/>
  <c r="AA23" i="10"/>
  <c r="H240" i="7"/>
  <c r="N141" i="12"/>
  <c r="M171" i="12" s="1"/>
  <c r="R22" i="12"/>
  <c r="Y50" i="12"/>
  <c r="P50" i="12"/>
  <c r="Q107" i="12"/>
  <c r="Z107" i="12" s="1"/>
  <c r="AC77" i="10"/>
  <c r="Q80" i="12"/>
  <c r="Z80" i="12" s="1"/>
  <c r="AC50" i="10"/>
  <c r="Q51" i="12"/>
  <c r="Z51" i="12" s="1"/>
  <c r="Y78" i="12"/>
  <c r="P78" i="12"/>
  <c r="M23" i="10" l="1"/>
  <c r="O23" i="12" s="1"/>
  <c r="E241" i="7"/>
  <c r="AC23" i="10"/>
  <c r="D241" i="7"/>
  <c r="Q23" i="12"/>
  <c r="Z23" i="12" s="1"/>
  <c r="L142" i="12" l="1"/>
  <c r="L172" i="12" s="1"/>
  <c r="F241" i="7"/>
  <c r="H216" i="7"/>
  <c r="I216" i="7" s="1"/>
  <c r="M50" i="10"/>
  <c r="P50" i="10" s="1"/>
  <c r="AD50" i="10" s="1"/>
  <c r="AE50" i="10" s="1"/>
  <c r="J142" i="12"/>
  <c r="M104" i="10"/>
  <c r="P104" i="10" s="1"/>
  <c r="AD104" i="10" s="1"/>
  <c r="AE104" i="10" s="1"/>
  <c r="M77" i="10"/>
  <c r="P77" i="10" s="1"/>
  <c r="AD77" i="10" s="1"/>
  <c r="AE77" i="10" s="1"/>
  <c r="F160" i="7"/>
  <c r="G160" i="7" s="1"/>
  <c r="P23" i="10"/>
  <c r="AD23" i="10" s="1"/>
  <c r="J172" i="12" l="1"/>
  <c r="K142" i="12"/>
  <c r="K172" i="12" s="1"/>
  <c r="AA51" i="10"/>
  <c r="R51" i="12"/>
  <c r="G241" i="7"/>
  <c r="M142" i="12"/>
  <c r="R79" i="12"/>
  <c r="AA78" i="10"/>
  <c r="R107" i="12"/>
  <c r="AA105" i="10"/>
  <c r="AC105" i="10" s="1"/>
  <c r="O107" i="12"/>
  <c r="Y23" i="12"/>
  <c r="O79" i="12"/>
  <c r="O51" i="12"/>
  <c r="P23" i="12"/>
  <c r="AE23" i="10"/>
  <c r="Y79" i="12" l="1"/>
  <c r="P79" i="12"/>
  <c r="AC78" i="10"/>
  <c r="Q81" i="12"/>
  <c r="Z81" i="12" s="1"/>
  <c r="AC51" i="10"/>
  <c r="Q52" i="12"/>
  <c r="Z52" i="12" s="1"/>
  <c r="H241" i="7"/>
  <c r="AA24" i="10"/>
  <c r="R23" i="12"/>
  <c r="N142" i="12"/>
  <c r="M172" i="12" s="1"/>
  <c r="Y107" i="12"/>
  <c r="P107" i="12"/>
  <c r="Y51" i="12"/>
  <c r="P51" i="12"/>
  <c r="Q108" i="12"/>
  <c r="Z108" i="12" s="1"/>
  <c r="AC24" i="10" l="1"/>
  <c r="D242" i="7"/>
  <c r="Q24" i="12"/>
  <c r="Z24" i="12" s="1"/>
  <c r="M24" i="10"/>
  <c r="O24" i="12" s="1"/>
  <c r="E242" i="7"/>
  <c r="P24" i="10" l="1"/>
  <c r="AD24" i="10" s="1"/>
  <c r="AE24" i="10" s="1"/>
  <c r="H217" i="7"/>
  <c r="I217" i="7" s="1"/>
  <c r="M105" i="10"/>
  <c r="P105" i="10" s="1"/>
  <c r="AD105" i="10" s="1"/>
  <c r="AE105" i="10" s="1"/>
  <c r="M78" i="10"/>
  <c r="P78" i="10" s="1"/>
  <c r="AD78" i="10" s="1"/>
  <c r="AE78" i="10" s="1"/>
  <c r="J143" i="12"/>
  <c r="F161" i="7"/>
  <c r="G161" i="7" s="1"/>
  <c r="M51" i="10"/>
  <c r="P51" i="10" s="1"/>
  <c r="AD51" i="10" s="1"/>
  <c r="AE51" i="10" s="1"/>
  <c r="L143" i="12"/>
  <c r="L173" i="12" s="1"/>
  <c r="F242" i="7"/>
  <c r="O108" i="12" l="1"/>
  <c r="O52" i="12"/>
  <c r="Y24" i="12"/>
  <c r="O80" i="12"/>
  <c r="P24" i="12"/>
  <c r="J173" i="12"/>
  <c r="K143" i="12"/>
  <c r="K173" i="12" s="1"/>
  <c r="R80" i="12"/>
  <c r="AA79" i="10"/>
  <c r="AA52" i="10"/>
  <c r="R52" i="12"/>
  <c r="R108" i="12"/>
  <c r="AA106" i="10"/>
  <c r="AC106" i="10" s="1"/>
  <c r="AA25" i="10"/>
  <c r="N143" i="12"/>
  <c r="M173" i="12" s="1"/>
  <c r="R24" i="12"/>
  <c r="H242" i="7"/>
  <c r="G242" i="7"/>
  <c r="M143" i="12"/>
  <c r="AC25" i="10" l="1"/>
  <c r="D243" i="7"/>
  <c r="Q25" i="12"/>
  <c r="Z25" i="12" s="1"/>
  <c r="Q109" i="12"/>
  <c r="Z109" i="12" s="1"/>
  <c r="Y80" i="12"/>
  <c r="P80" i="12"/>
  <c r="AC52" i="10"/>
  <c r="Q53" i="12"/>
  <c r="Z53" i="12" s="1"/>
  <c r="Q54" i="12"/>
  <c r="Z54" i="12" s="1"/>
  <c r="Y52" i="12"/>
  <c r="P52" i="12"/>
  <c r="M25" i="10"/>
  <c r="O25" i="12" s="1"/>
  <c r="E243" i="7"/>
  <c r="Q82" i="12"/>
  <c r="Z82" i="12" s="1"/>
  <c r="AC79" i="10"/>
  <c r="Y108" i="12"/>
  <c r="P108" i="12"/>
  <c r="P25" i="10" l="1"/>
  <c r="AD25" i="10" s="1"/>
  <c r="AE25" i="10" s="1"/>
  <c r="H218" i="7"/>
  <c r="I218" i="7" s="1"/>
  <c r="J144" i="12"/>
  <c r="M52" i="10"/>
  <c r="P52" i="10" s="1"/>
  <c r="AD52" i="10" s="1"/>
  <c r="AE52" i="10" s="1"/>
  <c r="M106" i="10"/>
  <c r="P106" i="10" s="1"/>
  <c r="AD106" i="10" s="1"/>
  <c r="AE106" i="10" s="1"/>
  <c r="F162" i="7"/>
  <c r="G162" i="7" s="1"/>
  <c r="M79" i="10"/>
  <c r="P79" i="10" s="1"/>
  <c r="AD79" i="10" s="1"/>
  <c r="AE79" i="10" s="1"/>
  <c r="F243" i="7"/>
  <c r="L144" i="12"/>
  <c r="L174" i="12" s="1"/>
  <c r="R81" i="12" l="1"/>
  <c r="AA80" i="10"/>
  <c r="AC80" i="10" s="1"/>
  <c r="R53" i="12"/>
  <c r="AA53" i="10"/>
  <c r="AC53" i="10" s="1"/>
  <c r="R109" i="12"/>
  <c r="AA107" i="10"/>
  <c r="AC107" i="10" s="1"/>
  <c r="O53" i="12"/>
  <c r="Y25" i="12"/>
  <c r="O109" i="12"/>
  <c r="O81" i="12"/>
  <c r="P25" i="12"/>
  <c r="AA26" i="10"/>
  <c r="N144" i="12"/>
  <c r="M174" i="12" s="1"/>
  <c r="H243" i="7"/>
  <c r="R25" i="12"/>
  <c r="J174" i="12"/>
  <c r="K144" i="12"/>
  <c r="K174" i="12" s="1"/>
  <c r="G243" i="7"/>
  <c r="M144" i="12"/>
  <c r="Q110" i="12" l="1"/>
  <c r="Z110" i="12" s="1"/>
  <c r="Y53" i="12"/>
  <c r="P53" i="12"/>
  <c r="AC26" i="10"/>
  <c r="D244" i="7"/>
  <c r="Q26" i="12"/>
  <c r="Z26" i="12" s="1"/>
  <c r="Y81" i="12"/>
  <c r="P81" i="12"/>
  <c r="E244" i="7"/>
  <c r="M26" i="10"/>
  <c r="O26" i="12" s="1"/>
  <c r="Y109" i="12"/>
  <c r="P109" i="12"/>
  <c r="M107" i="10" l="1"/>
  <c r="P107" i="10" s="1"/>
  <c r="AD107" i="10" s="1"/>
  <c r="AE107" i="10" s="1"/>
  <c r="F163" i="7"/>
  <c r="G163" i="7" s="1"/>
  <c r="P26" i="10"/>
  <c r="AD26" i="10" s="1"/>
  <c r="AE26" i="10" s="1"/>
  <c r="M53" i="10"/>
  <c r="P53" i="10" s="1"/>
  <c r="AD53" i="10" s="1"/>
  <c r="AE53" i="10" s="1"/>
  <c r="M80" i="10"/>
  <c r="P80" i="10" s="1"/>
  <c r="AD80" i="10" s="1"/>
  <c r="AE80" i="10" s="1"/>
  <c r="H219" i="7"/>
  <c r="I219" i="7" s="1"/>
  <c r="J145" i="12"/>
  <c r="L145" i="12"/>
  <c r="L175" i="12" s="1"/>
  <c r="F244" i="7"/>
  <c r="AA81" i="10" l="1"/>
  <c r="AC81" i="10" s="1"/>
  <c r="R82" i="12"/>
  <c r="J175" i="12"/>
  <c r="K145" i="12"/>
  <c r="K175" i="12" s="1"/>
  <c r="R54" i="12"/>
  <c r="AA54" i="10"/>
  <c r="AC54" i="10" s="1"/>
  <c r="M145" i="12"/>
  <c r="G244" i="7"/>
  <c r="Y26" i="12"/>
  <c r="O54" i="12"/>
  <c r="O110" i="12"/>
  <c r="O82" i="12"/>
  <c r="P26" i="12"/>
  <c r="R26" i="12"/>
  <c r="H244" i="7"/>
  <c r="AA27" i="10"/>
  <c r="N145" i="12"/>
  <c r="M175" i="12" s="1"/>
  <c r="M27" i="10"/>
  <c r="AA108" i="10"/>
  <c r="AC108" i="10" s="1"/>
  <c r="R110" i="12"/>
  <c r="AC27" i="10" l="1"/>
  <c r="Y82" i="12"/>
  <c r="P82" i="12"/>
  <c r="Y110" i="12"/>
  <c r="P110" i="12"/>
  <c r="Y54" i="12"/>
  <c r="P54" i="12"/>
  <c r="P27" i="10"/>
  <c r="AD27" i="10" s="1"/>
  <c r="M54" i="10"/>
  <c r="P54" i="10" s="1"/>
  <c r="AD54" i="10" s="1"/>
  <c r="AE54" i="10" s="1"/>
  <c r="M81" i="10"/>
  <c r="P81" i="10" s="1"/>
  <c r="AD81" i="10" s="1"/>
  <c r="AE81" i="10" s="1"/>
  <c r="M108" i="10"/>
  <c r="P108" i="10" s="1"/>
  <c r="AD108" i="10" s="1"/>
  <c r="AE108" i="10" s="1"/>
  <c r="AE27" i="10"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<sst xmlns="http://schemas.openxmlformats.org/spreadsheetml/2006/main" count="2847" uniqueCount="379">
  <si>
    <t>Statewide</t>
  </si>
  <si>
    <t>Delivery Year</t>
  </si>
  <si>
    <t>Reference Year</t>
  </si>
  <si>
    <t>Utility</t>
  </si>
  <si>
    <t>Delivery Year
RPS Goal (%)</t>
  </si>
  <si>
    <t>Total Applicable Reference Year Delivered Volume (MWh)</t>
  </si>
  <si>
    <t>Overall
RPS Target
(RECs)</t>
  </si>
  <si>
    <t>RPS Rate Cap [$/MWh]</t>
  </si>
  <si>
    <t>Self Direct Delivered Volume (MWh)</t>
  </si>
  <si>
    <t>Self Direct Payment</t>
  </si>
  <si>
    <t>Delivery Year
RPS Budget ($)</t>
  </si>
  <si>
    <t>2017-2018</t>
  </si>
  <si>
    <t>2016-2017</t>
  </si>
  <si>
    <t>ALL</t>
  </si>
  <si>
    <t>2018-2019</t>
  </si>
  <si>
    <t>2019-2020</t>
  </si>
  <si>
    <t>2020-2021</t>
  </si>
  <si>
    <t>2021-2022</t>
  </si>
  <si>
    <t>2022-2023</t>
  </si>
  <si>
    <t>2023-2024</t>
  </si>
  <si>
    <t>*lowered by self-direct quantity</t>
  </si>
  <si>
    <t>2024-2025</t>
  </si>
  <si>
    <t>2025-2026</t>
  </si>
  <si>
    <t>2026-2027</t>
  </si>
  <si>
    <t>2027-2028</t>
  </si>
  <si>
    <t>2028-2029</t>
  </si>
  <si>
    <t>2029-2030</t>
  </si>
  <si>
    <t>2030-2031</t>
  </si>
  <si>
    <t>2031-2032</t>
  </si>
  <si>
    <t>2032-2033</t>
  </si>
  <si>
    <t>2033-2034</t>
  </si>
  <si>
    <t>2034-2035</t>
  </si>
  <si>
    <t>2035-2036</t>
  </si>
  <si>
    <t>2036-2037</t>
  </si>
  <si>
    <t>2037-2038</t>
  </si>
  <si>
    <t>2038-2039</t>
  </si>
  <si>
    <t>2039-2040</t>
  </si>
  <si>
    <t>2040-2041</t>
  </si>
  <si>
    <t>2041-2042</t>
  </si>
  <si>
    <t>2042-2043</t>
  </si>
  <si>
    <t>Ameren</t>
  </si>
  <si>
    <t>Total Applicable Reference Year Delivered Volume (MWh) Source: Utilities</t>
  </si>
  <si>
    <t>ComEd</t>
  </si>
  <si>
    <t>MidAmerican</t>
  </si>
  <si>
    <t>PROXY Applicable Reference Year Delivered Volume (MWh) = MWh volume times 26.0253830755776%</t>
  </si>
  <si>
    <t>Net Available ACPs ($) as of Aug 2023</t>
  </si>
  <si>
    <t>All Utilities</t>
  </si>
  <si>
    <t>ARES ACP balance</t>
  </si>
  <si>
    <t>Hourly ACPs</t>
  </si>
  <si>
    <t>committed HACP</t>
  </si>
  <si>
    <t>Uncommitted HACPs</t>
  </si>
  <si>
    <t>Total available</t>
  </si>
  <si>
    <t>Available Funds at start of DY (Collections + ACP)</t>
  </si>
  <si>
    <t>Sensitivity Adjustment</t>
  </si>
  <si>
    <t>Utility Scale Wind</t>
  </si>
  <si>
    <t>forward price</t>
  </si>
  <si>
    <t>2022 Procurement</t>
  </si>
  <si>
    <t>2023 procurement</t>
  </si>
  <si>
    <t>2024 procurement</t>
  </si>
  <si>
    <t>Procurement Results</t>
  </si>
  <si>
    <t>2025 procurement</t>
  </si>
  <si>
    <t>2026 procurement</t>
  </si>
  <si>
    <t>2027 procurement</t>
  </si>
  <si>
    <t>2028 procurement</t>
  </si>
  <si>
    <t>2029 procurement</t>
  </si>
  <si>
    <t>2030 procurement</t>
  </si>
  <si>
    <t>2031 procurement</t>
  </si>
  <si>
    <t>2032 procurement</t>
  </si>
  <si>
    <t>2033 procurement</t>
  </si>
  <si>
    <t>2034 procurement</t>
  </si>
  <si>
    <t>2035 procurement</t>
  </si>
  <si>
    <t>2036 procurement</t>
  </si>
  <si>
    <t>2037 procurement</t>
  </si>
  <si>
    <t>2038 procurement</t>
  </si>
  <si>
    <t>2039 procurement</t>
  </si>
  <si>
    <t>2040 procurement</t>
  </si>
  <si>
    <t>Utility Scale Solar</t>
  </si>
  <si>
    <t>Brownfield</t>
  </si>
  <si>
    <t>REC Degredation Rate</t>
  </si>
  <si>
    <t>Catergory</t>
  </si>
  <si>
    <t>Year</t>
  </si>
  <si>
    <t>Utility Wind</t>
  </si>
  <si>
    <t>Utility Solar</t>
  </si>
  <si>
    <t>Total</t>
  </si>
  <si>
    <t>RECs Delivered</t>
  </si>
  <si>
    <t>Under Contract through 2024</t>
  </si>
  <si>
    <t>Projected</t>
  </si>
  <si>
    <t>2024 Plan Only</t>
  </si>
  <si>
    <t>24-25 Plan</t>
  </si>
  <si>
    <t>26-27 Plan</t>
  </si>
  <si>
    <t>28-29 Plan</t>
  </si>
  <si>
    <t>30-31 Plan</t>
  </si>
  <si>
    <t>32-33 Plan</t>
  </si>
  <si>
    <t>34-35 Plan</t>
  </si>
  <si>
    <t>36-37 Plan</t>
  </si>
  <si>
    <t>38-39 Plan</t>
  </si>
  <si>
    <t>40-41 Plan</t>
  </si>
  <si>
    <t>Combined Spend</t>
  </si>
  <si>
    <t>REC Spend</t>
  </si>
  <si>
    <t>22 Plan</t>
  </si>
  <si>
    <t xml:space="preserve">2024-2025 DY kW Capacity Size Distribution </t>
  </si>
  <si>
    <t>2024-2025 DY Block Size (kW)</t>
  </si>
  <si>
    <t>2025-2026 DY kW Capacity Size Distribution</t>
  </si>
  <si>
    <t>2025-2026 DY Block Size (kW)</t>
  </si>
  <si>
    <t>Capacity Factor</t>
  </si>
  <si>
    <t>2024 REC Price</t>
  </si>
  <si>
    <t>2025 REC Price</t>
  </si>
  <si>
    <t>2026 REC Price</t>
  </si>
  <si>
    <t>2027 REC Price</t>
  </si>
  <si>
    <t>2028 REC Price</t>
  </si>
  <si>
    <t>2029 REC Price</t>
  </si>
  <si>
    <t>2030 REC Price</t>
  </si>
  <si>
    <t>2031 REC Price</t>
  </si>
  <si>
    <t>2032 REC Price</t>
  </si>
  <si>
    <t>2033 REC Price</t>
  </si>
  <si>
    <t>2034 REC Price</t>
  </si>
  <si>
    <t>2035 REC Price</t>
  </si>
  <si>
    <t>2036 REC Price</t>
  </si>
  <si>
    <t>2037 REC Price</t>
  </si>
  <si>
    <t>2038 REC Price</t>
  </si>
  <si>
    <t>2039 REC Price</t>
  </si>
  <si>
    <t>2040 REC Price</t>
  </si>
  <si>
    <t>Activity Size kW / Total</t>
  </si>
  <si>
    <t>ABP Total</t>
  </si>
  <si>
    <t xml:space="preserve">SDG &lt; 25 kW </t>
  </si>
  <si>
    <t>SDG A</t>
  </si>
  <si>
    <t xml:space="preserve"> &lt; 10</t>
  </si>
  <si>
    <t xml:space="preserve"> &gt;10-25</t>
  </si>
  <si>
    <t xml:space="preserve">SDG B </t>
  </si>
  <si>
    <t>&lt; 10</t>
  </si>
  <si>
    <t>LDG &gt; 25 - 5000kW</t>
  </si>
  <si>
    <t xml:space="preserve">LDG A </t>
  </si>
  <si>
    <t>&gt;25-100</t>
  </si>
  <si>
    <t>&gt;100-200</t>
  </si>
  <si>
    <t>&gt;200-500</t>
  </si>
  <si>
    <t>&gt;500-2000</t>
  </si>
  <si>
    <t>&gt; 2000-5000</t>
  </si>
  <si>
    <t>LDG B</t>
  </si>
  <si>
    <t xml:space="preserve"> &gt;25-100</t>
  </si>
  <si>
    <t>Traditional Community Solar</t>
  </si>
  <si>
    <t>CS A</t>
  </si>
  <si>
    <t xml:space="preserve"> &gt;500-2000</t>
  </si>
  <si>
    <t>&gt;2000-5000</t>
  </si>
  <si>
    <t>CS B</t>
  </si>
  <si>
    <t>Public Schools</t>
  </si>
  <si>
    <t>Public Schools A</t>
  </si>
  <si>
    <t xml:space="preserve"> &gt; 25</t>
  </si>
  <si>
    <t>Public Schools B</t>
  </si>
  <si>
    <t>Community Driven Community Solar</t>
  </si>
  <si>
    <t>CD Community Solar A</t>
  </si>
  <si>
    <t>CD Community Solar B</t>
  </si>
  <si>
    <t>Equity Eligible Contractor</t>
  </si>
  <si>
    <t>EEC A</t>
  </si>
  <si>
    <t>EEC B</t>
  </si>
  <si>
    <t xml:space="preserve"> </t>
  </si>
  <si>
    <t>DY</t>
  </si>
  <si>
    <t>REC Price Annual Decrease</t>
  </si>
  <si>
    <t>REC Delivery Schedule</t>
  </si>
  <si>
    <t>2043-2044</t>
  </si>
  <si>
    <t>kW</t>
  </si>
  <si>
    <t>CF</t>
  </si>
  <si>
    <t>Total RECs</t>
  </si>
  <si>
    <t>Combined Total</t>
  </si>
  <si>
    <t>REC Payment Schedule</t>
  </si>
  <si>
    <t>REC $</t>
  </si>
  <si>
    <t>Total Spend</t>
  </si>
  <si>
    <t>Traditonal Community Solar</t>
  </si>
  <si>
    <t>2023 TBD</t>
  </si>
  <si>
    <t>Combined Delivery</t>
  </si>
  <si>
    <t>State</t>
  </si>
  <si>
    <t> </t>
  </si>
  <si>
    <t>*Only include data for projects ICC approved</t>
  </si>
  <si>
    <t xml:space="preserve"> SDG </t>
  </si>
  <si>
    <t xml:space="preserve"> LDG </t>
  </si>
  <si>
    <t xml:space="preserve"> TCS </t>
  </si>
  <si>
    <t xml:space="preserve"> Public Schools </t>
  </si>
  <si>
    <t xml:space="preserve"> CDCS </t>
  </si>
  <si>
    <t xml:space="preserve"> EEC </t>
  </si>
  <si>
    <t xml:space="preserve"> -   </t>
  </si>
  <si>
    <t>2044-2045</t>
  </si>
  <si>
    <t>REC Deliveries</t>
  </si>
  <si>
    <t>Spending</t>
  </si>
  <si>
    <t>2043-2045</t>
  </si>
  <si>
    <t>Under Contract</t>
  </si>
  <si>
    <t>Small DG</t>
  </si>
  <si>
    <t>Large DG</t>
  </si>
  <si>
    <t>Traditional CS</t>
  </si>
  <si>
    <t xml:space="preserve">ABP RECs under contract </t>
  </si>
  <si>
    <t>LTPPA Wind</t>
  </si>
  <si>
    <t>LTPPA Solar</t>
  </si>
  <si>
    <t>Legacy DG</t>
  </si>
  <si>
    <t>Wind Forward Procurement 2017-2019</t>
  </si>
  <si>
    <t>Solar Forward Procurement 2017-2019</t>
  </si>
  <si>
    <t>Indexed RECs Wind</t>
  </si>
  <si>
    <t>Indexed RECs Solar</t>
  </si>
  <si>
    <t>Indexed RECs Brownfield</t>
  </si>
  <si>
    <t>Illinois Solar for All</t>
  </si>
  <si>
    <t>Non -ABP RECs under contract</t>
  </si>
  <si>
    <t>Total Solar Under Contract</t>
  </si>
  <si>
    <t>Total Wind Under Contract</t>
  </si>
  <si>
    <t>Total Under Contract</t>
  </si>
  <si>
    <t>Coal to Solar</t>
  </si>
  <si>
    <t>ILSFA</t>
  </si>
  <si>
    <t>Projected REC</t>
  </si>
  <si>
    <t>Total Recs</t>
  </si>
  <si>
    <t>RPS %</t>
  </si>
  <si>
    <t>Analysis</t>
  </si>
  <si>
    <t>Solar</t>
  </si>
  <si>
    <t>Wind</t>
  </si>
  <si>
    <t>% Solar</t>
  </si>
  <si>
    <t>% Wind</t>
  </si>
  <si>
    <t xml:space="preserve">Wind Forward Procurement </t>
  </si>
  <si>
    <t>Solar Forward Procurement</t>
  </si>
  <si>
    <t>MidAm</t>
  </si>
  <si>
    <t>TCS</t>
  </si>
  <si>
    <t>CDCS</t>
  </si>
  <si>
    <t>EEC</t>
  </si>
  <si>
    <t>2010 LTPPAs</t>
  </si>
  <si>
    <t>Forward Procurements (2017-2019)</t>
  </si>
  <si>
    <t>Indexed REC Wind</t>
  </si>
  <si>
    <t>Indexed REC Solar</t>
  </si>
  <si>
    <t>Indexed REC Brownfield</t>
  </si>
  <si>
    <t>Admin (3%)</t>
  </si>
  <si>
    <t>Job Training</t>
  </si>
  <si>
    <t>Total Projected Spend</t>
  </si>
  <si>
    <t xml:space="preserve">Available Funds at start of DY (including ACP)
</t>
  </si>
  <si>
    <t>DY Collections (Source: Utilities)</t>
  </si>
  <si>
    <t xml:space="preserve">Available Funds at start of DY + Collections
</t>
  </si>
  <si>
    <t>EOY Balance</t>
  </si>
  <si>
    <t>Analysis Results</t>
  </si>
  <si>
    <t>Original Base Case</t>
  </si>
  <si>
    <t>Total Statewide REC Portfolio under contract</t>
  </si>
  <si>
    <t>Total Wind</t>
  </si>
  <si>
    <t>Total Solar</t>
  </si>
  <si>
    <t>Total All RECs</t>
  </si>
  <si>
    <t>W</t>
  </si>
  <si>
    <t>S</t>
  </si>
  <si>
    <t>B</t>
  </si>
  <si>
    <t>2020-21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</si>
  <si>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</si>
  <si>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</si>
  <si>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</si>
  <si>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</si>
  <si>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</si>
  <si>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</si>
  <si>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</si>
  <si>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</si>
  <si>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</si>
  <si>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</si>
  <si>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</si>
  <si>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</si>
  <si>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</si>
  <si>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</si>
  <si>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</si>
  <si>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</si>
  <si>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</si>
  <si>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</si>
  <si>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</si>
  <si>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</si>
  <si>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</si>
  <si>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</si>
  <si>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Figure 3.1</t>
  </si>
  <si>
    <t>Total Statewide  REC Portfolio</t>
  </si>
  <si>
    <t>Contracted Wind</t>
  </si>
  <si>
    <t>Contracted Solar</t>
  </si>
  <si>
    <t>Projected Wind</t>
  </si>
  <si>
    <t>Projected Solar</t>
  </si>
  <si>
    <t xml:space="preserve">Table 3.1 </t>
  </si>
  <si>
    <t xml:space="preserve">Delivery Year </t>
  </si>
  <si>
    <t>Total Wind RECs</t>
  </si>
  <si>
    <t>Total Solar RECs</t>
  </si>
  <si>
    <t>Table 3.5</t>
  </si>
  <si>
    <t>2010 LTTPAs</t>
  </si>
  <si>
    <t>ABP Under Contract</t>
  </si>
  <si>
    <t>FEJA Forward Procurements</t>
  </si>
  <si>
    <t>CEJA Indexed REC Procurements</t>
  </si>
  <si>
    <t>Total RECs Under Contract</t>
  </si>
  <si>
    <t>Overall RPS Target</t>
  </si>
  <si>
    <t>REC Shortfall</t>
  </si>
  <si>
    <t>% of Target Currently Met</t>
  </si>
  <si>
    <t>Figure 3.2</t>
  </si>
  <si>
    <t>LTPPA RECs</t>
  </si>
  <si>
    <t>FEJA Wind and Solar Procurements</t>
  </si>
  <si>
    <t>ABP</t>
  </si>
  <si>
    <t>REC Shortfall from Target</t>
  </si>
  <si>
    <t>RPS REC Goal %</t>
  </si>
  <si>
    <t>Table 3-10</t>
  </si>
  <si>
    <t>Job Training (DCEO Budget)</t>
  </si>
  <si>
    <t>Administrative Expenses (3% of Annual RPS Budget)</t>
  </si>
  <si>
    <t>Total Set Asides</t>
  </si>
  <si>
    <t>Anticipated LTP 2024</t>
  </si>
  <si>
    <t>Anticipated LTP 2026</t>
  </si>
  <si>
    <t>Anticipated LTP 2028</t>
  </si>
  <si>
    <t>Anticipated LTP 2030</t>
  </si>
  <si>
    <t>Anticipated LTP 2032</t>
  </si>
  <si>
    <t>Anticipated LTP 2034</t>
  </si>
  <si>
    <t>Anticipated LTP 2036</t>
  </si>
  <si>
    <t>Anticipated LTP 2038</t>
  </si>
  <si>
    <t>Anticipated LTP 2040</t>
  </si>
  <si>
    <t>RPS Target Amount</t>
  </si>
  <si>
    <t>Table 3-7</t>
  </si>
  <si>
    <t xml:space="preserve">Solar RECs  </t>
  </si>
  <si>
    <t>Wind RECs</t>
  </si>
  <si>
    <t>Combined Wind and Solar RECs</t>
  </si>
  <si>
    <t>Table 3-9</t>
  </si>
  <si>
    <t>Reference Year Forecasted Delivered Volume [MWh][1]</t>
  </si>
  <si>
    <t>Cost Cap Rate[2] [$/MWh]</t>
  </si>
  <si>
    <t>RPS Budget for 2024-2025 Delivery Year [$][3]</t>
  </si>
  <si>
    <t>Allocation Based on RPS Budget for 2024-2025 Delivery Year [%]</t>
  </si>
  <si>
    <t>Ameren Illinois</t>
  </si>
  <si>
    <t>MidAmerican[4]</t>
  </si>
  <si>
    <t>Table 3-11</t>
  </si>
  <si>
    <t>Utility Scale Under Contract</t>
  </si>
  <si>
    <t>2024 Long-Term Plan</t>
  </si>
  <si>
    <t>Total Future Plans</t>
  </si>
  <si>
    <t>Fixed Spending Including ILSFA</t>
  </si>
  <si>
    <t>Total Expenses</t>
  </si>
  <si>
    <t>Table 3-12</t>
  </si>
  <si>
    <t>Delivery Year Starting Balance</t>
  </si>
  <si>
    <t>RPS Collections</t>
  </si>
  <si>
    <t>Total Funds Available</t>
  </si>
  <si>
    <t>Total Expenditures</t>
  </si>
  <si>
    <t>Delivery Year Ending Balance</t>
  </si>
  <si>
    <t>Table 3-13</t>
  </si>
  <si>
    <t>Base Case</t>
  </si>
  <si>
    <t>High Price Curve Scenario</t>
  </si>
  <si>
    <t>Low Price Curve Scenario</t>
  </si>
  <si>
    <t>[Note modeling +/- 13%</t>
  </si>
  <si>
    <t>high and low pasted value, won't update automatically</t>
  </si>
  <si>
    <t>Setasides and ILSFA</t>
  </si>
  <si>
    <t>Available Funds at start of DY + Collections</t>
  </si>
  <si>
    <t>24 Plan (projected)</t>
  </si>
  <si>
    <t>Future Plans (projected)</t>
  </si>
  <si>
    <t>Set Asides</t>
  </si>
  <si>
    <t>Year-End RPS Balance</t>
  </si>
  <si>
    <t>In Progress</t>
  </si>
  <si>
    <t>Future Plans</t>
  </si>
  <si>
    <t>Total Available Funds</t>
  </si>
  <si>
    <t>Total Double Check</t>
  </si>
  <si>
    <t>Legacy Programs</t>
  </si>
  <si>
    <t>Potential Future Activities</t>
  </si>
  <si>
    <t>LTPPAs</t>
  </si>
  <si>
    <t>FIJA ABP</t>
  </si>
  <si>
    <t>2017-2019 Foreword Procurements</t>
  </si>
  <si>
    <t>CEJA ABP New Categories</t>
  </si>
  <si>
    <t>Subsequent Forward Procurement (Wind, Solar, and Brownfield)</t>
  </si>
  <si>
    <t>2024-2030 ABP</t>
  </si>
  <si>
    <t>2024-2030 Wind, Solar, and Brownfield</t>
  </si>
  <si>
    <t>Solar for All &amp; Admin and Job Training</t>
  </si>
  <si>
    <t>TEST Expenses</t>
  </si>
  <si>
    <t>2022 Avg Strike Price</t>
  </si>
  <si>
    <t>2023 Avg Strike Price</t>
  </si>
  <si>
    <t>2024 Avg Strike Price</t>
  </si>
  <si>
    <t>Self Direct Rate [$/MWh]</t>
  </si>
  <si>
    <t>2025 Proxy Price</t>
  </si>
  <si>
    <t>Annual strike  price % increase after 2025</t>
  </si>
  <si>
    <t>Annual strike price % increase after 2025</t>
  </si>
  <si>
    <t>1/13 data</t>
  </si>
  <si>
    <t>others notu updated</t>
  </si>
  <si>
    <t>Date Calculated</t>
  </si>
  <si>
    <t>Date of Forward Prpice Curve</t>
  </si>
  <si>
    <t>2024-2025 REC Price</t>
  </si>
  <si>
    <t>2024 TBD</t>
  </si>
  <si>
    <t>2024-2025 Remaining Capacity to Contract (MW)</t>
  </si>
  <si>
    <t>2024-2025 Remaining Contract Values</t>
  </si>
  <si>
    <t>*lowered by estimated self-direct quantity</t>
  </si>
  <si>
    <t>Utility-scale expenditures</t>
  </si>
  <si>
    <t>22-23 Plan</t>
  </si>
  <si>
    <t>Updated Load Forecast</t>
  </si>
  <si>
    <t>2024 Plan Load Forecast</t>
  </si>
  <si>
    <t>Ameren (2024 Plan)</t>
  </si>
  <si>
    <t>ComEd (2024 Plan)</t>
  </si>
  <si>
    <t>MidAmerican (2024 Plan)</t>
  </si>
  <si>
    <t>Ameren (Updated)</t>
  </si>
  <si>
    <t>MidAmerican (Updated)</t>
  </si>
  <si>
    <t>ComEd  (Updated)</t>
  </si>
  <si>
    <t>Custom</t>
  </si>
  <si>
    <t>No</t>
  </si>
  <si>
    <t>Oct 2024 RPS Update EOY Balances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</si>
</sst>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quot;$&quot;#,##0.00"/>
    <numFmt numFmtId="166" formatCode="&quot;$&quot;#,##0"/>
    <numFmt numFmtId="167" formatCode="0.0%"/>
    <numFmt numFmtId="168" formatCode="0.0000"/>
    <numFmt numFmtId="169" formatCode="0.0"/>
    <numFmt numFmtId="170" formatCode="_(* #,##0.000_);_(* \(#,##0.000\);_(* &quot;-&quot;??_);_(@_)"/>
    <numFmt numFmtId="171" formatCode="_(&quot;$&quot;* #,##0_);_(&quot;$&quot;* \(#,##0\);_(&quot;$&quot;* &quot;-&quot;??_);_(@_)"/>
  </numFmts>
  <fonts count="3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b/>
      <sz val="11"/>
      <color rgb="FF000000"/>
      <name val="Calibri"/>
      <family val="2"/>
      <scheme val="minor"/>
    </font>
    <font>
      <b/>
      <sz val="9"/>
      <color rgb="FF000000"/>
      <name val="Calibri"/>
      <family val="2"/>
      <scheme val="minor"/>
    </font>
    <font>
      <sz val="11"/>
      <color theme="9"/>
      <name val="Calibri"/>
      <family val="2"/>
      <scheme val="minor"/>
    </font>
    <font>
      <sz val="11"/>
      <name val="Calibri"/>
      <family val="2"/>
      <scheme val="minor"/>
    </font>
    <font>
      <sz val="11"/>
      <color theme="8"/>
      <name val="Calibri"/>
      <family val="2"/>
      <scheme val="minor"/>
    </font>
    <font>
      <sz val="11"/>
      <color theme="8" tint="-0.499984740745262"/>
      <name val="Calibri"/>
      <family val="2"/>
      <scheme val="minor"/>
    </font>
    <font>
      <sz val="11"/>
      <color rgb="FFC00000"/>
      <name val="Calibri"/>
      <family val="2"/>
      <scheme val="minor"/>
    </font>
    <font>
      <sz val="8"/>
      <name val="Calibri"/>
      <family val="2"/>
      <scheme val="minor"/>
    </font>
    <font>
      <b/>
      <sz val="8"/>
      <color rgb="FF000000"/>
      <name val="Calibri"/>
      <family val="2"/>
    </font>
    <font>
      <sz val="8"/>
      <color rgb="FF000000"/>
      <name val="Calibri"/>
      <family val="2"/>
    </font>
    <font>
      <sz val="11"/>
      <color rgb="FF000000"/>
      <name val="Calibri"/>
      <family val="2"/>
    </font>
    <font>
      <sz val="11"/>
      <color rgb="FFFF0000"/>
      <name val="Calibri"/>
      <family val="2"/>
      <scheme val="minor"/>
    </font>
    <font>
      <sz val="14"/>
      <color theme="1"/>
      <name val="Calibri"/>
      <family val="2"/>
      <scheme val="minor"/>
    </font>
    <font>
      <sz val="14"/>
      <color rgb="FFFF0000"/>
      <name val="Calibri"/>
      <family val="2"/>
      <scheme val="minor"/>
    </font>
    <font>
      <b/>
      <sz val="11"/>
      <color rgb="FFFF0000"/>
      <name val="Calibri"/>
      <family val="2"/>
      <scheme val="minor"/>
    </font>
    <font>
      <u/>
      <sz val="11"/>
      <color theme="10"/>
      <name val="Calibri"/>
      <family val="2"/>
      <scheme val="minor"/>
    </font>
    <font>
      <sz val="11"/>
      <color theme="1"/>
      <name val="Cambria"/>
      <family val="1"/>
    </font>
    <font>
      <b/>
      <sz val="9"/>
      <color rgb="FF000000"/>
      <name val="Cambria"/>
      <family val="1"/>
    </font>
    <font>
      <sz val="11"/>
      <color rgb="FF000000"/>
      <name val="Cambria"/>
      <family val="1"/>
    </font>
    <font>
      <b/>
      <sz val="10"/>
      <color rgb="FF000000"/>
      <name val="Cambria"/>
      <family val="1"/>
    </font>
    <font>
      <sz val="10"/>
      <color theme="1"/>
      <name val="Arial"/>
      <family val="2"/>
    </font>
    <font>
      <b/>
      <sz val="11"/>
      <color rgb="FF000000"/>
      <name val="Calibri"/>
      <family val="2"/>
    </font>
    <font>
      <sz val="14"/>
      <name val="Calibri"/>
      <family val="2"/>
      <scheme val="minor"/>
    </font>
    <font>
      <b/>
      <sz val="14"/>
      <name val="Calibri"/>
      <family val="2"/>
      <scheme val="minor"/>
    </font>
    <font>
      <b/>
      <sz val="11"/>
      <name val="Calibri"/>
      <family val="2"/>
      <scheme val="minor"/>
    </font>
    <font>
      <sz val="11"/>
      <color theme="0"/>
      <name val="Calibri"/>
      <family val="2"/>
      <scheme val="minor"/>
    </font>
    <font>
      <sz val="11"/>
      <color rgb="FF000000"/>
      <name val="Calibri"/>
      <family val="2"/>
      <scheme val="minor"/>
    </font>
    <font>
      <sz val="11"/>
      <name val="Calibri"/>
      <family val="2"/>
    </font>
    <font>
      <sz val="11"/>
      <color rgb="FF000000"/>
      <name val="Aptos Narrow"/>
      <family val="2"/>
    </font>
    <font>
      <sz val="11"/>
      <color theme="2" tint="-0.249977111117893"/>
      <name val="Calibri"/>
      <family val="2"/>
      <scheme val="minor"/>
    </font>
  </fonts>
  <fills count="16">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D9D9D9"/>
        <bgColor indexed="64"/>
      </patternFill>
    </fill>
    <fill>
      <patternFill patternType="solid">
        <fgColor rgb="FFFFFFFF"/>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D9D9D9"/>
        <bgColor rgb="FF000000"/>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ck">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bottom/>
      <diagonal/>
    </border>
    <border>
      <left style="thin">
        <color indexed="64"/>
      </left>
      <right/>
      <top/>
      <bottom/>
      <diagonal/>
    </border>
    <border>
      <left style="medium">
        <color indexed="64"/>
      </left>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cellStyleXfs>
  <cellXfs count="360">
    <xf numFmtId="0" fontId="0" fillId="0" borderId="0" xfId="0"/>
    <xf numFmtId="0" fontId="2" fillId="0" borderId="0" xfId="0" applyFont="1"/>
    <xf numFmtId="0" fontId="3" fillId="2" borderId="1" xfId="0" applyFont="1" applyFill="1" applyBorder="1" applyAlignment="1">
      <alignment vertical="center" wrapText="1"/>
    </xf>
    <xf numFmtId="44" fontId="0" fillId="0" borderId="0" xfId="2" applyFont="1"/>
    <xf numFmtId="44" fontId="0" fillId="0" borderId="0" xfId="0" applyNumberFormat="1"/>
    <xf numFmtId="0" fontId="0" fillId="0" borderId="3" xfId="0" applyBorder="1"/>
    <xf numFmtId="0" fontId="0" fillId="0" borderId="4" xfId="0" applyBorder="1"/>
    <xf numFmtId="164" fontId="1" fillId="4" borderId="1" xfId="1" applyNumberFormat="1" applyFont="1" applyFill="1" applyBorder="1"/>
    <xf numFmtId="0" fontId="0" fillId="0" borderId="1" xfId="0" applyBorder="1" applyAlignment="1">
      <alignment horizontal="center"/>
    </xf>
    <xf numFmtId="0" fontId="5" fillId="2" borderId="1" xfId="0" applyFont="1" applyFill="1" applyBorder="1" applyAlignment="1">
      <alignment horizontal="center"/>
    </xf>
    <xf numFmtId="9" fontId="2" fillId="2" borderId="1" xfId="0" applyNumberFormat="1" applyFont="1" applyFill="1" applyBorder="1"/>
    <xf numFmtId="164" fontId="0" fillId="0" borderId="1" xfId="1" applyNumberFormat="1" applyFont="1" applyBorder="1"/>
    <xf numFmtId="0" fontId="2" fillId="5" borderId="1" xfId="0" applyFont="1" applyFill="1" applyBorder="1"/>
    <xf numFmtId="0" fontId="2" fillId="2" borderId="1" xfId="0" applyFont="1" applyFill="1" applyBorder="1" applyAlignment="1">
      <alignment horizontal="center" vertical="center" wrapText="1"/>
    </xf>
    <xf numFmtId="165" fontId="0" fillId="3" borderId="1" xfId="1" applyNumberFormat="1" applyFont="1" applyFill="1" applyBorder="1"/>
    <xf numFmtId="166" fontId="0" fillId="3" borderId="1" xfId="1" applyNumberFormat="1" applyFont="1" applyFill="1" applyBorder="1"/>
    <xf numFmtId="166" fontId="0" fillId="5" borderId="1" xfId="0" applyNumberFormat="1" applyFill="1" applyBorder="1"/>
    <xf numFmtId="166" fontId="0" fillId="0" borderId="0" xfId="0" applyNumberFormat="1"/>
    <xf numFmtId="0" fontId="0" fillId="3" borderId="1" xfId="0" applyFill="1" applyBorder="1"/>
    <xf numFmtId="3" fontId="0" fillId="0" borderId="0" xfId="0" applyNumberFormat="1"/>
    <xf numFmtId="10" fontId="2" fillId="0" borderId="1" xfId="0" applyNumberFormat="1" applyFont="1" applyBorder="1"/>
    <xf numFmtId="166" fontId="0" fillId="0" borderId="1" xfId="1" applyNumberFormat="1" applyFont="1" applyBorder="1"/>
    <xf numFmtId="0" fontId="2" fillId="6" borderId="1" xfId="0" applyFont="1" applyFill="1" applyBorder="1"/>
    <xf numFmtId="0" fontId="2" fillId="2" borderId="1" xfId="0" applyFont="1" applyFill="1" applyBorder="1" applyAlignment="1">
      <alignment wrapText="1"/>
    </xf>
    <xf numFmtId="43" fontId="0" fillId="2" borderId="1" xfId="1" applyFont="1" applyFill="1" applyBorder="1"/>
    <xf numFmtId="164" fontId="0" fillId="2" borderId="6" xfId="1" applyNumberFormat="1" applyFont="1" applyFill="1" applyBorder="1"/>
    <xf numFmtId="164" fontId="0" fillId="0" borderId="1" xfId="0" applyNumberFormat="1" applyBorder="1"/>
    <xf numFmtId="164" fontId="0" fillId="0" borderId="6" xfId="1" applyNumberFormat="1" applyFont="1" applyBorder="1"/>
    <xf numFmtId="43" fontId="0" fillId="3" borderId="1" xfId="1" applyFont="1" applyFill="1" applyBorder="1"/>
    <xf numFmtId="43" fontId="0" fillId="0" borderId="0" xfId="0" applyNumberFormat="1"/>
    <xf numFmtId="0" fontId="0" fillId="2" borderId="7" xfId="0" applyFill="1" applyBorder="1" applyAlignment="1">
      <alignment horizontal="center"/>
    </xf>
    <xf numFmtId="0" fontId="0" fillId="7" borderId="0" xfId="0" applyFill="1"/>
    <xf numFmtId="164" fontId="0" fillId="0" borderId="0" xfId="1" applyNumberFormat="1" applyFont="1" applyBorder="1"/>
    <xf numFmtId="0" fontId="0" fillId="2" borderId="0" xfId="0" applyFill="1" applyAlignment="1">
      <alignment horizontal="center" wrapText="1"/>
    </xf>
    <xf numFmtId="164" fontId="0" fillId="0" borderId="0" xfId="0" quotePrefix="1" applyNumberFormat="1"/>
    <xf numFmtId="37" fontId="0" fillId="0" borderId="1" xfId="0" applyNumberFormat="1" applyBorder="1"/>
    <xf numFmtId="164" fontId="0" fillId="0" borderId="1" xfId="3" applyNumberFormat="1" applyFont="1" applyBorder="1"/>
    <xf numFmtId="37" fontId="0" fillId="0" borderId="0" xfId="0" applyNumberFormat="1"/>
    <xf numFmtId="9" fontId="0" fillId="0" borderId="0" xfId="3" applyFont="1" applyBorder="1"/>
    <xf numFmtId="167" fontId="0" fillId="0" borderId="1" xfId="3" applyNumberFormat="1" applyFont="1" applyBorder="1"/>
    <xf numFmtId="166" fontId="0" fillId="0" borderId="1" xfId="2" applyNumberFormat="1" applyFont="1" applyBorder="1"/>
    <xf numFmtId="0" fontId="0" fillId="0" borderId="1" xfId="0" applyBorder="1" applyAlignment="1">
      <alignment horizontal="center" wrapText="1"/>
    </xf>
    <xf numFmtId="0" fontId="7" fillId="2" borderId="8" xfId="0" applyFont="1" applyFill="1" applyBorder="1" applyAlignment="1">
      <alignment horizontal="center" vertical="center" wrapText="1"/>
    </xf>
    <xf numFmtId="166" fontId="0" fillId="3" borderId="1" xfId="0" applyNumberFormat="1" applyFill="1" applyBorder="1"/>
    <xf numFmtId="37" fontId="8" fillId="0" borderId="1" xfId="0" applyNumberFormat="1" applyFont="1" applyBorder="1" applyAlignment="1">
      <alignment horizontal="center"/>
    </xf>
    <xf numFmtId="2" fontId="8" fillId="0" borderId="1" xfId="1" applyNumberFormat="1" applyFont="1" applyFill="1" applyBorder="1" applyAlignment="1">
      <alignment horizontal="center"/>
    </xf>
    <xf numFmtId="37" fontId="9" fillId="0" borderId="1" xfId="0" applyNumberFormat="1" applyFont="1" applyBorder="1" applyAlignment="1">
      <alignment horizontal="center"/>
    </xf>
    <xf numFmtId="37" fontId="9" fillId="4" borderId="1" xfId="0" applyNumberFormat="1" applyFont="1" applyFill="1" applyBorder="1"/>
    <xf numFmtId="167" fontId="10" fillId="0" borderId="1" xfId="0" applyNumberFormat="1" applyFont="1" applyBorder="1" applyAlignment="1">
      <alignment horizontal="center"/>
    </xf>
    <xf numFmtId="0" fontId="0" fillId="0" borderId="1" xfId="0" applyBorder="1" applyAlignment="1">
      <alignment horizontal="center" vertical="center" wrapText="1"/>
    </xf>
    <xf numFmtId="0" fontId="0" fillId="0" borderId="0" xfId="0" applyAlignment="1">
      <alignment horizontal="center"/>
    </xf>
    <xf numFmtId="0" fontId="11" fillId="0" borderId="0" xfId="0" applyFont="1" applyAlignment="1">
      <alignment horizontal="left" vertical="center"/>
    </xf>
    <xf numFmtId="0" fontId="8" fillId="0" borderId="1" xfId="2" applyNumberFormat="1" applyFont="1" applyFill="1" applyBorder="1" applyAlignment="1">
      <alignment horizontal="center"/>
    </xf>
    <xf numFmtId="3" fontId="9" fillId="3" borderId="1" xfId="0" applyNumberFormat="1" applyFont="1" applyFill="1" applyBorder="1" applyAlignment="1">
      <alignment horizontal="right"/>
    </xf>
    <xf numFmtId="37" fontId="8" fillId="0" borderId="0" xfId="0" applyNumberFormat="1" applyFont="1" applyAlignment="1">
      <alignment horizontal="center"/>
    </xf>
    <xf numFmtId="37" fontId="9" fillId="3" borderId="1" xfId="0" applyNumberFormat="1" applyFont="1" applyFill="1" applyBorder="1" applyAlignment="1">
      <alignment horizontal="right"/>
    </xf>
    <xf numFmtId="168" fontId="8" fillId="0" borderId="1" xfId="2" applyNumberFormat="1" applyFont="1" applyFill="1" applyBorder="1" applyAlignment="1">
      <alignment horizontal="center"/>
    </xf>
    <xf numFmtId="10" fontId="0" fillId="0" borderId="1" xfId="0" applyNumberFormat="1" applyBorder="1" applyAlignment="1">
      <alignment horizontal="center" vertical="center" wrapText="1"/>
    </xf>
    <xf numFmtId="169" fontId="0" fillId="0" borderId="0" xfId="0" applyNumberFormat="1"/>
    <xf numFmtId="0" fontId="8" fillId="0" borderId="0" xfId="2" applyNumberFormat="1" applyFont="1" applyFill="1" applyBorder="1" applyAlignment="1">
      <alignment horizontal="center"/>
    </xf>
    <xf numFmtId="37" fontId="9" fillId="0" borderId="0" xfId="0" applyNumberFormat="1" applyFont="1" applyAlignment="1">
      <alignment horizontal="center"/>
    </xf>
    <xf numFmtId="167" fontId="10" fillId="0" borderId="0" xfId="0" applyNumberFormat="1" applyFont="1" applyAlignment="1">
      <alignment horizontal="center"/>
    </xf>
    <xf numFmtId="37" fontId="9" fillId="3" borderId="1" xfId="0" applyNumberFormat="1" applyFont="1" applyFill="1" applyBorder="1"/>
    <xf numFmtId="164" fontId="9" fillId="3" borderId="1" xfId="1" applyNumberFormat="1" applyFont="1" applyFill="1" applyBorder="1"/>
    <xf numFmtId="37" fontId="12" fillId="0" borderId="0" xfId="0" applyNumberFormat="1" applyFont="1"/>
    <xf numFmtId="166" fontId="0" fillId="9" borderId="1" xfId="1" applyNumberFormat="1" applyFont="1" applyFill="1" applyBorder="1"/>
    <xf numFmtId="44" fontId="0" fillId="0" borderId="1" xfId="0" applyNumberFormat="1" applyBorder="1"/>
    <xf numFmtId="0" fontId="2" fillId="7" borderId="1" xfId="0" applyFont="1" applyFill="1" applyBorder="1" applyAlignment="1">
      <alignment horizontal="center" vertical="center"/>
    </xf>
    <xf numFmtId="0" fontId="2" fillId="0" borderId="1" xfId="0" applyFont="1" applyBorder="1" applyAlignment="1">
      <alignment horizontal="center"/>
    </xf>
    <xf numFmtId="164" fontId="0" fillId="4" borderId="1" xfId="1" applyNumberFormat="1" applyFont="1" applyFill="1" applyBorder="1"/>
    <xf numFmtId="164" fontId="0" fillId="5" borderId="1" xfId="1" applyNumberFormat="1" applyFont="1" applyFill="1" applyBorder="1"/>
    <xf numFmtId="165" fontId="0" fillId="4" borderId="1" xfId="2" applyNumberFormat="1" applyFont="1" applyFill="1" applyBorder="1"/>
    <xf numFmtId="0" fontId="14" fillId="10" borderId="16" xfId="0" applyFont="1" applyFill="1" applyBorder="1" applyAlignment="1">
      <alignment vertical="center"/>
    </xf>
    <xf numFmtId="0" fontId="14" fillId="10" borderId="2" xfId="0" applyFont="1" applyFill="1" applyBorder="1" applyAlignment="1">
      <alignment horizontal="center" vertical="center" wrapText="1"/>
    </xf>
    <xf numFmtId="0" fontId="14" fillId="10" borderId="17" xfId="0" applyFont="1" applyFill="1" applyBorder="1" applyAlignment="1">
      <alignment horizontal="center" vertical="center" wrapText="1"/>
    </xf>
    <xf numFmtId="0" fontId="14" fillId="10" borderId="18" xfId="0" applyFont="1" applyFill="1" applyBorder="1" applyAlignment="1">
      <alignment horizontal="center" vertical="center" wrapText="1"/>
    </xf>
    <xf numFmtId="0" fontId="14" fillId="10" borderId="1" xfId="0" applyFont="1" applyFill="1" applyBorder="1" applyAlignment="1">
      <alignment vertical="center" wrapText="1"/>
    </xf>
    <xf numFmtId="0" fontId="14" fillId="10" borderId="1" xfId="0" applyFont="1" applyFill="1" applyBorder="1" applyAlignment="1">
      <alignment horizontal="center" vertical="center" wrapText="1"/>
    </xf>
    <xf numFmtId="0" fontId="15" fillId="0" borderId="2" xfId="0" applyFont="1" applyBorder="1" applyAlignment="1">
      <alignment vertical="center"/>
    </xf>
    <xf numFmtId="6" fontId="16" fillId="11" borderId="17" xfId="0" applyNumberFormat="1" applyFont="1" applyFill="1" applyBorder="1" applyAlignment="1">
      <alignment horizontal="right" vertical="center"/>
    </xf>
    <xf numFmtId="6" fontId="16" fillId="0" borderId="17" xfId="0" applyNumberFormat="1" applyFont="1" applyBorder="1" applyAlignment="1">
      <alignment horizontal="right" vertical="center"/>
    </xf>
    <xf numFmtId="0" fontId="15" fillId="0" borderId="16" xfId="0" applyFont="1" applyBorder="1" applyAlignment="1">
      <alignment vertical="center"/>
    </xf>
    <xf numFmtId="6" fontId="0" fillId="0" borderId="0" xfId="0" applyNumberFormat="1"/>
    <xf numFmtId="0" fontId="2" fillId="0" borderId="0" xfId="0" applyFont="1" applyAlignment="1">
      <alignment wrapText="1"/>
    </xf>
    <xf numFmtId="8" fontId="16" fillId="11" borderId="17" xfId="0" applyNumberFormat="1" applyFont="1" applyFill="1" applyBorder="1" applyAlignment="1">
      <alignment horizontal="right" vertical="center"/>
    </xf>
    <xf numFmtId="6" fontId="16" fillId="11" borderId="17" xfId="0" quotePrefix="1" applyNumberFormat="1" applyFont="1" applyFill="1" applyBorder="1" applyAlignment="1">
      <alignment horizontal="right" vertical="center"/>
    </xf>
    <xf numFmtId="0" fontId="0" fillId="0" borderId="0" xfId="2" applyNumberFormat="1" applyFont="1"/>
    <xf numFmtId="8" fontId="0" fillId="0" borderId="0" xfId="2" applyNumberFormat="1" applyFont="1"/>
    <xf numFmtId="43" fontId="0" fillId="0" borderId="0" xfId="1" applyFont="1"/>
    <xf numFmtId="0" fontId="2" fillId="8" borderId="1" xfId="0" applyFont="1" applyFill="1" applyBorder="1"/>
    <xf numFmtId="9" fontId="2" fillId="5" borderId="1" xfId="0" applyNumberFormat="1" applyFont="1" applyFill="1" applyBorder="1"/>
    <xf numFmtId="3" fontId="0" fillId="2" borderId="1" xfId="0" applyNumberFormat="1" applyFill="1" applyBorder="1"/>
    <xf numFmtId="3" fontId="0" fillId="5" borderId="1" xfId="0" applyNumberFormat="1" applyFill="1" applyBorder="1"/>
    <xf numFmtId="165" fontId="0" fillId="5" borderId="1" xfId="2" applyNumberFormat="1" applyFont="1" applyFill="1" applyBorder="1"/>
    <xf numFmtId="165" fontId="0" fillId="2" borderId="1" xfId="2" applyNumberFormat="1" applyFont="1" applyFill="1" applyBorder="1"/>
    <xf numFmtId="170" fontId="0" fillId="2" borderId="1" xfId="1" applyNumberFormat="1" applyFont="1" applyFill="1" applyBorder="1"/>
    <xf numFmtId="9" fontId="0" fillId="0" borderId="0" xfId="3" applyFont="1"/>
    <xf numFmtId="0" fontId="18" fillId="0" borderId="0" xfId="0" applyFont="1"/>
    <xf numFmtId="0" fontId="18" fillId="0" borderId="1" xfId="0" applyFont="1" applyBorder="1"/>
    <xf numFmtId="0" fontId="3" fillId="8" borderId="1" xfId="0" applyFont="1" applyFill="1" applyBorder="1"/>
    <xf numFmtId="164" fontId="18" fillId="3" borderId="1" xfId="1" applyNumberFormat="1" applyFont="1" applyFill="1" applyBorder="1" applyAlignment="1">
      <alignment horizontal="right"/>
    </xf>
    <xf numFmtId="3" fontId="18" fillId="2" borderId="1" xfId="0" applyNumberFormat="1" applyFont="1" applyFill="1" applyBorder="1"/>
    <xf numFmtId="0" fontId="3" fillId="5" borderId="1" xfId="0" applyFont="1" applyFill="1" applyBorder="1"/>
    <xf numFmtId="3" fontId="18" fillId="5" borderId="1" xfId="0" applyNumberFormat="1" applyFont="1" applyFill="1" applyBorder="1"/>
    <xf numFmtId="9" fontId="3" fillId="3" borderId="1" xfId="3" applyFont="1" applyFill="1" applyBorder="1"/>
    <xf numFmtId="164" fontId="18" fillId="5" borderId="1" xfId="1" applyNumberFormat="1" applyFont="1" applyFill="1" applyBorder="1"/>
    <xf numFmtId="165" fontId="18" fillId="5" borderId="1" xfId="2" applyNumberFormat="1" applyFont="1" applyFill="1" applyBorder="1"/>
    <xf numFmtId="0" fontId="18" fillId="2" borderId="1" xfId="0" applyFont="1" applyFill="1" applyBorder="1"/>
    <xf numFmtId="9" fontId="18" fillId="2" borderId="1" xfId="3" applyFont="1" applyFill="1" applyBorder="1" applyAlignment="1">
      <alignment horizontal="right" vertical="center"/>
    </xf>
    <xf numFmtId="164" fontId="18" fillId="2" borderId="1" xfId="1" applyNumberFormat="1" applyFont="1" applyFill="1" applyBorder="1"/>
    <xf numFmtId="166" fontId="18" fillId="2" borderId="1" xfId="0" applyNumberFormat="1" applyFont="1" applyFill="1" applyBorder="1"/>
    <xf numFmtId="9" fontId="18" fillId="3" borderId="1" xfId="3" applyFont="1" applyFill="1" applyBorder="1" applyAlignment="1">
      <alignment horizontal="right" vertical="center"/>
    </xf>
    <xf numFmtId="170" fontId="18" fillId="3" borderId="1" xfId="1" applyNumberFormat="1" applyFont="1" applyFill="1" applyBorder="1"/>
    <xf numFmtId="165" fontId="18" fillId="3" borderId="1" xfId="2" applyNumberFormat="1" applyFont="1" applyFill="1" applyBorder="1"/>
    <xf numFmtId="165" fontId="18" fillId="2" borderId="1" xfId="2" applyNumberFormat="1" applyFont="1" applyFill="1" applyBorder="1"/>
    <xf numFmtId="170" fontId="18" fillId="2" borderId="1" xfId="1" applyNumberFormat="1" applyFont="1" applyFill="1" applyBorder="1"/>
    <xf numFmtId="9" fontId="3" fillId="2" borderId="1" xfId="3" applyFont="1" applyFill="1" applyBorder="1"/>
    <xf numFmtId="0" fontId="3" fillId="2" borderId="1" xfId="0" applyFont="1" applyFill="1" applyBorder="1"/>
    <xf numFmtId="9" fontId="3" fillId="5" borderId="1" xfId="0" applyNumberFormat="1" applyFont="1" applyFill="1" applyBorder="1"/>
    <xf numFmtId="8" fontId="18" fillId="0" borderId="0" xfId="0" applyNumberFormat="1" applyFont="1"/>
    <xf numFmtId="0" fontId="19" fillId="0" borderId="0" xfId="0" applyFont="1"/>
    <xf numFmtId="3" fontId="19" fillId="2" borderId="1" xfId="0" applyNumberFormat="1" applyFont="1" applyFill="1" applyBorder="1"/>
    <xf numFmtId="165" fontId="19" fillId="5" borderId="1" xfId="2" applyNumberFormat="1" applyFont="1" applyFill="1" applyBorder="1"/>
    <xf numFmtId="165" fontId="19" fillId="2" borderId="1" xfId="2" applyNumberFormat="1" applyFont="1" applyFill="1" applyBorder="1"/>
    <xf numFmtId="8" fontId="19" fillId="0" borderId="0" xfId="0" applyNumberFormat="1" applyFont="1"/>
    <xf numFmtId="0" fontId="17" fillId="0" borderId="0" xfId="0" applyFont="1"/>
    <xf numFmtId="166" fontId="0" fillId="5" borderId="1" xfId="2" applyNumberFormat="1" applyFont="1" applyFill="1" applyBorder="1"/>
    <xf numFmtId="166" fontId="0" fillId="5" borderId="1" xfId="1" applyNumberFormat="1" applyFont="1" applyFill="1" applyBorder="1"/>
    <xf numFmtId="165" fontId="0" fillId="4" borderId="6" xfId="2" applyNumberFormat="1" applyFont="1" applyFill="1" applyBorder="1"/>
    <xf numFmtId="165" fontId="0" fillId="5" borderId="6" xfId="2" applyNumberFormat="1" applyFont="1" applyFill="1" applyBorder="1"/>
    <xf numFmtId="166" fontId="0" fillId="0" borderId="6" xfId="2" applyNumberFormat="1" applyFont="1" applyBorder="1"/>
    <xf numFmtId="166" fontId="0" fillId="2" borderId="1" xfId="2" applyNumberFormat="1" applyFont="1" applyFill="1" applyBorder="1"/>
    <xf numFmtId="166" fontId="0" fillId="4" borderId="6" xfId="2" applyNumberFormat="1" applyFont="1" applyFill="1" applyBorder="1"/>
    <xf numFmtId="166" fontId="0" fillId="2" borderId="6" xfId="2" applyNumberFormat="1" applyFont="1" applyFill="1" applyBorder="1"/>
    <xf numFmtId="166" fontId="0" fillId="2" borderId="6" xfId="0" applyNumberFormat="1" applyFill="1" applyBorder="1"/>
    <xf numFmtId="166" fontId="0" fillId="5" borderId="6" xfId="2" applyNumberFormat="1" applyFont="1" applyFill="1" applyBorder="1"/>
    <xf numFmtId="3" fontId="0" fillId="8" borderId="1" xfId="0" applyNumberFormat="1" applyFill="1" applyBorder="1"/>
    <xf numFmtId="166" fontId="0" fillId="12" borderId="1" xfId="0" applyNumberFormat="1" applyFill="1" applyBorder="1"/>
    <xf numFmtId="3" fontId="0" fillId="12" borderId="1" xfId="0" applyNumberFormat="1" applyFill="1" applyBorder="1"/>
    <xf numFmtId="43" fontId="2" fillId="0" borderId="1" xfId="0" applyNumberFormat="1" applyFont="1" applyBorder="1"/>
    <xf numFmtId="43" fontId="0" fillId="0" borderId="1" xfId="1" applyFont="1" applyBorder="1"/>
    <xf numFmtId="3" fontId="0" fillId="13" borderId="1" xfId="0" applyNumberFormat="1" applyFill="1" applyBorder="1"/>
    <xf numFmtId="170" fontId="0" fillId="4" borderId="1" xfId="1" applyNumberFormat="1" applyFont="1" applyFill="1" applyBorder="1"/>
    <xf numFmtId="43" fontId="0" fillId="13" borderId="1" xfId="1" applyFont="1" applyFill="1" applyBorder="1"/>
    <xf numFmtId="164" fontId="0" fillId="2" borderId="1" xfId="0" applyNumberFormat="1" applyFill="1" applyBorder="1"/>
    <xf numFmtId="164" fontId="0" fillId="13" borderId="1" xfId="0" applyNumberFormat="1" applyFill="1" applyBorder="1"/>
    <xf numFmtId="164" fontId="0" fillId="13" borderId="1" xfId="1" applyNumberFormat="1" applyFont="1" applyFill="1" applyBorder="1"/>
    <xf numFmtId="164" fontId="0" fillId="5" borderId="1" xfId="0" applyNumberFormat="1" applyFill="1" applyBorder="1"/>
    <xf numFmtId="170" fontId="0" fillId="5" borderId="1" xfId="1" applyNumberFormat="1" applyFont="1" applyFill="1" applyBorder="1"/>
    <xf numFmtId="170" fontId="0" fillId="0" borderId="1" xfId="1" applyNumberFormat="1" applyFont="1" applyBorder="1"/>
    <xf numFmtId="43" fontId="0" fillId="2" borderId="1" xfId="0" applyNumberFormat="1" applyFill="1" applyBorder="1"/>
    <xf numFmtId="164" fontId="0" fillId="12" borderId="1" xfId="1" applyNumberFormat="1" applyFont="1" applyFill="1" applyBorder="1"/>
    <xf numFmtId="0" fontId="2" fillId="12" borderId="1" xfId="0" applyFont="1" applyFill="1" applyBorder="1"/>
    <xf numFmtId="3" fontId="2" fillId="12" borderId="1" xfId="0" applyNumberFormat="1" applyFont="1" applyFill="1" applyBorder="1"/>
    <xf numFmtId="166" fontId="2" fillId="5" borderId="1" xfId="0" applyNumberFormat="1" applyFont="1" applyFill="1" applyBorder="1"/>
    <xf numFmtId="166" fontId="2" fillId="2" borderId="1" xfId="0" applyNumberFormat="1" applyFont="1" applyFill="1" applyBorder="1"/>
    <xf numFmtId="166" fontId="2" fillId="3" borderId="1" xfId="0" applyNumberFormat="1" applyFont="1" applyFill="1" applyBorder="1" applyAlignment="1">
      <alignment horizontal="center"/>
    </xf>
    <xf numFmtId="166" fontId="0" fillId="4" borderId="1" xfId="2" applyNumberFormat="1" applyFont="1" applyFill="1" applyBorder="1"/>
    <xf numFmtId="17" fontId="0" fillId="2" borderId="1" xfId="0" applyNumberFormat="1" applyFill="1" applyBorder="1"/>
    <xf numFmtId="164" fontId="0" fillId="4" borderId="1" xfId="0" applyNumberFormat="1" applyFill="1" applyBorder="1"/>
    <xf numFmtId="0" fontId="3" fillId="2" borderId="0" xfId="0" applyFont="1" applyFill="1" applyAlignment="1">
      <alignment vertical="center" wrapText="1"/>
    </xf>
    <xf numFmtId="0" fontId="0" fillId="3" borderId="0" xfId="0" applyFill="1"/>
    <xf numFmtId="43" fontId="0" fillId="3" borderId="0" xfId="1" applyFont="1" applyFill="1" applyBorder="1"/>
    <xf numFmtId="164" fontId="0" fillId="0" borderId="0" xfId="0" applyNumberFormat="1"/>
    <xf numFmtId="0" fontId="2" fillId="2" borderId="1" xfId="0" applyFont="1" applyFill="1" applyBorder="1" applyAlignment="1">
      <alignment horizontal="center" vertical="center"/>
    </xf>
    <xf numFmtId="164" fontId="0" fillId="2" borderId="1" xfId="1" applyNumberFormat="1" applyFont="1" applyFill="1" applyBorder="1"/>
    <xf numFmtId="166" fontId="0" fillId="2" borderId="1" xfId="1" applyNumberFormat="1" applyFont="1" applyFill="1" applyBorder="1"/>
    <xf numFmtId="166" fontId="0" fillId="2" borderId="1" xfId="0" applyNumberFormat="1" applyFill="1" applyBorder="1"/>
    <xf numFmtId="0" fontId="2" fillId="0" borderId="1" xfId="0" applyFont="1" applyBorder="1"/>
    <xf numFmtId="164" fontId="0" fillId="3" borderId="1" xfId="1" applyNumberFormat="1" applyFont="1" applyFill="1" applyBorder="1"/>
    <xf numFmtId="0" fontId="0" fillId="2" borderId="1" xfId="0" applyFill="1" applyBorder="1"/>
    <xf numFmtId="0" fontId="0" fillId="2" borderId="1" xfId="0" applyFill="1" applyBorder="1" applyAlignment="1">
      <alignment horizontal="center"/>
    </xf>
    <xf numFmtId="166" fontId="0" fillId="0" borderId="1" xfId="0" applyNumberFormat="1" applyBorder="1"/>
    <xf numFmtId="171" fontId="0" fillId="0" borderId="1" xfId="2" applyNumberFormat="1" applyFont="1" applyBorder="1"/>
    <xf numFmtId="0" fontId="9" fillId="0" borderId="0" xfId="0" applyFont="1"/>
    <xf numFmtId="0" fontId="2" fillId="2" borderId="1" xfId="0" applyFont="1" applyFill="1" applyBorder="1"/>
    <xf numFmtId="164" fontId="0" fillId="0" borderId="0" xfId="1" applyNumberFormat="1" applyFont="1"/>
    <xf numFmtId="164" fontId="0" fillId="2" borderId="0" xfId="1" applyNumberFormat="1" applyFont="1" applyFill="1" applyBorder="1"/>
    <xf numFmtId="164" fontId="0" fillId="3" borderId="0" xfId="1" applyNumberFormat="1" applyFont="1" applyFill="1" applyBorder="1"/>
    <xf numFmtId="171" fontId="0" fillId="0" borderId="0" xfId="2" applyNumberFormat="1" applyFont="1"/>
    <xf numFmtId="0" fontId="2" fillId="0" borderId="7" xfId="0" applyFont="1" applyBorder="1"/>
    <xf numFmtId="0" fontId="0" fillId="14" borderId="0" xfId="0" applyFill="1"/>
    <xf numFmtId="9" fontId="0" fillId="2" borderId="1" xfId="3" applyFont="1" applyFill="1" applyBorder="1"/>
    <xf numFmtId="0" fontId="2" fillId="14" borderId="1" xfId="0" applyFont="1" applyFill="1" applyBorder="1"/>
    <xf numFmtId="171" fontId="0" fillId="2" borderId="1" xfId="2" applyNumberFormat="1" applyFont="1" applyFill="1" applyBorder="1"/>
    <xf numFmtId="166" fontId="0" fillId="14" borderId="1" xfId="1" applyNumberFormat="1" applyFont="1" applyFill="1" applyBorder="1"/>
    <xf numFmtId="166" fontId="0" fillId="14" borderId="1" xfId="0" applyNumberFormat="1" applyFill="1" applyBorder="1"/>
    <xf numFmtId="171" fontId="0" fillId="14" borderId="1" xfId="2" applyNumberFormat="1" applyFont="1" applyFill="1" applyBorder="1"/>
    <xf numFmtId="0" fontId="2" fillId="14" borderId="1" xfId="0" applyFont="1" applyFill="1" applyBorder="1" applyAlignment="1">
      <alignment horizontal="center" vertical="center" wrapText="1"/>
    </xf>
    <xf numFmtId="164" fontId="2" fillId="0" borderId="0" xfId="0" applyNumberFormat="1" applyFont="1"/>
    <xf numFmtId="164" fontId="17" fillId="0" borderId="0" xfId="1" applyNumberFormat="1" applyFont="1"/>
    <xf numFmtId="171" fontId="2" fillId="0" borderId="0" xfId="2" applyNumberFormat="1" applyFont="1"/>
    <xf numFmtId="0" fontId="14" fillId="10" borderId="19" xfId="0" applyFont="1" applyFill="1" applyBorder="1" applyAlignment="1">
      <alignment horizontal="center" vertical="center" wrapText="1"/>
    </xf>
    <xf numFmtId="0" fontId="14" fillId="10" borderId="6" xfId="0" applyFont="1" applyFill="1" applyBorder="1" applyAlignment="1">
      <alignment horizontal="center" vertical="center" wrapText="1"/>
    </xf>
    <xf numFmtId="0" fontId="15" fillId="0" borderId="17" xfId="0" applyFont="1" applyBorder="1" applyAlignment="1">
      <alignment vertical="center"/>
    </xf>
    <xf numFmtId="0" fontId="15" fillId="0" borderId="15" xfId="0" applyFont="1" applyBorder="1" applyAlignment="1">
      <alignment vertical="center"/>
    </xf>
    <xf numFmtId="171" fontId="0" fillId="5" borderId="1" xfId="2" applyNumberFormat="1" applyFont="1" applyFill="1" applyBorder="1"/>
    <xf numFmtId="171" fontId="0" fillId="8" borderId="1" xfId="2" applyNumberFormat="1" applyFont="1" applyFill="1" applyBorder="1"/>
    <xf numFmtId="0" fontId="20" fillId="2" borderId="1" xfId="0" applyFont="1" applyFill="1" applyBorder="1" applyAlignment="1">
      <alignment horizontal="center" vertical="center" wrapText="1"/>
    </xf>
    <xf numFmtId="171" fontId="18" fillId="0" borderId="0" xfId="2" applyNumberFormat="1" applyFont="1"/>
    <xf numFmtId="171" fontId="3" fillId="2" borderId="1" xfId="2" applyNumberFormat="1" applyFont="1" applyFill="1" applyBorder="1" applyAlignment="1">
      <alignment vertical="center" wrapText="1"/>
    </xf>
    <xf numFmtId="171" fontId="18" fillId="2" borderId="1" xfId="2" applyNumberFormat="1" applyFont="1" applyFill="1" applyBorder="1"/>
    <xf numFmtId="171" fontId="18" fillId="5" borderId="1" xfId="2" applyNumberFormat="1" applyFont="1" applyFill="1" applyBorder="1"/>
    <xf numFmtId="171" fontId="18" fillId="3" borderId="1" xfId="2" applyNumberFormat="1" applyFont="1" applyFill="1" applyBorder="1"/>
    <xf numFmtId="171" fontId="3" fillId="2" borderId="1" xfId="2" applyNumberFormat="1" applyFont="1" applyFill="1" applyBorder="1"/>
    <xf numFmtId="171" fontId="3" fillId="5" borderId="1" xfId="2" applyNumberFormat="1" applyFont="1" applyFill="1" applyBorder="1"/>
    <xf numFmtId="171" fontId="17" fillId="0" borderId="0" xfId="2" applyNumberFormat="1" applyFont="1"/>
    <xf numFmtId="167" fontId="0" fillId="0" borderId="0" xfId="0" applyNumberFormat="1"/>
    <xf numFmtId="0" fontId="4" fillId="2" borderId="1" xfId="0" applyFont="1" applyFill="1" applyBorder="1" applyAlignment="1">
      <alignment horizontal="center"/>
    </xf>
    <xf numFmtId="0" fontId="0" fillId="0" borderId="1" xfId="0" applyBorder="1"/>
    <xf numFmtId="6" fontId="0" fillId="0" borderId="1" xfId="0" applyNumberFormat="1" applyBorder="1"/>
    <xf numFmtId="3" fontId="0" fillId="0" borderId="1" xfId="0" applyNumberFormat="1" applyBorder="1"/>
    <xf numFmtId="0" fontId="23" fillId="10" borderId="16" xfId="0" applyFont="1" applyFill="1" applyBorder="1" applyAlignment="1">
      <alignment horizontal="center" vertical="center" wrapText="1"/>
    </xf>
    <xf numFmtId="0" fontId="23" fillId="10" borderId="15" xfId="0" applyFont="1" applyFill="1" applyBorder="1" applyAlignment="1">
      <alignment horizontal="center" vertical="center" wrapText="1"/>
    </xf>
    <xf numFmtId="0" fontId="21" fillId="10" borderId="15" xfId="4" applyFill="1" applyBorder="1" applyAlignment="1">
      <alignment horizontal="center" vertical="center" wrapText="1"/>
    </xf>
    <xf numFmtId="0" fontId="24" fillId="10" borderId="2" xfId="0" applyFont="1" applyFill="1" applyBorder="1" applyAlignment="1">
      <alignment horizontal="right" vertical="center" wrapText="1"/>
    </xf>
    <xf numFmtId="3" fontId="22" fillId="0" borderId="17" xfId="0" applyNumberFormat="1" applyFont="1" applyBorder="1" applyAlignment="1">
      <alignment horizontal="right" vertical="center" wrapText="1"/>
    </xf>
    <xf numFmtId="8" fontId="22" fillId="0" borderId="17" xfId="0" applyNumberFormat="1" applyFont="1" applyBorder="1" applyAlignment="1">
      <alignment horizontal="right" vertical="center" wrapText="1"/>
    </xf>
    <xf numFmtId="6" fontId="22" fillId="0" borderId="17" xfId="0" applyNumberFormat="1" applyFont="1" applyBorder="1" applyAlignment="1">
      <alignment horizontal="right" vertical="center" wrapText="1"/>
    </xf>
    <xf numFmtId="10" fontId="22" fillId="0" borderId="17" xfId="0" applyNumberFormat="1" applyFont="1" applyBorder="1" applyAlignment="1">
      <alignment horizontal="right" vertical="center" wrapText="1"/>
    </xf>
    <xf numFmtId="0" fontId="21" fillId="10" borderId="2" xfId="4" applyFill="1" applyBorder="1" applyAlignment="1">
      <alignment horizontal="right" vertical="center" wrapText="1"/>
    </xf>
    <xf numFmtId="0" fontId="14" fillId="10" borderId="0" xfId="0" applyFont="1" applyFill="1" applyAlignment="1">
      <alignment horizontal="center" vertical="center" wrapText="1"/>
    </xf>
    <xf numFmtId="0" fontId="25" fillId="10" borderId="16" xfId="0" applyFont="1" applyFill="1" applyBorder="1" applyAlignment="1">
      <alignment horizontal="center" vertical="center" wrapText="1"/>
    </xf>
    <xf numFmtId="0" fontId="25" fillId="10" borderId="20" xfId="0" applyFont="1" applyFill="1" applyBorder="1" applyAlignment="1">
      <alignment horizontal="center" vertical="center" wrapText="1"/>
    </xf>
    <xf numFmtId="0" fontId="25" fillId="10" borderId="1" xfId="0" applyFont="1" applyFill="1" applyBorder="1" applyAlignment="1">
      <alignment horizontal="center" vertical="center" wrapText="1"/>
    </xf>
    <xf numFmtId="166" fontId="0" fillId="9" borderId="0" xfId="1" applyNumberFormat="1" applyFont="1" applyFill="1" applyBorder="1"/>
    <xf numFmtId="166" fontId="0" fillId="3" borderId="0" xfId="0" applyNumberFormat="1" applyFill="1"/>
    <xf numFmtId="171" fontId="26" fillId="0" borderId="8" xfId="2" applyNumberFormat="1" applyFont="1" applyFill="1" applyBorder="1"/>
    <xf numFmtId="165" fontId="0" fillId="0" borderId="0" xfId="0" applyNumberFormat="1"/>
    <xf numFmtId="8" fontId="0" fillId="0" borderId="0" xfId="0" applyNumberFormat="1"/>
    <xf numFmtId="164" fontId="0" fillId="0" borderId="1" xfId="1" applyNumberFormat="1" applyFont="1" applyFill="1" applyBorder="1"/>
    <xf numFmtId="164" fontId="1" fillId="0" borderId="1" xfId="1" applyNumberFormat="1" applyFont="1" applyFill="1" applyBorder="1"/>
    <xf numFmtId="0" fontId="14" fillId="10" borderId="6" xfId="0" applyFont="1" applyFill="1" applyBorder="1" applyAlignment="1">
      <alignment vertical="center" wrapText="1"/>
    </xf>
    <xf numFmtId="0" fontId="0" fillId="14" borderId="1" xfId="0" applyFill="1" applyBorder="1"/>
    <xf numFmtId="165" fontId="0" fillId="14" borderId="1" xfId="0" applyNumberFormat="1" applyFill="1" applyBorder="1"/>
    <xf numFmtId="0" fontId="0" fillId="0" borderId="21" xfId="0" applyBorder="1"/>
    <xf numFmtId="0" fontId="6" fillId="8" borderId="7" xfId="0" applyFont="1" applyFill="1" applyBorder="1" applyAlignment="1">
      <alignment horizontal="center" vertical="center" wrapText="1"/>
    </xf>
    <xf numFmtId="166" fontId="0" fillId="0" borderId="21" xfId="0" applyNumberFormat="1" applyBorder="1"/>
    <xf numFmtId="166" fontId="2" fillId="0" borderId="1" xfId="0" applyNumberFormat="1" applyFont="1" applyBorder="1"/>
    <xf numFmtId="171" fontId="2" fillId="0" borderId="1" xfId="2" applyNumberFormat="1" applyFont="1" applyBorder="1"/>
    <xf numFmtId="0" fontId="2" fillId="0" borderId="0" xfId="0" applyFont="1" applyAlignment="1">
      <alignment horizontal="center" vertical="center" wrapText="1"/>
    </xf>
    <xf numFmtId="0" fontId="27" fillId="15" borderId="1" xfId="0" applyFont="1" applyFill="1" applyBorder="1" applyAlignment="1"/>
    <xf numFmtId="0" fontId="27" fillId="15" borderId="6" xfId="0" applyFont="1" applyFill="1" applyBorder="1" applyAlignment="1"/>
    <xf numFmtId="0" fontId="16" fillId="0" borderId="0" xfId="0" applyFont="1" applyFill="1" applyBorder="1" applyAlignment="1"/>
    <xf numFmtId="0" fontId="27" fillId="15" borderId="0" xfId="0" applyFont="1" applyFill="1" applyBorder="1" applyAlignment="1"/>
    <xf numFmtId="0" fontId="27" fillId="15" borderId="10" xfId="0" applyFont="1" applyFill="1" applyBorder="1" applyAlignment="1"/>
    <xf numFmtId="0" fontId="27" fillId="15" borderId="22" xfId="0" applyFont="1" applyFill="1" applyBorder="1" applyAlignment="1"/>
    <xf numFmtId="0" fontId="16" fillId="0" borderId="10" xfId="0" applyFont="1" applyFill="1" applyBorder="1" applyAlignment="1"/>
    <xf numFmtId="0" fontId="16" fillId="0" borderId="22" xfId="0" applyFont="1" applyFill="1" applyBorder="1" applyAlignment="1"/>
    <xf numFmtId="0" fontId="16" fillId="0" borderId="6" xfId="0" applyFont="1" applyFill="1" applyBorder="1" applyAlignment="1"/>
    <xf numFmtId="0" fontId="27" fillId="0" borderId="0" xfId="0" applyFont="1" applyFill="1" applyBorder="1" applyAlignment="1"/>
    <xf numFmtId="0" fontId="27" fillId="15" borderId="23" xfId="0" applyFont="1" applyFill="1" applyBorder="1" applyAlignment="1"/>
    <xf numFmtId="0" fontId="16" fillId="0" borderId="23" xfId="0" applyFont="1" applyFill="1" applyBorder="1" applyAlignment="1"/>
    <xf numFmtId="0" fontId="27" fillId="15" borderId="24" xfId="0" applyFont="1" applyFill="1" applyBorder="1" applyAlignment="1"/>
    <xf numFmtId="0" fontId="16" fillId="0" borderId="24" xfId="0" applyFont="1" applyFill="1" applyBorder="1" applyAlignment="1"/>
    <xf numFmtId="0" fontId="27" fillId="15" borderId="25" xfId="0" applyFont="1" applyFill="1" applyBorder="1" applyAlignment="1"/>
    <xf numFmtId="0" fontId="16" fillId="0" borderId="26" xfId="0" applyFont="1" applyFill="1" applyBorder="1" applyAlignment="1"/>
    <xf numFmtId="164" fontId="28" fillId="0" borderId="0" xfId="1" applyNumberFormat="1" applyFont="1"/>
    <xf numFmtId="164" fontId="29" fillId="2" borderId="1" xfId="1" applyNumberFormat="1" applyFont="1" applyFill="1" applyBorder="1" applyAlignment="1">
      <alignment vertical="center" wrapText="1"/>
    </xf>
    <xf numFmtId="164" fontId="28" fillId="2" borderId="1" xfId="1" applyNumberFormat="1" applyFont="1" applyFill="1" applyBorder="1"/>
    <xf numFmtId="164" fontId="28" fillId="5" borderId="1" xfId="1" applyNumberFormat="1" applyFont="1" applyFill="1" applyBorder="1"/>
    <xf numFmtId="164" fontId="29" fillId="3" borderId="1" xfId="1" applyNumberFormat="1" applyFont="1" applyFill="1" applyBorder="1"/>
    <xf numFmtId="164" fontId="28" fillId="3" borderId="1" xfId="1" applyNumberFormat="1" applyFont="1" applyFill="1" applyBorder="1"/>
    <xf numFmtId="164" fontId="29" fillId="2" borderId="1" xfId="1" applyNumberFormat="1" applyFont="1" applyFill="1" applyBorder="1"/>
    <xf numFmtId="164" fontId="29" fillId="5" borderId="1" xfId="1" applyNumberFormat="1" applyFont="1" applyFill="1" applyBorder="1"/>
    <xf numFmtId="164" fontId="9" fillId="0" borderId="0" xfId="1" applyNumberFormat="1" applyFont="1"/>
    <xf numFmtId="165" fontId="28" fillId="5" borderId="1" xfId="2" applyNumberFormat="1" applyFont="1" applyFill="1" applyBorder="1"/>
    <xf numFmtId="166" fontId="28" fillId="2" borderId="1" xfId="0" applyNumberFormat="1" applyFont="1" applyFill="1" applyBorder="1"/>
    <xf numFmtId="165" fontId="28" fillId="3" borderId="1" xfId="2" applyNumberFormat="1" applyFont="1" applyFill="1" applyBorder="1"/>
    <xf numFmtId="165" fontId="28" fillId="2" borderId="1" xfId="2" applyNumberFormat="1" applyFont="1" applyFill="1" applyBorder="1"/>
    <xf numFmtId="0" fontId="28" fillId="0" borderId="0" xfId="0" applyFont="1"/>
    <xf numFmtId="0" fontId="29" fillId="2" borderId="1" xfId="0" applyFont="1" applyFill="1" applyBorder="1" applyAlignment="1">
      <alignment vertical="center" wrapText="1"/>
    </xf>
    <xf numFmtId="3" fontId="9" fillId="0" borderId="1" xfId="1" applyNumberFormat="1" applyFont="1" applyFill="1" applyBorder="1" applyAlignment="1">
      <alignment horizontal="center"/>
    </xf>
    <xf numFmtId="171" fontId="9" fillId="0" borderId="1" xfId="2" applyNumberFormat="1" applyFont="1" applyFill="1" applyBorder="1" applyAlignment="1">
      <alignment horizontal="center"/>
    </xf>
    <xf numFmtId="164" fontId="0" fillId="0" borderId="1" xfId="0" applyNumberFormat="1" applyFont="1" applyBorder="1"/>
    <xf numFmtId="0" fontId="16" fillId="0" borderId="10" xfId="0" applyFont="1" applyBorder="1"/>
    <xf numFmtId="164" fontId="16" fillId="0" borderId="1" xfId="1" applyNumberFormat="1" applyFont="1" applyBorder="1"/>
    <xf numFmtId="44" fontId="16" fillId="0" borderId="22" xfId="2" applyFont="1" applyBorder="1"/>
    <xf numFmtId="44" fontId="0" fillId="0" borderId="1" xfId="2" applyFont="1" applyBorder="1"/>
    <xf numFmtId="9" fontId="30" fillId="2" borderId="1" xfId="0" applyNumberFormat="1" applyFont="1" applyFill="1" applyBorder="1"/>
    <xf numFmtId="164" fontId="9" fillId="0" borderId="0" xfId="0" applyNumberFormat="1" applyFont="1"/>
    <xf numFmtId="164" fontId="31" fillId="0" borderId="0" xfId="1" applyNumberFormat="1" applyFont="1"/>
    <xf numFmtId="37" fontId="8" fillId="0" borderId="1" xfId="0" applyNumberFormat="1" applyFont="1" applyFill="1" applyBorder="1" applyAlignment="1">
      <alignment horizontal="center"/>
    </xf>
    <xf numFmtId="3" fontId="32" fillId="0" borderId="1" xfId="0" applyNumberFormat="1" applyFont="1" applyBorder="1"/>
    <xf numFmtId="0" fontId="32" fillId="0" borderId="1" xfId="0" applyFont="1" applyBorder="1"/>
    <xf numFmtId="171" fontId="17" fillId="14" borderId="1" xfId="2" applyNumberFormat="1" applyFont="1" applyFill="1" applyBorder="1"/>
    <xf numFmtId="164" fontId="0" fillId="0" borderId="9" xfId="1" applyNumberFormat="1" applyFont="1" applyFill="1" applyBorder="1"/>
    <xf numFmtId="164" fontId="1" fillId="0" borderId="9" xfId="1" applyNumberFormat="1" applyFont="1" applyFill="1" applyBorder="1"/>
    <xf numFmtId="0" fontId="0" fillId="0" borderId="0" xfId="0" applyBorder="1"/>
    <xf numFmtId="164" fontId="0" fillId="0" borderId="0" xfId="1" applyNumberFormat="1" applyFont="1" applyFill="1" applyBorder="1"/>
    <xf numFmtId="165" fontId="17" fillId="0" borderId="0" xfId="0" applyNumberFormat="1" applyFont="1"/>
    <xf numFmtId="166" fontId="9" fillId="14" borderId="1" xfId="0" applyNumberFormat="1" applyFont="1" applyFill="1" applyBorder="1"/>
    <xf numFmtId="0" fontId="9" fillId="14" borderId="1" xfId="0" applyFont="1" applyFill="1" applyBorder="1"/>
    <xf numFmtId="165" fontId="9" fillId="14" borderId="1" xfId="0" applyNumberFormat="1" applyFont="1" applyFill="1" applyBorder="1"/>
    <xf numFmtId="0" fontId="30" fillId="14" borderId="1" xfId="0" applyFont="1" applyFill="1" applyBorder="1" applyAlignment="1">
      <alignment horizontal="center" vertical="center" wrapText="1"/>
    </xf>
    <xf numFmtId="9" fontId="0" fillId="0" borderId="1" xfId="3" applyFont="1" applyBorder="1"/>
    <xf numFmtId="0" fontId="25" fillId="10" borderId="11" xfId="0" applyFont="1" applyFill="1" applyBorder="1" applyAlignment="1">
      <alignment horizontal="center" vertical="center" wrapText="1"/>
    </xf>
    <xf numFmtId="0" fontId="0" fillId="2" borderId="9" xfId="0" applyFill="1" applyBorder="1" applyAlignment="1">
      <alignment horizontal="center"/>
    </xf>
    <xf numFmtId="0" fontId="2" fillId="2" borderId="1" xfId="0" applyFont="1" applyFill="1" applyBorder="1" applyAlignment="1">
      <alignment horizontal="center"/>
    </xf>
    <xf numFmtId="0" fontId="14" fillId="10" borderId="15" xfId="0" applyFont="1" applyFill="1" applyBorder="1" applyAlignment="1">
      <alignment horizontal="center" vertical="center"/>
    </xf>
    <xf numFmtId="0" fontId="14" fillId="10" borderId="12" xfId="0" applyFont="1" applyFill="1" applyBorder="1" applyAlignment="1">
      <alignment horizontal="center" vertical="center"/>
    </xf>
    <xf numFmtId="9" fontId="0" fillId="0" borderId="0" xfId="3" applyFont="1" applyFill="1"/>
    <xf numFmtId="8" fontId="17" fillId="0" borderId="0" xfId="2" applyNumberFormat="1" applyFont="1" applyFill="1"/>
    <xf numFmtId="9" fontId="0" fillId="3" borderId="5" xfId="3" applyFont="1" applyFill="1" applyBorder="1"/>
    <xf numFmtId="14" fontId="0" fillId="0" borderId="0" xfId="0" applyNumberFormat="1"/>
    <xf numFmtId="14" fontId="0" fillId="0" borderId="1" xfId="0" applyNumberFormat="1" applyBorder="1"/>
    <xf numFmtId="9" fontId="0" fillId="0" borderId="0" xfId="3" applyFont="1" applyAlignment="1">
      <alignment horizontal="right"/>
    </xf>
    <xf numFmtId="44" fontId="0" fillId="3" borderId="4" xfId="2" applyFont="1" applyFill="1" applyBorder="1"/>
    <xf numFmtId="44" fontId="32" fillId="0" borderId="1" xfId="2" applyFont="1" applyBorder="1"/>
    <xf numFmtId="44" fontId="16" fillId="0" borderId="0" xfId="2" applyFont="1" applyFill="1" applyBorder="1" applyAlignment="1"/>
    <xf numFmtId="3" fontId="9" fillId="0" borderId="1" xfId="0" applyNumberFormat="1" applyFont="1" applyBorder="1"/>
    <xf numFmtId="0" fontId="9" fillId="0" borderId="1" xfId="0" applyFont="1" applyBorder="1"/>
    <xf numFmtId="164" fontId="33" fillId="0" borderId="22" xfId="1" applyNumberFormat="1" applyFont="1" applyBorder="1"/>
    <xf numFmtId="164" fontId="34" fillId="0" borderId="1" xfId="1" applyNumberFormat="1" applyFont="1" applyBorder="1" applyAlignment="1">
      <alignment vertical="top"/>
    </xf>
    <xf numFmtId="171" fontId="34" fillId="0" borderId="1" xfId="0" applyNumberFormat="1" applyFont="1" applyBorder="1"/>
    <xf numFmtId="44" fontId="18" fillId="0" borderId="0" xfId="2" applyFont="1"/>
    <xf numFmtId="0" fontId="30" fillId="0" borderId="1" xfId="0" applyFont="1" applyBorder="1"/>
    <xf numFmtId="164" fontId="9" fillId="2" borderId="1" xfId="1" applyNumberFormat="1" applyFont="1" applyFill="1" applyBorder="1"/>
    <xf numFmtId="43" fontId="9" fillId="3" borderId="1" xfId="1" applyFont="1" applyFill="1" applyBorder="1"/>
    <xf numFmtId="164" fontId="9" fillId="0" borderId="1" xfId="1" applyNumberFormat="1" applyFont="1" applyBorder="1"/>
    <xf numFmtId="164" fontId="9" fillId="0" borderId="6" xfId="1" applyNumberFormat="1" applyFont="1" applyBorder="1"/>
    <xf numFmtId="9" fontId="9" fillId="2" borderId="1" xfId="3" applyFont="1" applyFill="1" applyBorder="1"/>
    <xf numFmtId="9" fontId="9" fillId="0" borderId="0" xfId="3" applyFont="1"/>
    <xf numFmtId="10" fontId="0" fillId="0" borderId="0" xfId="3" applyNumberFormat="1" applyFont="1"/>
    <xf numFmtId="0" fontId="2" fillId="2" borderId="0" xfId="0" applyFont="1" applyFill="1" applyBorder="1" applyAlignment="1">
      <alignment horizontal="center" vertical="center" wrapText="1"/>
    </xf>
    <xf numFmtId="0" fontId="0" fillId="0" borderId="0" xfId="0" applyBorder="1" applyAlignment="1">
      <alignment horizontal="center" vertical="center" wrapText="1"/>
    </xf>
    <xf numFmtId="37" fontId="8" fillId="0" borderId="0" xfId="0" applyNumberFormat="1" applyFont="1" applyBorder="1" applyAlignment="1">
      <alignment horizontal="center"/>
    </xf>
    <xf numFmtId="37" fontId="8" fillId="0" borderId="0" xfId="0" applyNumberFormat="1" applyFont="1" applyFill="1" applyBorder="1" applyAlignment="1">
      <alignment horizontal="center"/>
    </xf>
    <xf numFmtId="0" fontId="30" fillId="2" borderId="1" xfId="0" applyFont="1" applyFill="1" applyBorder="1" applyAlignment="1">
      <alignment horizontal="center" vertical="center" wrapText="1"/>
    </xf>
    <xf numFmtId="44" fontId="17" fillId="0" borderId="0" xfId="2" applyFont="1"/>
    <xf numFmtId="166" fontId="9" fillId="3" borderId="1" xfId="1" applyNumberFormat="1" applyFont="1" applyFill="1" applyBorder="1"/>
    <xf numFmtId="3" fontId="17" fillId="0" borderId="1" xfId="1" applyNumberFormat="1" applyFont="1" applyFill="1" applyBorder="1" applyAlignment="1">
      <alignment horizontal="center"/>
    </xf>
    <xf numFmtId="2" fontId="0" fillId="0" borderId="0" xfId="1" applyNumberFormat="1" applyFont="1" applyAlignment="1">
      <alignment horizontal="center"/>
    </xf>
    <xf numFmtId="2" fontId="2" fillId="2" borderId="1" xfId="1" applyNumberFormat="1" applyFont="1" applyFill="1" applyBorder="1" applyAlignment="1">
      <alignment horizontal="center" vertical="center" wrapText="1"/>
    </xf>
    <xf numFmtId="2" fontId="0" fillId="0" borderId="1" xfId="1" applyNumberFormat="1" applyFont="1" applyBorder="1" applyAlignment="1">
      <alignment horizontal="center" vertical="center" wrapText="1"/>
    </xf>
    <xf numFmtId="2" fontId="9" fillId="0" borderId="1" xfId="1" applyNumberFormat="1" applyFont="1" applyFill="1" applyBorder="1" applyAlignment="1">
      <alignment horizontal="center"/>
    </xf>
    <xf numFmtId="2" fontId="8" fillId="0" borderId="0" xfId="1" applyNumberFormat="1" applyFont="1" applyFill="1" applyBorder="1" applyAlignment="1">
      <alignment horizontal="center"/>
    </xf>
    <xf numFmtId="44" fontId="0" fillId="0" borderId="10" xfId="2" applyFont="1" applyBorder="1"/>
    <xf numFmtId="0" fontId="0" fillId="0" borderId="28" xfId="0" applyBorder="1"/>
    <xf numFmtId="0" fontId="0" fillId="0" borderId="0" xfId="0" applyFill="1" applyBorder="1" applyAlignment="1">
      <alignment horizontal="center"/>
    </xf>
    <xf numFmtId="0" fontId="2" fillId="3" borderId="1" xfId="0" applyFont="1" applyFill="1" applyBorder="1"/>
    <xf numFmtId="171" fontId="35" fillId="3" borderId="1" xfId="2" applyNumberFormat="1" applyFont="1" applyFill="1" applyBorder="1"/>
    <xf numFmtId="0" fontId="2" fillId="0" borderId="0" xfId="0" applyFont="1" applyAlignment="1">
      <alignment horizontal="center"/>
    </xf>
    <xf numFmtId="0" fontId="2" fillId="2" borderId="1" xfId="0" applyFont="1" applyFill="1" applyBorder="1" applyAlignment="1">
      <alignment horizontal="center"/>
    </xf>
    <xf numFmtId="0" fontId="0" fillId="0" borderId="9" xfId="0" applyBorder="1" applyAlignment="1">
      <alignment horizontal="center"/>
    </xf>
    <xf numFmtId="0" fontId="0" fillId="0" borderId="6" xfId="0" applyBorder="1" applyAlignment="1">
      <alignment horizontal="center"/>
    </xf>
    <xf numFmtId="0" fontId="0" fillId="0" borderId="27" xfId="0" applyBorder="1" applyAlignment="1">
      <alignment horizontal="center"/>
    </xf>
    <xf numFmtId="0" fontId="0" fillId="0" borderId="26" xfId="0" applyBorder="1" applyAlignment="1">
      <alignment horizontal="center"/>
    </xf>
    <xf numFmtId="0" fontId="2" fillId="2" borderId="8"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14" fillId="10" borderId="11" xfId="0" applyFont="1" applyFill="1" applyBorder="1" applyAlignment="1">
      <alignment horizontal="center" vertical="center" wrapText="1"/>
    </xf>
    <xf numFmtId="0" fontId="14" fillId="10" borderId="12" xfId="0" applyFont="1" applyFill="1" applyBorder="1" applyAlignment="1">
      <alignment horizontal="center" vertical="center" wrapText="1"/>
    </xf>
    <xf numFmtId="0" fontId="14" fillId="10" borderId="13" xfId="0" applyFont="1" applyFill="1" applyBorder="1" applyAlignment="1">
      <alignment horizontal="center" vertical="center" wrapText="1"/>
    </xf>
    <xf numFmtId="0" fontId="14" fillId="10" borderId="14" xfId="0" applyFont="1" applyFill="1" applyBorder="1" applyAlignment="1">
      <alignment horizontal="center" vertical="center" wrapText="1"/>
    </xf>
    <xf numFmtId="0" fontId="14" fillId="10" borderId="11" xfId="0" applyFont="1" applyFill="1" applyBorder="1" applyAlignment="1">
      <alignment horizontal="center" vertical="center"/>
    </xf>
    <xf numFmtId="0" fontId="14" fillId="10" borderId="15" xfId="0" applyFont="1" applyFill="1" applyBorder="1" applyAlignment="1">
      <alignment horizontal="center" vertical="center"/>
    </xf>
    <xf numFmtId="0" fontId="14" fillId="10" borderId="15" xfId="0" applyFont="1" applyFill="1" applyBorder="1" applyAlignment="1">
      <alignment horizontal="center" vertical="center" wrapText="1"/>
    </xf>
    <xf numFmtId="0" fontId="14" fillId="10" borderId="12" xfId="0" applyFont="1" applyFill="1" applyBorder="1" applyAlignment="1">
      <alignment horizontal="center"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1" defaultTableStyle="TableStyleMedium2" defaultPivotStyle="PivotStyleLight16">
    <tableStyle name="Invisible" pivot="0" table="0" count="0" xr9:uid="{1FAEDFDD-50B1-4394-A1E1-8BCE99C0CF6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Changing Load Forecasts (MWH of Retail</a:t>
            </a:r>
            <a:r>
              <a:rPr lang="en-US" baseline="0"/>
              <a:t> Sales)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13786603927616"/>
          <c:y val="0.10928918064855918"/>
          <c:w val="0.86939871589642681"/>
          <c:h val="0.68045596399001618"/>
        </c:manualLayout>
      </c:layout>
      <c:lineChart>
        <c:grouping val="standard"/>
        <c:varyColors val="0"/>
        <c:ser>
          <c:idx val="0"/>
          <c:order val="0"/>
          <c:tx>
            <c:strRef>
              <c:f>'Collections and ACP'!$B$180</c:f>
              <c:strCache>
                <c:ptCount val="1"/>
                <c:pt idx="0">
                  <c:v>Ameren (Updated)</c:v>
                </c:pt>
              </c:strCache>
            </c:strRef>
          </c:tx>
          <c:spPr>
            <a:ln w="28575" cap="rnd">
              <a:solidFill>
                <a:schemeClr val="accent1"/>
              </a:solidFill>
              <a:round/>
            </a:ln>
            <a:effectLst/>
          </c:spPr>
          <c:marker>
            <c:symbol val="none"/>
          </c:marker>
          <c:cat>
            <c:strRef>
              <c:f>'Collections and ACP'!$A$181:$A$199</c:f>
              <c:strCache>
                <c:ptCount val="19"/>
                <c:pt idx="0">
                  <c:v>2024-2025</c:v>
                </c:pt>
                <c:pt idx="1">
                  <c:v>2025-2026</c:v>
                </c:pt>
                <c:pt idx="2">
                  <c:v>2026-2027</c:v>
                </c:pt>
                <c:pt idx="3">
                  <c:v>2027-2028</c:v>
                </c:pt>
                <c:pt idx="4">
                  <c:v>2028-2029</c:v>
                </c:pt>
                <c:pt idx="5">
                  <c:v>2029-2030</c:v>
                </c:pt>
                <c:pt idx="6">
                  <c:v>2030-2031</c:v>
                </c:pt>
                <c:pt idx="7">
                  <c:v>2031-2032</c:v>
                </c:pt>
                <c:pt idx="8">
                  <c:v>2032-2033</c:v>
                </c:pt>
                <c:pt idx="9">
                  <c:v>2033-2034</c:v>
                </c:pt>
                <c:pt idx="10">
                  <c:v>2034-2035</c:v>
                </c:pt>
                <c:pt idx="11">
                  <c:v>2035-2036</c:v>
                </c:pt>
                <c:pt idx="12">
                  <c:v>2036-2037</c:v>
                </c:pt>
                <c:pt idx="13">
                  <c:v>2037-2038</c:v>
                </c:pt>
                <c:pt idx="14">
                  <c:v>2038-2039</c:v>
                </c:pt>
                <c:pt idx="15">
                  <c:v>2039-2040</c:v>
                </c:pt>
                <c:pt idx="16">
                  <c:v>2040-2041</c:v>
                </c:pt>
                <c:pt idx="17">
                  <c:v>2041-2042</c:v>
                </c:pt>
                <c:pt idx="18">
                  <c:v>2042-2043</c:v>
                </c:pt>
              </c:strCache>
            </c:strRef>
          </c:cat>
          <c:val>
            <c:numRef>
              <c:f>'Collections and ACP'!$B$181:$B$199</c:f>
              <c:numCache>
                <c:formatCode>#,##0_);\(#,##0\)</c:formatCode>
                <c:ptCount val="19"/>
                <c:pt idx="0">
                  <c:v>33963264.598822832</c:v>
                </c:pt>
                <c:pt idx="1">
                  <c:v>34642529.890799291</c:v>
                </c:pt>
                <c:pt idx="2">
                  <c:v>33122720.436321735</c:v>
                </c:pt>
                <c:pt idx="3">
                  <c:v>32848808.6508765</c:v>
                </c:pt>
                <c:pt idx="4">
                  <c:v>32589426.534430474</c:v>
                </c:pt>
                <c:pt idx="5">
                  <c:v>32318315.002490982</c:v>
                </c:pt>
                <c:pt idx="6">
                  <c:v>32024777.360337004</c:v>
                </c:pt>
                <c:pt idx="7">
                  <c:v>32024777.360337004</c:v>
                </c:pt>
                <c:pt idx="8">
                  <c:v>32024777.360337004</c:v>
                </c:pt>
                <c:pt idx="9">
                  <c:v>32024777.360337004</c:v>
                </c:pt>
                <c:pt idx="10">
                  <c:v>32024777.360337004</c:v>
                </c:pt>
                <c:pt idx="11">
                  <c:v>32024777.360337004</c:v>
                </c:pt>
                <c:pt idx="12">
                  <c:v>32024777.360337004</c:v>
                </c:pt>
                <c:pt idx="13">
                  <c:v>32024777.360337004</c:v>
                </c:pt>
                <c:pt idx="14">
                  <c:v>32024777.360337004</c:v>
                </c:pt>
                <c:pt idx="15">
                  <c:v>32024777.360337004</c:v>
                </c:pt>
                <c:pt idx="16">
                  <c:v>32024777.360337004</c:v>
                </c:pt>
                <c:pt idx="17">
                  <c:v>32024777.360337004</c:v>
                </c:pt>
                <c:pt idx="18">
                  <c:v>32024777.360337004</c:v>
                </c:pt>
              </c:numCache>
            </c:numRef>
          </c:val>
          <c:smooth val="0"/>
          <c:extLst>
            <c:ext xmlns:c16="http://schemas.microsoft.com/office/drawing/2014/chart" uri="{C3380CC4-5D6E-409C-BE32-E72D297353CC}">
              <c16:uniqueId val="{00000000-0DCD-4000-9427-AD66BCD6D53C}"/>
            </c:ext>
          </c:extLst>
        </c:ser>
        <c:ser>
          <c:idx val="1"/>
          <c:order val="1"/>
          <c:tx>
            <c:strRef>
              <c:f>'Collections and ACP'!$C$180</c:f>
              <c:strCache>
                <c:ptCount val="1"/>
                <c:pt idx="0">
                  <c:v>ComEd  (Updated)</c:v>
                </c:pt>
              </c:strCache>
            </c:strRef>
          </c:tx>
          <c:spPr>
            <a:ln w="28575" cap="rnd">
              <a:solidFill>
                <a:schemeClr val="accent2"/>
              </a:solidFill>
              <a:round/>
            </a:ln>
            <a:effectLst/>
          </c:spPr>
          <c:marker>
            <c:symbol val="none"/>
          </c:marker>
          <c:cat>
            <c:strRef>
              <c:f>'Collections and ACP'!$A$181:$A$199</c:f>
              <c:strCache>
                <c:ptCount val="19"/>
                <c:pt idx="0">
                  <c:v>2024-2025</c:v>
                </c:pt>
                <c:pt idx="1">
                  <c:v>2025-2026</c:v>
                </c:pt>
                <c:pt idx="2">
                  <c:v>2026-2027</c:v>
                </c:pt>
                <c:pt idx="3">
                  <c:v>2027-2028</c:v>
                </c:pt>
                <c:pt idx="4">
                  <c:v>2028-2029</c:v>
                </c:pt>
                <c:pt idx="5">
                  <c:v>2029-2030</c:v>
                </c:pt>
                <c:pt idx="6">
                  <c:v>2030-2031</c:v>
                </c:pt>
                <c:pt idx="7">
                  <c:v>2031-2032</c:v>
                </c:pt>
                <c:pt idx="8">
                  <c:v>2032-2033</c:v>
                </c:pt>
                <c:pt idx="9">
                  <c:v>2033-2034</c:v>
                </c:pt>
                <c:pt idx="10">
                  <c:v>2034-2035</c:v>
                </c:pt>
                <c:pt idx="11">
                  <c:v>2035-2036</c:v>
                </c:pt>
                <c:pt idx="12">
                  <c:v>2036-2037</c:v>
                </c:pt>
                <c:pt idx="13">
                  <c:v>2037-2038</c:v>
                </c:pt>
                <c:pt idx="14">
                  <c:v>2038-2039</c:v>
                </c:pt>
                <c:pt idx="15">
                  <c:v>2039-2040</c:v>
                </c:pt>
                <c:pt idx="16">
                  <c:v>2040-2041</c:v>
                </c:pt>
                <c:pt idx="17">
                  <c:v>2041-2042</c:v>
                </c:pt>
                <c:pt idx="18">
                  <c:v>2042-2043</c:v>
                </c:pt>
              </c:strCache>
            </c:strRef>
          </c:cat>
          <c:val>
            <c:numRef>
              <c:f>'Collections and ACP'!$C$181:$C$199</c:f>
              <c:numCache>
                <c:formatCode>#,##0_);\(#,##0\)</c:formatCode>
                <c:ptCount val="19"/>
                <c:pt idx="0">
                  <c:v>82956872.015999988</c:v>
                </c:pt>
                <c:pt idx="1">
                  <c:v>81934522.939999998</c:v>
                </c:pt>
                <c:pt idx="2">
                  <c:v>82990094.817000002</c:v>
                </c:pt>
                <c:pt idx="3">
                  <c:v>84639999.737999991</c:v>
                </c:pt>
                <c:pt idx="4">
                  <c:v>87104387.304999992</c:v>
                </c:pt>
                <c:pt idx="5">
                  <c:v>90557933.256999999</c:v>
                </c:pt>
                <c:pt idx="6">
                  <c:v>95218325.133999988</c:v>
                </c:pt>
                <c:pt idx="7">
                  <c:v>100209045.432</c:v>
                </c:pt>
                <c:pt idx="8">
                  <c:v>105330820.897</c:v>
                </c:pt>
                <c:pt idx="9">
                  <c:v>109901381.67999999</c:v>
                </c:pt>
                <c:pt idx="10">
                  <c:v>114138731.89899999</c:v>
                </c:pt>
                <c:pt idx="11">
                  <c:v>117432750.942</c:v>
                </c:pt>
                <c:pt idx="12">
                  <c:v>119843955.47299999</c:v>
                </c:pt>
                <c:pt idx="13">
                  <c:v>120869648.722</c:v>
                </c:pt>
                <c:pt idx="14">
                  <c:v>121849339.68099999</c:v>
                </c:pt>
                <c:pt idx="15">
                  <c:v>122479240.35599999</c:v>
                </c:pt>
                <c:pt idx="16">
                  <c:v>123267011.28700002</c:v>
                </c:pt>
                <c:pt idx="17">
                  <c:v>123870000.47200002</c:v>
                </c:pt>
                <c:pt idx="18">
                  <c:v>124487216.881</c:v>
                </c:pt>
              </c:numCache>
            </c:numRef>
          </c:val>
          <c:smooth val="0"/>
          <c:extLst>
            <c:ext xmlns:c16="http://schemas.microsoft.com/office/drawing/2014/chart" uri="{C3380CC4-5D6E-409C-BE32-E72D297353CC}">
              <c16:uniqueId val="{00000001-0DCD-4000-9427-AD66BCD6D53C}"/>
            </c:ext>
          </c:extLst>
        </c:ser>
        <c:ser>
          <c:idx val="2"/>
          <c:order val="2"/>
          <c:tx>
            <c:strRef>
              <c:f>'Collections and ACP'!$D$180</c:f>
              <c:strCache>
                <c:ptCount val="1"/>
                <c:pt idx="0">
                  <c:v>MidAmerican (Updated)</c:v>
                </c:pt>
              </c:strCache>
            </c:strRef>
          </c:tx>
          <c:spPr>
            <a:ln w="28575" cap="rnd">
              <a:solidFill>
                <a:schemeClr val="accent3"/>
              </a:solidFill>
              <a:round/>
            </a:ln>
            <a:effectLst/>
          </c:spPr>
          <c:marker>
            <c:symbol val="none"/>
          </c:marker>
          <c:cat>
            <c:strRef>
              <c:f>'Collections and ACP'!$A$181:$A$199</c:f>
              <c:strCache>
                <c:ptCount val="19"/>
                <c:pt idx="0">
                  <c:v>2024-2025</c:v>
                </c:pt>
                <c:pt idx="1">
                  <c:v>2025-2026</c:v>
                </c:pt>
                <c:pt idx="2">
                  <c:v>2026-2027</c:v>
                </c:pt>
                <c:pt idx="3">
                  <c:v>2027-2028</c:v>
                </c:pt>
                <c:pt idx="4">
                  <c:v>2028-2029</c:v>
                </c:pt>
                <c:pt idx="5">
                  <c:v>2029-2030</c:v>
                </c:pt>
                <c:pt idx="6">
                  <c:v>2030-2031</c:v>
                </c:pt>
                <c:pt idx="7">
                  <c:v>2031-2032</c:v>
                </c:pt>
                <c:pt idx="8">
                  <c:v>2032-2033</c:v>
                </c:pt>
                <c:pt idx="9">
                  <c:v>2033-2034</c:v>
                </c:pt>
                <c:pt idx="10">
                  <c:v>2034-2035</c:v>
                </c:pt>
                <c:pt idx="11">
                  <c:v>2035-2036</c:v>
                </c:pt>
                <c:pt idx="12">
                  <c:v>2036-2037</c:v>
                </c:pt>
                <c:pt idx="13">
                  <c:v>2037-2038</c:v>
                </c:pt>
                <c:pt idx="14">
                  <c:v>2038-2039</c:v>
                </c:pt>
                <c:pt idx="15">
                  <c:v>2039-2040</c:v>
                </c:pt>
                <c:pt idx="16">
                  <c:v>2040-2041</c:v>
                </c:pt>
                <c:pt idx="17">
                  <c:v>2041-2042</c:v>
                </c:pt>
                <c:pt idx="18">
                  <c:v>2042-2043</c:v>
                </c:pt>
              </c:strCache>
            </c:strRef>
          </c:cat>
          <c:val>
            <c:numRef>
              <c:f>'Collections and ACP'!$D$181:$D$199</c:f>
              <c:numCache>
                <c:formatCode>#,##0_);\(#,##0\)</c:formatCode>
                <c:ptCount val="19"/>
                <c:pt idx="0">
                  <c:v>528397.803846856</c:v>
                </c:pt>
                <c:pt idx="1">
                  <c:v>499894.16030622908</c:v>
                </c:pt>
                <c:pt idx="2">
                  <c:v>485208.90675220848</c:v>
                </c:pt>
                <c:pt idx="3">
                  <c:v>462708.58483960613</c:v>
                </c:pt>
                <c:pt idx="4">
                  <c:v>466658.11341415375</c:v>
                </c:pt>
                <c:pt idx="5">
                  <c:v>464087.50151680963</c:v>
                </c:pt>
                <c:pt idx="6">
                  <c:v>467456.39903768961</c:v>
                </c:pt>
                <c:pt idx="7">
                  <c:v>469096.03280680522</c:v>
                </c:pt>
                <c:pt idx="8">
                  <c:v>472884.49092096923</c:v>
                </c:pt>
                <c:pt idx="9">
                  <c:v>470051.21885770548</c:v>
                </c:pt>
                <c:pt idx="10">
                  <c:v>473203.45567650668</c:v>
                </c:pt>
                <c:pt idx="11">
                  <c:v>474716.25110312662</c:v>
                </c:pt>
                <c:pt idx="12">
                  <c:v>478406.84419202036</c:v>
                </c:pt>
                <c:pt idx="13">
                  <c:v>475365.3100666278</c:v>
                </c:pt>
                <c:pt idx="14">
                  <c:v>478535.33434150397</c:v>
                </c:pt>
                <c:pt idx="15">
                  <c:v>480009.34559599229</c:v>
                </c:pt>
                <c:pt idx="16">
                  <c:v>483808.16994237475</c:v>
                </c:pt>
                <c:pt idx="17">
                  <c:v>480635.46500634268</c:v>
                </c:pt>
                <c:pt idx="18">
                  <c:v>483761.28933064651</c:v>
                </c:pt>
              </c:numCache>
            </c:numRef>
          </c:val>
          <c:smooth val="0"/>
          <c:extLst>
            <c:ext xmlns:c16="http://schemas.microsoft.com/office/drawing/2014/chart" uri="{C3380CC4-5D6E-409C-BE32-E72D297353CC}">
              <c16:uniqueId val="{00000002-0DCD-4000-9427-AD66BCD6D53C}"/>
            </c:ext>
          </c:extLst>
        </c:ser>
        <c:ser>
          <c:idx val="3"/>
          <c:order val="3"/>
          <c:tx>
            <c:strRef>
              <c:f>'Collections and ACP'!$E$180</c:f>
              <c:strCache>
                <c:ptCount val="1"/>
                <c:pt idx="0">
                  <c:v>Ameren (2024 Plan)</c:v>
                </c:pt>
              </c:strCache>
            </c:strRef>
          </c:tx>
          <c:spPr>
            <a:ln w="28575" cap="rnd">
              <a:solidFill>
                <a:schemeClr val="accent1"/>
              </a:solidFill>
              <a:prstDash val="dash"/>
              <a:round/>
            </a:ln>
            <a:effectLst/>
          </c:spPr>
          <c:marker>
            <c:symbol val="none"/>
          </c:marker>
          <c:cat>
            <c:strRef>
              <c:f>'Collections and ACP'!$A$181:$A$199</c:f>
              <c:strCache>
                <c:ptCount val="19"/>
                <c:pt idx="0">
                  <c:v>2024-2025</c:v>
                </c:pt>
                <c:pt idx="1">
                  <c:v>2025-2026</c:v>
                </c:pt>
                <c:pt idx="2">
                  <c:v>2026-2027</c:v>
                </c:pt>
                <c:pt idx="3">
                  <c:v>2027-2028</c:v>
                </c:pt>
                <c:pt idx="4">
                  <c:v>2028-2029</c:v>
                </c:pt>
                <c:pt idx="5">
                  <c:v>2029-2030</c:v>
                </c:pt>
                <c:pt idx="6">
                  <c:v>2030-2031</c:v>
                </c:pt>
                <c:pt idx="7">
                  <c:v>2031-2032</c:v>
                </c:pt>
                <c:pt idx="8">
                  <c:v>2032-2033</c:v>
                </c:pt>
                <c:pt idx="9">
                  <c:v>2033-2034</c:v>
                </c:pt>
                <c:pt idx="10">
                  <c:v>2034-2035</c:v>
                </c:pt>
                <c:pt idx="11">
                  <c:v>2035-2036</c:v>
                </c:pt>
                <c:pt idx="12">
                  <c:v>2036-2037</c:v>
                </c:pt>
                <c:pt idx="13">
                  <c:v>2037-2038</c:v>
                </c:pt>
                <c:pt idx="14">
                  <c:v>2038-2039</c:v>
                </c:pt>
                <c:pt idx="15">
                  <c:v>2039-2040</c:v>
                </c:pt>
                <c:pt idx="16">
                  <c:v>2040-2041</c:v>
                </c:pt>
                <c:pt idx="17">
                  <c:v>2041-2042</c:v>
                </c:pt>
                <c:pt idx="18">
                  <c:v>2042-2043</c:v>
                </c:pt>
              </c:strCache>
            </c:strRef>
          </c:cat>
          <c:val>
            <c:numRef>
              <c:f>'Collections and ACP'!$E$181:$E$199</c:f>
              <c:numCache>
                <c:formatCode>#,##0_);\(#,##0\)</c:formatCode>
                <c:ptCount val="19"/>
                <c:pt idx="0">
                  <c:v>33963264.598822832</c:v>
                </c:pt>
                <c:pt idx="1">
                  <c:v>34642529.890799291</c:v>
                </c:pt>
                <c:pt idx="2">
                  <c:v>33164501.805676758</c:v>
                </c:pt>
                <c:pt idx="3">
                  <c:v>32936208.175366048</c:v>
                </c:pt>
                <c:pt idx="4">
                  <c:v>32936208.175366048</c:v>
                </c:pt>
                <c:pt idx="5">
                  <c:v>32936208.175366048</c:v>
                </c:pt>
                <c:pt idx="6">
                  <c:v>32936208.175366048</c:v>
                </c:pt>
                <c:pt idx="7">
                  <c:v>32936208.175366048</c:v>
                </c:pt>
                <c:pt idx="8">
                  <c:v>32936208.175366048</c:v>
                </c:pt>
                <c:pt idx="9">
                  <c:v>32936208.175366048</c:v>
                </c:pt>
                <c:pt idx="10">
                  <c:v>32936208.175366048</c:v>
                </c:pt>
                <c:pt idx="11">
                  <c:v>32936208.175366048</c:v>
                </c:pt>
                <c:pt idx="12">
                  <c:v>32936208.175366048</c:v>
                </c:pt>
                <c:pt idx="13">
                  <c:v>32936208.175366048</c:v>
                </c:pt>
                <c:pt idx="14">
                  <c:v>32936208.175366048</c:v>
                </c:pt>
                <c:pt idx="15">
                  <c:v>32936208.175366048</c:v>
                </c:pt>
                <c:pt idx="16">
                  <c:v>32936208.175366048</c:v>
                </c:pt>
                <c:pt idx="17">
                  <c:v>32936208.175366048</c:v>
                </c:pt>
                <c:pt idx="18">
                  <c:v>32936208.175366048</c:v>
                </c:pt>
              </c:numCache>
            </c:numRef>
          </c:val>
          <c:smooth val="0"/>
          <c:extLst>
            <c:ext xmlns:c16="http://schemas.microsoft.com/office/drawing/2014/chart" uri="{C3380CC4-5D6E-409C-BE32-E72D297353CC}">
              <c16:uniqueId val="{00000003-0DCD-4000-9427-AD66BCD6D53C}"/>
            </c:ext>
          </c:extLst>
        </c:ser>
        <c:ser>
          <c:idx val="4"/>
          <c:order val="4"/>
          <c:tx>
            <c:strRef>
              <c:f>'Collections and ACP'!$F$180</c:f>
              <c:strCache>
                <c:ptCount val="1"/>
                <c:pt idx="0">
                  <c:v>ComEd (2024 Plan)</c:v>
                </c:pt>
              </c:strCache>
            </c:strRef>
          </c:tx>
          <c:spPr>
            <a:ln w="28575" cap="rnd">
              <a:solidFill>
                <a:schemeClr val="accent2"/>
              </a:solidFill>
              <a:prstDash val="dash"/>
              <a:round/>
            </a:ln>
            <a:effectLst/>
          </c:spPr>
          <c:marker>
            <c:symbol val="none"/>
          </c:marker>
          <c:cat>
            <c:strRef>
              <c:f>'Collections and ACP'!$A$181:$A$199</c:f>
              <c:strCache>
                <c:ptCount val="19"/>
                <c:pt idx="0">
                  <c:v>2024-2025</c:v>
                </c:pt>
                <c:pt idx="1">
                  <c:v>2025-2026</c:v>
                </c:pt>
                <c:pt idx="2">
                  <c:v>2026-2027</c:v>
                </c:pt>
                <c:pt idx="3">
                  <c:v>2027-2028</c:v>
                </c:pt>
                <c:pt idx="4">
                  <c:v>2028-2029</c:v>
                </c:pt>
                <c:pt idx="5">
                  <c:v>2029-2030</c:v>
                </c:pt>
                <c:pt idx="6">
                  <c:v>2030-2031</c:v>
                </c:pt>
                <c:pt idx="7">
                  <c:v>2031-2032</c:v>
                </c:pt>
                <c:pt idx="8">
                  <c:v>2032-2033</c:v>
                </c:pt>
                <c:pt idx="9">
                  <c:v>2033-2034</c:v>
                </c:pt>
                <c:pt idx="10">
                  <c:v>2034-2035</c:v>
                </c:pt>
                <c:pt idx="11">
                  <c:v>2035-2036</c:v>
                </c:pt>
                <c:pt idx="12">
                  <c:v>2036-2037</c:v>
                </c:pt>
                <c:pt idx="13">
                  <c:v>2037-2038</c:v>
                </c:pt>
                <c:pt idx="14">
                  <c:v>2038-2039</c:v>
                </c:pt>
                <c:pt idx="15">
                  <c:v>2039-2040</c:v>
                </c:pt>
                <c:pt idx="16">
                  <c:v>2040-2041</c:v>
                </c:pt>
                <c:pt idx="17">
                  <c:v>2041-2042</c:v>
                </c:pt>
                <c:pt idx="18">
                  <c:v>2042-2043</c:v>
                </c:pt>
              </c:strCache>
            </c:strRef>
          </c:cat>
          <c:val>
            <c:numRef>
              <c:f>'Collections and ACP'!$F$181:$F$199</c:f>
              <c:numCache>
                <c:formatCode>#,##0_);\(#,##0\)</c:formatCode>
                <c:ptCount val="19"/>
                <c:pt idx="0">
                  <c:v>82956872.015999988</c:v>
                </c:pt>
                <c:pt idx="1">
                  <c:v>81934522.939999998</c:v>
                </c:pt>
                <c:pt idx="2">
                  <c:v>81560528.789000005</c:v>
                </c:pt>
                <c:pt idx="3">
                  <c:v>81592930.692000002</c:v>
                </c:pt>
                <c:pt idx="4">
                  <c:v>81884475.179999992</c:v>
                </c:pt>
                <c:pt idx="5">
                  <c:v>81977064.710000008</c:v>
                </c:pt>
                <c:pt idx="6">
                  <c:v>82659805.902999997</c:v>
                </c:pt>
                <c:pt idx="7">
                  <c:v>83303404.917999998</c:v>
                </c:pt>
                <c:pt idx="8">
                  <c:v>84058939.645000011</c:v>
                </c:pt>
                <c:pt idx="9">
                  <c:v>84423662.777999997</c:v>
                </c:pt>
                <c:pt idx="10">
                  <c:v>85015848.419</c:v>
                </c:pt>
                <c:pt idx="11">
                  <c:v>85450292.625</c:v>
                </c:pt>
                <c:pt idx="12">
                  <c:v>85967286.341000006</c:v>
                </c:pt>
                <c:pt idx="13">
                  <c:v>86216091.731999993</c:v>
                </c:pt>
                <c:pt idx="14">
                  <c:v>86766903.104000002</c:v>
                </c:pt>
                <c:pt idx="15">
                  <c:v>87214467.640000001</c:v>
                </c:pt>
                <c:pt idx="16">
                  <c:v>87748951.427000001</c:v>
                </c:pt>
                <c:pt idx="17">
                  <c:v>88116801.755999997</c:v>
                </c:pt>
                <c:pt idx="18">
                  <c:v>88491502.603</c:v>
                </c:pt>
              </c:numCache>
            </c:numRef>
          </c:val>
          <c:smooth val="0"/>
          <c:extLst>
            <c:ext xmlns:c16="http://schemas.microsoft.com/office/drawing/2014/chart" uri="{C3380CC4-5D6E-409C-BE32-E72D297353CC}">
              <c16:uniqueId val="{00000004-0DCD-4000-9427-AD66BCD6D53C}"/>
            </c:ext>
          </c:extLst>
        </c:ser>
        <c:ser>
          <c:idx val="5"/>
          <c:order val="5"/>
          <c:tx>
            <c:strRef>
              <c:f>'Collections and ACP'!$G$180</c:f>
              <c:strCache>
                <c:ptCount val="1"/>
                <c:pt idx="0">
                  <c:v>MidAmerican (2024 Plan)</c:v>
                </c:pt>
              </c:strCache>
            </c:strRef>
          </c:tx>
          <c:spPr>
            <a:ln w="28575" cap="rnd">
              <a:solidFill>
                <a:schemeClr val="accent3"/>
              </a:solidFill>
              <a:prstDash val="dash"/>
              <a:round/>
            </a:ln>
            <a:effectLst/>
          </c:spPr>
          <c:marker>
            <c:symbol val="none"/>
          </c:marker>
          <c:cat>
            <c:strRef>
              <c:f>'Collections and ACP'!$A$181:$A$199</c:f>
              <c:strCache>
                <c:ptCount val="19"/>
                <c:pt idx="0">
                  <c:v>2024-2025</c:v>
                </c:pt>
                <c:pt idx="1">
                  <c:v>2025-2026</c:v>
                </c:pt>
                <c:pt idx="2">
                  <c:v>2026-2027</c:v>
                </c:pt>
                <c:pt idx="3">
                  <c:v>2027-2028</c:v>
                </c:pt>
                <c:pt idx="4">
                  <c:v>2028-2029</c:v>
                </c:pt>
                <c:pt idx="5">
                  <c:v>2029-2030</c:v>
                </c:pt>
                <c:pt idx="6">
                  <c:v>2030-2031</c:v>
                </c:pt>
                <c:pt idx="7">
                  <c:v>2031-2032</c:v>
                </c:pt>
                <c:pt idx="8">
                  <c:v>2032-2033</c:v>
                </c:pt>
                <c:pt idx="9">
                  <c:v>2033-2034</c:v>
                </c:pt>
                <c:pt idx="10">
                  <c:v>2034-2035</c:v>
                </c:pt>
                <c:pt idx="11">
                  <c:v>2035-2036</c:v>
                </c:pt>
                <c:pt idx="12">
                  <c:v>2036-2037</c:v>
                </c:pt>
                <c:pt idx="13">
                  <c:v>2037-2038</c:v>
                </c:pt>
                <c:pt idx="14">
                  <c:v>2038-2039</c:v>
                </c:pt>
                <c:pt idx="15">
                  <c:v>2039-2040</c:v>
                </c:pt>
                <c:pt idx="16">
                  <c:v>2040-2041</c:v>
                </c:pt>
                <c:pt idx="17">
                  <c:v>2041-2042</c:v>
                </c:pt>
                <c:pt idx="18">
                  <c:v>2042-2043</c:v>
                </c:pt>
              </c:strCache>
            </c:strRef>
          </c:cat>
          <c:val>
            <c:numRef>
              <c:f>'Collections and ACP'!$G$181:$G$199</c:f>
              <c:numCache>
                <c:formatCode>#,##0_);\(#,##0\)</c:formatCode>
                <c:ptCount val="19"/>
                <c:pt idx="0">
                  <c:v>528397.803846856</c:v>
                </c:pt>
                <c:pt idx="1">
                  <c:v>528059.65392531082</c:v>
                </c:pt>
                <c:pt idx="2">
                  <c:v>529850.25363910827</c:v>
                </c:pt>
                <c:pt idx="3">
                  <c:v>530429.20436652494</c:v>
                </c:pt>
                <c:pt idx="4">
                  <c:v>531365.40813121572</c:v>
                </c:pt>
                <c:pt idx="5">
                  <c:v>531528.48370576557</c:v>
                </c:pt>
                <c:pt idx="6">
                  <c:v>532425.81888603442</c:v>
                </c:pt>
                <c:pt idx="7">
                  <c:v>533005.33967255801</c:v>
                </c:pt>
                <c:pt idx="8">
                  <c:v>533754.79569958372</c:v>
                </c:pt>
                <c:pt idx="9">
                  <c:v>533927.73792272958</c:v>
                </c:pt>
                <c:pt idx="10">
                  <c:v>534300.06030736852</c:v>
                </c:pt>
                <c:pt idx="11">
                  <c:v>534645.23663093371</c:v>
                </c:pt>
                <c:pt idx="12">
                  <c:v>534964.2469321622</c:v>
                </c:pt>
                <c:pt idx="13">
                  <c:v>535258.6012692037</c:v>
                </c:pt>
                <c:pt idx="14">
                  <c:v>535529.01463481109</c:v>
                </c:pt>
                <c:pt idx="15">
                  <c:v>535776.48357490334</c:v>
                </c:pt>
                <c:pt idx="16">
                  <c:v>536002.06114858564</c:v>
                </c:pt>
                <c:pt idx="17">
                  <c:v>536206.763677001</c:v>
                </c:pt>
                <c:pt idx="18">
                  <c:v>536390.78112780477</c:v>
                </c:pt>
              </c:numCache>
            </c:numRef>
          </c:val>
          <c:smooth val="0"/>
          <c:extLst>
            <c:ext xmlns:c16="http://schemas.microsoft.com/office/drawing/2014/chart" uri="{C3380CC4-5D6E-409C-BE32-E72D297353CC}">
              <c16:uniqueId val="{00000005-0DCD-4000-9427-AD66BCD6D53C}"/>
            </c:ext>
          </c:extLst>
        </c:ser>
        <c:dLbls>
          <c:showLegendKey val="0"/>
          <c:showVal val="0"/>
          <c:showCatName val="0"/>
          <c:showSerName val="0"/>
          <c:showPercent val="0"/>
          <c:showBubbleSize val="0"/>
        </c:dLbls>
        <c:smooth val="0"/>
        <c:axId val="2141127000"/>
        <c:axId val="2141125560"/>
      </c:lineChart>
      <c:catAx>
        <c:axId val="2141127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1125560"/>
        <c:crosses val="autoZero"/>
        <c:auto val="1"/>
        <c:lblAlgn val="ctr"/>
        <c:lblOffset val="100"/>
        <c:noMultiLvlLbl val="0"/>
      </c:catAx>
      <c:valAx>
        <c:axId val="2141125560"/>
        <c:scaling>
          <c:orientation val="minMax"/>
          <c:max val="125000000"/>
          <c:min val="0"/>
        </c:scaling>
        <c:delete val="0"/>
        <c:axPos val="l"/>
        <c:majorGridlines>
          <c:spPr>
            <a:ln w="9525" cap="flat" cmpd="sng" algn="ctr">
              <a:solidFill>
                <a:schemeClr val="tx1">
                  <a:lumMod val="15000"/>
                  <a:lumOff val="85000"/>
                </a:schemeClr>
              </a:solidFill>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1127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Forward</a:t>
            </a:r>
            <a:r>
              <a:rPr lang="en-US" baseline="0"/>
              <a:t> Price Curves by Date of Calculation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'Forward Price Curves'!$A$2</c:f>
              <c:strCache>
                <c:ptCount val="1"/>
                <c:pt idx="0">
                  <c:v>12/31/2024</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'Forward Price Curves'!$B$1:$X$1</c15:sqref>
                  </c15:fullRef>
                </c:ext>
              </c:extLst>
              <c:f>'Forward Price Curves'!$F$1:$X$1</c:f>
              <c:numCache>
                <c:formatCode>General</c:formatCode>
                <c:ptCount val="19"/>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numCache>
            </c:numRef>
          </c:cat>
          <c:val>
            <c:numRef>
              <c:extLst>
                <c:ext xmlns:c15="http://schemas.microsoft.com/office/drawing/2012/chart" uri="{02D57815-91ED-43cb-92C2-25804820EDAC}">
                  <c15:fullRef>
                    <c15:sqref>'Forward Price Curves'!$B$2:$X$2</c15:sqref>
                  </c15:fullRef>
                </c:ext>
              </c:extLst>
              <c:f>'Forward Price Curves'!$F$2:$X$2</c:f>
              <c:numCache>
                <c:formatCode>_("$"* #,##0.00_);_("$"* \(#,##0.00\);_("$"* "-"??_);_(@_)</c:formatCode>
                <c:ptCount val="19"/>
                <c:pt idx="0">
                  <c:v>38.285482503607497</c:v>
                </c:pt>
                <c:pt idx="1">
                  <c:v>41.572490079365082</c:v>
                </c:pt>
                <c:pt idx="2">
                  <c:v>44.785952380952381</c:v>
                </c:pt>
                <c:pt idx="3">
                  <c:v>46.718323412698425</c:v>
                </c:pt>
                <c:pt idx="4">
                  <c:v>46.948184523809516</c:v>
                </c:pt>
                <c:pt idx="5">
                  <c:v>46.213859126984133</c:v>
                </c:pt>
                <c:pt idx="6">
                  <c:v>46.146041666666669</c:v>
                </c:pt>
                <c:pt idx="7">
                  <c:v>45.298343253968248</c:v>
                </c:pt>
                <c:pt idx="8">
                  <c:v>45.177380952380943</c:v>
                </c:pt>
                <c:pt idx="9">
                  <c:v>46.716636904761899</c:v>
                </c:pt>
                <c:pt idx="10">
                  <c:v>48.23985119047618</c:v>
                </c:pt>
                <c:pt idx="11">
                  <c:v>45.249047619047616</c:v>
                </c:pt>
                <c:pt idx="12">
                  <c:v>43.919335317460316</c:v>
                </c:pt>
                <c:pt idx="13">
                  <c:v>43.553005952380957</c:v>
                </c:pt>
                <c:pt idx="14">
                  <c:v>42.580059523809524</c:v>
                </c:pt>
                <c:pt idx="15">
                  <c:v>41.687420634920635</c:v>
                </c:pt>
                <c:pt idx="16">
                  <c:v>41.33999007936508</c:v>
                </c:pt>
                <c:pt idx="17">
                  <c:v>40.777113095238093</c:v>
                </c:pt>
                <c:pt idx="18">
                  <c:v>40.017212301587307</c:v>
                </c:pt>
              </c:numCache>
            </c:numRef>
          </c:val>
          <c:smooth val="0"/>
          <c:extLst>
            <c:ext xmlns:c16="http://schemas.microsoft.com/office/drawing/2014/chart" uri="{C3380CC4-5D6E-409C-BE32-E72D297353CC}">
              <c16:uniqueId val="{00000001-E945-4E7E-A9C7-D2DD2EF0A02A}"/>
            </c:ext>
          </c:extLst>
        </c:ser>
        <c:ser>
          <c:idx val="2"/>
          <c:order val="1"/>
          <c:tx>
            <c:strRef>
              <c:f>'Forward Price Curves'!$A$3</c:f>
              <c:strCache>
                <c:ptCount val="1"/>
                <c:pt idx="0">
                  <c:v>10/30/2024</c:v>
                </c:pt>
              </c:strCache>
            </c:strRef>
          </c:tx>
          <c:spPr>
            <a:ln w="28575" cap="rnd">
              <a:solidFill>
                <a:schemeClr val="accent3"/>
              </a:solidFill>
              <a:round/>
            </a:ln>
            <a:effectLst/>
          </c:spPr>
          <c:marker>
            <c:symbol val="none"/>
          </c:marker>
          <c:cat>
            <c:numRef>
              <c:extLst>
                <c:ext xmlns:c15="http://schemas.microsoft.com/office/drawing/2012/chart" uri="{02D57815-91ED-43cb-92C2-25804820EDAC}">
                  <c15:fullRef>
                    <c15:sqref>'Forward Price Curves'!$B$1:$X$1</c15:sqref>
                  </c15:fullRef>
                </c:ext>
              </c:extLst>
              <c:f>'Forward Price Curves'!$F$1:$X$1</c:f>
              <c:numCache>
                <c:formatCode>General</c:formatCode>
                <c:ptCount val="19"/>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numCache>
            </c:numRef>
          </c:cat>
          <c:val>
            <c:numRef>
              <c:extLst>
                <c:ext xmlns:c15="http://schemas.microsoft.com/office/drawing/2012/chart" uri="{02D57815-91ED-43cb-92C2-25804820EDAC}">
                  <c15:fullRef>
                    <c15:sqref>'Forward Price Curves'!$B$3:$X$3</c15:sqref>
                  </c15:fullRef>
                </c:ext>
              </c:extLst>
              <c:f>'Forward Price Curves'!$F$3:$X$3</c:f>
              <c:numCache>
                <c:formatCode>General</c:formatCode>
                <c:ptCount val="19"/>
                <c:pt idx="0">
                  <c:v>37.843591269841269</c:v>
                </c:pt>
                <c:pt idx="1">
                  <c:v>40.621180555555561</c:v>
                </c:pt>
                <c:pt idx="2">
                  <c:v>41.864275793650791</c:v>
                </c:pt>
                <c:pt idx="3">
                  <c:v>43.215753968253971</c:v>
                </c:pt>
                <c:pt idx="4">
                  <c:v>43.404146825396822</c:v>
                </c:pt>
                <c:pt idx="5">
                  <c:v>43.565763888888895</c:v>
                </c:pt>
                <c:pt idx="6">
                  <c:v>47.014583333333334</c:v>
                </c:pt>
                <c:pt idx="7">
                  <c:v>42.476736111111109</c:v>
                </c:pt>
                <c:pt idx="8">
                  <c:v>41.40127976190476</c:v>
                </c:pt>
                <c:pt idx="9">
                  <c:v>41.486994047619049</c:v>
                </c:pt>
                <c:pt idx="10">
                  <c:v>40.147103174603174</c:v>
                </c:pt>
                <c:pt idx="11">
                  <c:v>38.9834126984127</c:v>
                </c:pt>
                <c:pt idx="12">
                  <c:v>38.274474206349211</c:v>
                </c:pt>
                <c:pt idx="13">
                  <c:v>37.007390873015872</c:v>
                </c:pt>
                <c:pt idx="14">
                  <c:v>35.918918650793657</c:v>
                </c:pt>
                <c:pt idx="15">
                  <c:v>34.875595238095244</c:v>
                </c:pt>
                <c:pt idx="16">
                  <c:v>33.721517857142857</c:v>
                </c:pt>
                <c:pt idx="17">
                  <c:v>32.633432539682545</c:v>
                </c:pt>
                <c:pt idx="18">
                  <c:v>31.582480158730164</c:v>
                </c:pt>
              </c:numCache>
            </c:numRef>
          </c:val>
          <c:smooth val="0"/>
          <c:extLst>
            <c:ext xmlns:c16="http://schemas.microsoft.com/office/drawing/2014/chart" uri="{C3380CC4-5D6E-409C-BE32-E72D297353CC}">
              <c16:uniqueId val="{00000002-E945-4E7E-A9C7-D2DD2EF0A02A}"/>
            </c:ext>
          </c:extLst>
        </c:ser>
        <c:ser>
          <c:idx val="3"/>
          <c:order val="2"/>
          <c:tx>
            <c:strRef>
              <c:f>'Forward Price Curves'!$A$4</c:f>
              <c:strCache>
                <c:ptCount val="1"/>
                <c:pt idx="0">
                  <c:v>8/1/2024</c:v>
                </c:pt>
              </c:strCache>
            </c:strRef>
          </c:tx>
          <c:spPr>
            <a:ln w="28575" cap="rnd">
              <a:solidFill>
                <a:schemeClr val="accent4"/>
              </a:solidFill>
              <a:round/>
            </a:ln>
            <a:effectLst/>
          </c:spPr>
          <c:marker>
            <c:symbol val="none"/>
          </c:marker>
          <c:cat>
            <c:numRef>
              <c:extLst>
                <c:ext xmlns:c15="http://schemas.microsoft.com/office/drawing/2012/chart" uri="{02D57815-91ED-43cb-92C2-25804820EDAC}">
                  <c15:fullRef>
                    <c15:sqref>'Forward Price Curves'!$B$1:$X$1</c15:sqref>
                  </c15:fullRef>
                </c:ext>
              </c:extLst>
              <c:f>'Forward Price Curves'!$F$1:$X$1</c:f>
              <c:numCache>
                <c:formatCode>General</c:formatCode>
                <c:ptCount val="19"/>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numCache>
            </c:numRef>
          </c:cat>
          <c:val>
            <c:numRef>
              <c:extLst>
                <c:ext xmlns:c15="http://schemas.microsoft.com/office/drawing/2012/chart" uri="{02D57815-91ED-43cb-92C2-25804820EDAC}">
                  <c15:fullRef>
                    <c15:sqref>'Forward Price Curves'!$B$4:$X$4</c15:sqref>
                  </c15:fullRef>
                </c:ext>
              </c:extLst>
              <c:f>'Forward Price Curves'!$F$4:$X$4</c:f>
              <c:numCache>
                <c:formatCode>_("$"* #,##0.00_);_("$"* \(#,##0.00\);_("$"* "-"??_);_(@_)</c:formatCode>
                <c:ptCount val="19"/>
                <c:pt idx="0">
                  <c:v>32.216730158730158</c:v>
                </c:pt>
                <c:pt idx="1">
                  <c:v>38.857202380952373</c:v>
                </c:pt>
                <c:pt idx="2">
                  <c:v>41.179454365079366</c:v>
                </c:pt>
                <c:pt idx="3">
                  <c:v>42.188472222222217</c:v>
                </c:pt>
                <c:pt idx="4">
                  <c:v>42.633363095238096</c:v>
                </c:pt>
                <c:pt idx="5">
                  <c:v>42.64163690476191</c:v>
                </c:pt>
                <c:pt idx="6">
                  <c:v>43.593670634920628</c:v>
                </c:pt>
                <c:pt idx="7">
                  <c:v>44.494682539682543</c:v>
                </c:pt>
                <c:pt idx="8">
                  <c:v>43.42838293650793</c:v>
                </c:pt>
                <c:pt idx="9">
                  <c:v>43.710565476190482</c:v>
                </c:pt>
                <c:pt idx="10">
                  <c:v>44.680327380952377</c:v>
                </c:pt>
                <c:pt idx="11">
                  <c:v>45.952599206349198</c:v>
                </c:pt>
                <c:pt idx="12">
                  <c:v>47.224513888888886</c:v>
                </c:pt>
                <c:pt idx="13">
                  <c:v>48.061051587301591</c:v>
                </c:pt>
                <c:pt idx="14">
                  <c:v>49.271279761904765</c:v>
                </c:pt>
                <c:pt idx="15">
                  <c:v>50.342569444444443</c:v>
                </c:pt>
                <c:pt idx="16">
                  <c:v>51.318660714285713</c:v>
                </c:pt>
                <c:pt idx="17">
                  <c:v>52.38295634920636</c:v>
                </c:pt>
                <c:pt idx="18">
                  <c:v>53.453541666666673</c:v>
                </c:pt>
              </c:numCache>
            </c:numRef>
          </c:val>
          <c:smooth val="0"/>
          <c:extLst>
            <c:ext xmlns:c16="http://schemas.microsoft.com/office/drawing/2014/chart" uri="{C3380CC4-5D6E-409C-BE32-E72D297353CC}">
              <c16:uniqueId val="{00000003-E945-4E7E-A9C7-D2DD2EF0A02A}"/>
            </c:ext>
          </c:extLst>
        </c:ser>
        <c:ser>
          <c:idx val="4"/>
          <c:order val="3"/>
          <c:tx>
            <c:strRef>
              <c:f>'Forward Price Curves'!$A$5</c:f>
              <c:strCache>
                <c:ptCount val="1"/>
                <c:pt idx="0">
                  <c:v>3/1/2024</c:v>
                </c:pt>
              </c:strCache>
            </c:strRef>
          </c:tx>
          <c:spPr>
            <a:ln w="28575" cap="rnd">
              <a:solidFill>
                <a:schemeClr val="accent5"/>
              </a:solidFill>
              <a:round/>
            </a:ln>
            <a:effectLst/>
          </c:spPr>
          <c:marker>
            <c:symbol val="none"/>
          </c:marker>
          <c:cat>
            <c:numRef>
              <c:extLst>
                <c:ext xmlns:c15="http://schemas.microsoft.com/office/drawing/2012/chart" uri="{02D57815-91ED-43cb-92C2-25804820EDAC}">
                  <c15:fullRef>
                    <c15:sqref>'Forward Price Curves'!$B$1:$X$1</c15:sqref>
                  </c15:fullRef>
                </c:ext>
              </c:extLst>
              <c:f>'Forward Price Curves'!$F$1:$X$1</c:f>
              <c:numCache>
                <c:formatCode>General</c:formatCode>
                <c:ptCount val="19"/>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numCache>
            </c:numRef>
          </c:cat>
          <c:val>
            <c:numRef>
              <c:extLst>
                <c:ext xmlns:c15="http://schemas.microsoft.com/office/drawing/2012/chart" uri="{02D57815-91ED-43cb-92C2-25804820EDAC}">
                  <c15:fullRef>
                    <c15:sqref>'Forward Price Curves'!$B$5:$X$5</c15:sqref>
                  </c15:fullRef>
                </c:ext>
              </c:extLst>
              <c:f>'Forward Price Curves'!$F$5:$X$5</c:f>
              <c:numCache>
                <c:formatCode>_("$"* #,##0.00_);_("$"* \(#,##0.00\);_("$"* "-"??_);_(@_)</c:formatCode>
                <c:ptCount val="19"/>
                <c:pt idx="0">
                  <c:v>44.955644841269844</c:v>
                </c:pt>
                <c:pt idx="1">
                  <c:v>48.608571428571423</c:v>
                </c:pt>
                <c:pt idx="2">
                  <c:v>49.615019841269842</c:v>
                </c:pt>
                <c:pt idx="3">
                  <c:v>50.852212301587315</c:v>
                </c:pt>
                <c:pt idx="4">
                  <c:v>51.05367063492065</c:v>
                </c:pt>
                <c:pt idx="5">
                  <c:v>53.916884920634928</c:v>
                </c:pt>
                <c:pt idx="6">
                  <c:v>52.77331349206348</c:v>
                </c:pt>
                <c:pt idx="7">
                  <c:v>49.639583333333334</c:v>
                </c:pt>
                <c:pt idx="8">
                  <c:v>48.957053571428574</c:v>
                </c:pt>
                <c:pt idx="9">
                  <c:v>50.107996031746026</c:v>
                </c:pt>
                <c:pt idx="10">
                  <c:v>52.531825396825397</c:v>
                </c:pt>
                <c:pt idx="11">
                  <c:v>54.128938492063497</c:v>
                </c:pt>
                <c:pt idx="12">
                  <c:v>55.387113095238092</c:v>
                </c:pt>
                <c:pt idx="13">
                  <c:v>56.706170634920632</c:v>
                </c:pt>
                <c:pt idx="14">
                  <c:v>57.801765873015881</c:v>
                </c:pt>
                <c:pt idx="15">
                  <c:v>58.812281746031744</c:v>
                </c:pt>
                <c:pt idx="16">
                  <c:v>60.124315476190475</c:v>
                </c:pt>
                <c:pt idx="17">
                  <c:v>61.200416666666669</c:v>
                </c:pt>
                <c:pt idx="18">
                  <c:v>62.253025793650792</c:v>
                </c:pt>
              </c:numCache>
            </c:numRef>
          </c:val>
          <c:smooth val="0"/>
          <c:extLst>
            <c:ext xmlns:c16="http://schemas.microsoft.com/office/drawing/2014/chart" uri="{C3380CC4-5D6E-409C-BE32-E72D297353CC}">
              <c16:uniqueId val="{00000004-E945-4E7E-A9C7-D2DD2EF0A02A}"/>
            </c:ext>
          </c:extLst>
        </c:ser>
        <c:ser>
          <c:idx val="5"/>
          <c:order val="4"/>
          <c:tx>
            <c:strRef>
              <c:f>'Forward Price Curves'!$A$6</c:f>
              <c:strCache>
                <c:ptCount val="1"/>
                <c:pt idx="0">
                  <c:v>10/30/2023</c:v>
                </c:pt>
              </c:strCache>
            </c:strRef>
          </c:tx>
          <c:spPr>
            <a:ln w="28575" cap="rnd">
              <a:solidFill>
                <a:schemeClr val="accent6"/>
              </a:solidFill>
              <a:round/>
            </a:ln>
            <a:effectLst/>
          </c:spPr>
          <c:marker>
            <c:symbol val="none"/>
          </c:marker>
          <c:cat>
            <c:numRef>
              <c:extLst>
                <c:ext xmlns:c15="http://schemas.microsoft.com/office/drawing/2012/chart" uri="{02D57815-91ED-43cb-92C2-25804820EDAC}">
                  <c15:fullRef>
                    <c15:sqref>'Forward Price Curves'!$B$1:$X$1</c15:sqref>
                  </c15:fullRef>
                </c:ext>
              </c:extLst>
              <c:f>'Forward Price Curves'!$F$1:$X$1</c:f>
              <c:numCache>
                <c:formatCode>General</c:formatCode>
                <c:ptCount val="19"/>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numCache>
            </c:numRef>
          </c:cat>
          <c:val>
            <c:numRef>
              <c:extLst>
                <c:ext xmlns:c15="http://schemas.microsoft.com/office/drawing/2012/chart" uri="{02D57815-91ED-43cb-92C2-25804820EDAC}">
                  <c15:fullRef>
                    <c15:sqref>'Forward Price Curves'!$B$6:$X$6</c15:sqref>
                  </c15:fullRef>
                </c:ext>
              </c:extLst>
              <c:f>'Forward Price Curves'!$F$6:$X$6</c:f>
              <c:numCache>
                <c:formatCode>General</c:formatCode>
                <c:ptCount val="19"/>
                <c:pt idx="0">
                  <c:v>44.368333333333332</c:v>
                </c:pt>
                <c:pt idx="1">
                  <c:v>44.437490079365084</c:v>
                </c:pt>
                <c:pt idx="2">
                  <c:v>44.937966269841269</c:v>
                </c:pt>
                <c:pt idx="3">
                  <c:v>44.671984126984128</c:v>
                </c:pt>
                <c:pt idx="4">
                  <c:v>45.306686507936504</c:v>
                </c:pt>
                <c:pt idx="5">
                  <c:v>49.043759920634919</c:v>
                </c:pt>
                <c:pt idx="6">
                  <c:v>49.068958333333335</c:v>
                </c:pt>
                <c:pt idx="7">
                  <c:v>49.319017857142853</c:v>
                </c:pt>
                <c:pt idx="8">
                  <c:v>50.634077380952377</c:v>
                </c:pt>
                <c:pt idx="9">
                  <c:v>51.633779761904762</c:v>
                </c:pt>
                <c:pt idx="10">
                  <c:v>53.273541666666659</c:v>
                </c:pt>
                <c:pt idx="11">
                  <c:v>54.753115079365088</c:v>
                </c:pt>
                <c:pt idx="12">
                  <c:v>56.289533730158723</c:v>
                </c:pt>
                <c:pt idx="13">
                  <c:v>57.780347222222218</c:v>
                </c:pt>
                <c:pt idx="14">
                  <c:v>59.252430555555563</c:v>
                </c:pt>
                <c:pt idx="15">
                  <c:v>60.651626984126992</c:v>
                </c:pt>
                <c:pt idx="16">
                  <c:v>62.092123015873028</c:v>
                </c:pt>
                <c:pt idx="17">
                  <c:v>63.495198412698414</c:v>
                </c:pt>
                <c:pt idx="18">
                  <c:v>66.171537698412706</c:v>
                </c:pt>
              </c:numCache>
            </c:numRef>
          </c:val>
          <c:smooth val="0"/>
          <c:extLst>
            <c:ext xmlns:c16="http://schemas.microsoft.com/office/drawing/2014/chart" uri="{C3380CC4-5D6E-409C-BE32-E72D297353CC}">
              <c16:uniqueId val="{00000005-E945-4E7E-A9C7-D2DD2EF0A02A}"/>
            </c:ext>
          </c:extLst>
        </c:ser>
        <c:ser>
          <c:idx val="6"/>
          <c:order val="5"/>
          <c:tx>
            <c:strRef>
              <c:f>'Forward Price Curves'!$A$7</c:f>
              <c:strCache>
                <c:ptCount val="1"/>
                <c:pt idx="0">
                  <c:v>1/31/2023</c:v>
                </c:pt>
              </c:strCache>
            </c:strRef>
          </c:tx>
          <c:spPr>
            <a:ln w="28575" cap="rnd">
              <a:solidFill>
                <a:schemeClr val="accent1">
                  <a:lumMod val="60000"/>
                </a:schemeClr>
              </a:solidFill>
              <a:round/>
            </a:ln>
            <a:effectLst/>
          </c:spPr>
          <c:marker>
            <c:symbol val="none"/>
          </c:marker>
          <c:cat>
            <c:numRef>
              <c:extLst>
                <c:ext xmlns:c15="http://schemas.microsoft.com/office/drawing/2012/chart" uri="{02D57815-91ED-43cb-92C2-25804820EDAC}">
                  <c15:fullRef>
                    <c15:sqref>'Forward Price Curves'!$B$1:$X$1</c15:sqref>
                  </c15:fullRef>
                </c:ext>
              </c:extLst>
              <c:f>'Forward Price Curves'!$F$1:$X$1</c:f>
              <c:numCache>
                <c:formatCode>General</c:formatCode>
                <c:ptCount val="19"/>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numCache>
            </c:numRef>
          </c:cat>
          <c:val>
            <c:numRef>
              <c:extLst>
                <c:ext xmlns:c15="http://schemas.microsoft.com/office/drawing/2012/chart" uri="{02D57815-91ED-43cb-92C2-25804820EDAC}">
                  <c15:fullRef>
                    <c15:sqref>'Forward Price Curves'!$B$7:$X$7</c15:sqref>
                  </c15:fullRef>
                </c:ext>
              </c:extLst>
              <c:f>'Forward Price Curves'!$F$7:$X$7</c:f>
              <c:numCache>
                <c:formatCode>_("$"* #,##0.00_);_("$"* \(#,##0.00\);_("$"* "-"??_);_(@_)</c:formatCode>
                <c:ptCount val="19"/>
                <c:pt idx="0">
                  <c:v>43.623740079365078</c:v>
                </c:pt>
                <c:pt idx="1">
                  <c:v>43.28147817460318</c:v>
                </c:pt>
                <c:pt idx="2">
                  <c:v>43.624682539682539</c:v>
                </c:pt>
                <c:pt idx="3">
                  <c:v>43.910347222222228</c:v>
                </c:pt>
                <c:pt idx="4">
                  <c:v>46.266567460317461</c:v>
                </c:pt>
                <c:pt idx="5">
                  <c:v>49.441914682539675</c:v>
                </c:pt>
                <c:pt idx="6">
                  <c:v>51.029186507936508</c:v>
                </c:pt>
                <c:pt idx="7">
                  <c:v>53.184533730158734</c:v>
                </c:pt>
                <c:pt idx="8">
                  <c:v>55.326230158730155</c:v>
                </c:pt>
                <c:pt idx="9">
                  <c:v>58.128829365079369</c:v>
                </c:pt>
                <c:pt idx="10">
                  <c:v>60.629722222222227</c:v>
                </c:pt>
                <c:pt idx="11">
                  <c:v>63.112490079365081</c:v>
                </c:pt>
                <c:pt idx="12">
                  <c:v>65.587291666666658</c:v>
                </c:pt>
                <c:pt idx="13">
                  <c:v>68.042380952380938</c:v>
                </c:pt>
                <c:pt idx="14">
                  <c:v>70.415426587301582</c:v>
                </c:pt>
                <c:pt idx="15">
                  <c:v>72.735307539682537</c:v>
                </c:pt>
                <c:pt idx="16">
                  <c:v>75.096478174603163</c:v>
                </c:pt>
                <c:pt idx="17">
                  <c:v>77.421329365079359</c:v>
                </c:pt>
              </c:numCache>
            </c:numRef>
          </c:val>
          <c:smooth val="0"/>
          <c:extLst>
            <c:ext xmlns:c16="http://schemas.microsoft.com/office/drawing/2014/chart" uri="{C3380CC4-5D6E-409C-BE32-E72D297353CC}">
              <c16:uniqueId val="{00000006-E945-4E7E-A9C7-D2DD2EF0A02A}"/>
            </c:ext>
          </c:extLst>
        </c:ser>
        <c:dLbls>
          <c:showLegendKey val="0"/>
          <c:showVal val="0"/>
          <c:showCatName val="0"/>
          <c:showSerName val="0"/>
          <c:showPercent val="0"/>
          <c:showBubbleSize val="0"/>
        </c:dLbls>
        <c:marker val="1"/>
        <c:smooth val="0"/>
        <c:axId val="2093939800"/>
        <c:axId val="2093938360"/>
      </c:lineChart>
      <c:catAx>
        <c:axId val="2093939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3938360"/>
        <c:crosses val="autoZero"/>
        <c:auto val="1"/>
        <c:lblAlgn val="ctr"/>
        <c:lblOffset val="100"/>
        <c:noMultiLvlLbl val="0"/>
      </c:catAx>
      <c:valAx>
        <c:axId val="209393836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3939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9257238241942"/>
          <c:y val="2.8552868268196176E-2"/>
          <c:w val="0.87592381017342225"/>
          <c:h val="0.81142695955231181"/>
        </c:manualLayout>
      </c:layout>
      <c:barChart>
        <c:barDir val="col"/>
        <c:grouping val="stacked"/>
        <c:varyColors val="0"/>
        <c:ser>
          <c:idx val="0"/>
          <c:order val="0"/>
          <c:tx>
            <c:strRef>
              <c:f>'Ch. 3 Tables and Graphs'!$D$113</c:f>
              <c:strCache>
                <c:ptCount val="1"/>
                <c:pt idx="0">
                  <c:v>LTPPA RECs</c:v>
                </c:pt>
              </c:strCache>
            </c:strRef>
          </c:tx>
          <c:spPr>
            <a:solidFill>
              <a:schemeClr val="accent1"/>
            </a:solidFill>
            <a:ln>
              <a:noFill/>
            </a:ln>
            <a:effectLst/>
          </c:spPr>
          <c:invertIfNegative val="0"/>
          <c:cat>
            <c:strRef>
              <c:extLst>
                <c:ext xmlns:c15="http://schemas.microsoft.com/office/drawing/2012/chart" uri="{02D57815-91ED-43cb-92C2-25804820EDAC}">
                  <c15:fullRef>
                    <c15:sqref>'Ch. 3 Tables and Graphs'!$C$114:$C$136</c15:sqref>
                  </c15:fullRef>
                </c:ext>
              </c:extLst>
              <c:f>'Ch. 3 Tables and Graphs'!$C$118:$C$136</c:f>
              <c:strCache>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strCache>
            </c:strRef>
          </c:cat>
          <c:val>
            <c:numRef>
              <c:extLst>
                <c:ext xmlns:c15="http://schemas.microsoft.com/office/drawing/2012/chart" uri="{02D57815-91ED-43cb-92C2-25804820EDAC}">
                  <c15:fullRef>
                    <c15:sqref>'Ch. 3 Tables and Graphs'!$D$114:$D$136</c15:sqref>
                  </c15:fullRef>
                </c:ext>
              </c:extLst>
              <c:f>'Ch. 3 Tables and Graphs'!$D$118:$D$136</c:f>
              <c:numCache>
                <c:formatCode>_(* #,##0_);_(* \(#,##0\);_(* "-"??_);_(@_)</c:formatCode>
                <c:ptCount val="19"/>
                <c:pt idx="0">
                  <c:v>1861725</c:v>
                </c:pt>
                <c:pt idx="1">
                  <c:v>1861725</c:v>
                </c:pt>
                <c:pt idx="2">
                  <c:v>1861725</c:v>
                </c:pt>
                <c:pt idx="3">
                  <c:v>1861725</c:v>
                </c:pt>
                <c:pt idx="4">
                  <c:v>1861725</c:v>
                </c:pt>
                <c:pt idx="5">
                  <c:v>1861725</c:v>
                </c:pt>
                <c:pt idx="6">
                  <c:v>1861725</c:v>
                </c:pt>
                <c:pt idx="7">
                  <c:v>1861725</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0-AE13-492D-AD72-5140A3FF2BF2}"/>
            </c:ext>
          </c:extLst>
        </c:ser>
        <c:ser>
          <c:idx val="2"/>
          <c:order val="1"/>
          <c:tx>
            <c:strRef>
              <c:f>'Ch. 3 Tables and Graphs'!$F$113</c:f>
              <c:strCache>
                <c:ptCount val="1"/>
                <c:pt idx="0">
                  <c:v>ABP</c:v>
                </c:pt>
              </c:strCache>
            </c:strRef>
          </c:tx>
          <c:spPr>
            <a:solidFill>
              <a:schemeClr val="accent6">
                <a:lumMod val="75000"/>
              </a:schemeClr>
            </a:solidFill>
            <a:ln>
              <a:noFill/>
            </a:ln>
            <a:effectLst/>
          </c:spPr>
          <c:invertIfNegative val="0"/>
          <c:cat>
            <c:strLit>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'Ch. 3 Tables and Graphs'!$F$114:$F$135</c15:sqref>
                  </c15:fullRef>
                </c:ext>
              </c:extLst>
              <c:f>'Ch. 3 Tables and Graphs'!$F$118:$F$135</c:f>
              <c:numCache>
                <c:formatCode>_(* #,##0_);_(* \(#,##0\);_(* "-"??_);_(@_)</c:formatCode>
                <c:ptCount val="18"/>
                <c:pt idx="0">
                  <c:v>2616834</c:v>
                </c:pt>
                <c:pt idx="1">
                  <c:v>4683226</c:v>
                </c:pt>
                <c:pt idx="2">
                  <c:v>5585213</c:v>
                </c:pt>
                <c:pt idx="3">
                  <c:v>5557084</c:v>
                </c:pt>
                <c:pt idx="4">
                  <c:v>5529163</c:v>
                </c:pt>
                <c:pt idx="5">
                  <c:v>5501433</c:v>
                </c:pt>
                <c:pt idx="6">
                  <c:v>5473807</c:v>
                </c:pt>
                <c:pt idx="7">
                  <c:v>5446443</c:v>
                </c:pt>
                <c:pt idx="8">
                  <c:v>5418812</c:v>
                </c:pt>
                <c:pt idx="9">
                  <c:v>5390347</c:v>
                </c:pt>
                <c:pt idx="10">
                  <c:v>4724723</c:v>
                </c:pt>
                <c:pt idx="11">
                  <c:v>5224290</c:v>
                </c:pt>
                <c:pt idx="12">
                  <c:v>4342651</c:v>
                </c:pt>
                <c:pt idx="13">
                  <c:v>4131758</c:v>
                </c:pt>
                <c:pt idx="14">
                  <c:v>3753336</c:v>
                </c:pt>
                <c:pt idx="15">
                  <c:v>3317762</c:v>
                </c:pt>
                <c:pt idx="16">
                  <c:v>2861749</c:v>
                </c:pt>
                <c:pt idx="17">
                  <c:v>2716521</c:v>
                </c:pt>
              </c:numCache>
            </c:numRef>
          </c:val>
          <c:extLst>
            <c:ext xmlns:c16="http://schemas.microsoft.com/office/drawing/2014/chart" uri="{C3380CC4-5D6E-409C-BE32-E72D297353CC}">
              <c16:uniqueId val="{00000000-65DE-425A-9569-EDE95F155FD6}"/>
            </c:ext>
          </c:extLst>
        </c:ser>
        <c:ser>
          <c:idx val="1"/>
          <c:order val="2"/>
          <c:tx>
            <c:strRef>
              <c:f>'Ch. 3 Tables and Graphs'!$E$113</c:f>
              <c:strCache>
                <c:ptCount val="1"/>
                <c:pt idx="0">
                  <c:v>FEJA Wind and Solar Procurements</c:v>
                </c:pt>
              </c:strCache>
            </c:strRef>
          </c:tx>
          <c:spPr>
            <a:solidFill>
              <a:schemeClr val="accent2"/>
            </a:solidFill>
            <a:ln>
              <a:noFill/>
            </a:ln>
            <a:effectLst/>
          </c:spPr>
          <c:invertIfNegative val="0"/>
          <c:cat>
            <c:strRef>
              <c:extLst>
                <c:ext xmlns:c15="http://schemas.microsoft.com/office/drawing/2012/chart" uri="{02D57815-91ED-43cb-92C2-25804820EDAC}">
                  <c15:fullRef>
                    <c15:sqref>'Ch. 3 Tables and Graphs'!$C$114:$C$136</c15:sqref>
                  </c15:fullRef>
                </c:ext>
              </c:extLst>
              <c:f>'Ch. 3 Tables and Graphs'!$C$118:$C$136</c:f>
              <c:strCache>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strCache>
            </c:strRef>
          </c:cat>
          <c:val>
            <c:numRef>
              <c:extLst>
                <c:ext xmlns:c15="http://schemas.microsoft.com/office/drawing/2012/chart" uri="{02D57815-91ED-43cb-92C2-25804820EDAC}">
                  <c15:fullRef>
                    <c15:sqref>'Ch. 3 Tables and Graphs'!$E$114:$E$136</c15:sqref>
                  </c15:fullRef>
                </c:ext>
              </c:extLst>
              <c:f>'Ch. 3 Tables and Graphs'!$E$118:$E$136</c:f>
              <c:numCache>
                <c:formatCode>_(* #,##0_);_(* \(#,##0\);_(* "-"??_);_(@_)</c:formatCode>
                <c:ptCount val="19"/>
                <c:pt idx="0">
                  <c:v>4061148.5745999999</c:v>
                </c:pt>
                <c:pt idx="1">
                  <c:v>4631147.5745999999</c:v>
                </c:pt>
                <c:pt idx="2">
                  <c:v>4631147.5745999999</c:v>
                </c:pt>
                <c:pt idx="3">
                  <c:v>4631147.5745999999</c:v>
                </c:pt>
                <c:pt idx="4">
                  <c:v>4631147.5745999999</c:v>
                </c:pt>
                <c:pt idx="5">
                  <c:v>4631147.5745999999</c:v>
                </c:pt>
                <c:pt idx="6">
                  <c:v>4631147.5745999999</c:v>
                </c:pt>
                <c:pt idx="7">
                  <c:v>4631147.5745999999</c:v>
                </c:pt>
                <c:pt idx="8">
                  <c:v>4631147.5745999999</c:v>
                </c:pt>
                <c:pt idx="9">
                  <c:v>4201147.5745999999</c:v>
                </c:pt>
                <c:pt idx="10">
                  <c:v>4201147.5745999999</c:v>
                </c:pt>
                <c:pt idx="11">
                  <c:v>3901147.5745999999</c:v>
                </c:pt>
                <c:pt idx="12">
                  <c:v>569999</c:v>
                </c:pt>
                <c:pt idx="13">
                  <c:v>569999</c:v>
                </c:pt>
                <c:pt idx="14">
                  <c:v>569999</c:v>
                </c:pt>
                <c:pt idx="15">
                  <c:v>569999</c:v>
                </c:pt>
                <c:pt idx="16">
                  <c:v>0</c:v>
                </c:pt>
                <c:pt idx="17">
                  <c:v>0</c:v>
                </c:pt>
                <c:pt idx="18">
                  <c:v>0</c:v>
                </c:pt>
              </c:numCache>
            </c:numRef>
          </c:val>
          <c:extLst>
            <c:ext xmlns:c16="http://schemas.microsoft.com/office/drawing/2014/chart" uri="{C3380CC4-5D6E-409C-BE32-E72D297353CC}">
              <c16:uniqueId val="{00000001-AE13-492D-AD72-5140A3FF2BF2}"/>
            </c:ext>
          </c:extLst>
        </c:ser>
        <c:ser>
          <c:idx val="3"/>
          <c:order val="3"/>
          <c:tx>
            <c:strRef>
              <c:f>'Ch. 3 Tables and Graphs'!$G$113</c:f>
              <c:strCache>
                <c:ptCount val="1"/>
                <c:pt idx="0">
                  <c:v>Coal to Solar</c:v>
                </c:pt>
              </c:strCache>
            </c:strRef>
          </c:tx>
          <c:spPr>
            <a:solidFill>
              <a:schemeClr val="tx2">
                <a:lumMod val="60000"/>
                <a:lumOff val="40000"/>
              </a:schemeClr>
            </a:solidFill>
            <a:ln>
              <a:noFill/>
            </a:ln>
            <a:effectLst/>
          </c:spPr>
          <c:invertIfNegative val="0"/>
          <c:cat>
            <c:strRef>
              <c:extLst>
                <c:ext xmlns:c15="http://schemas.microsoft.com/office/drawing/2012/chart" uri="{02D57815-91ED-43cb-92C2-25804820EDAC}">
                  <c15:fullRef>
                    <c15:sqref>'Ch. 3 Tables and Graphs'!$C$114:$C$136</c15:sqref>
                  </c15:fullRef>
                </c:ext>
              </c:extLst>
              <c:f>'Ch. 3 Tables and Graphs'!$C$118:$C$136</c:f>
              <c:strCache>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strCache>
            </c:strRef>
          </c:cat>
          <c:val>
            <c:numRef>
              <c:extLst>
                <c:ext xmlns:c15="http://schemas.microsoft.com/office/drawing/2012/chart" uri="{02D57815-91ED-43cb-92C2-25804820EDAC}">
                  <c15:fullRef>
                    <c15:sqref>'Ch. 3 Tables and Graphs'!$G$114:$G$136</c15:sqref>
                  </c15:fullRef>
                </c:ext>
              </c:extLst>
              <c:f>'Ch. 3 Tables and Graphs'!$G$118:$G$136</c:f>
              <c:numCache>
                <c:formatCode>_(* #,##0_);_(* \(#,##0\);_(* "-"??_);_(@_)</c:formatCode>
                <c:ptCount val="19"/>
                <c:pt idx="0">
                  <c:v>0</c:v>
                </c:pt>
                <c:pt idx="1">
                  <c:v>379110</c:v>
                </c:pt>
                <c:pt idx="2">
                  <c:v>379110</c:v>
                </c:pt>
                <c:pt idx="3">
                  <c:v>379110</c:v>
                </c:pt>
                <c:pt idx="4">
                  <c:v>379110</c:v>
                </c:pt>
                <c:pt idx="5">
                  <c:v>379110</c:v>
                </c:pt>
                <c:pt idx="6">
                  <c:v>379110</c:v>
                </c:pt>
                <c:pt idx="7">
                  <c:v>379110</c:v>
                </c:pt>
                <c:pt idx="8">
                  <c:v>379110</c:v>
                </c:pt>
                <c:pt idx="9">
                  <c:v>379110</c:v>
                </c:pt>
                <c:pt idx="10">
                  <c:v>379110</c:v>
                </c:pt>
                <c:pt idx="11">
                  <c:v>379110</c:v>
                </c:pt>
                <c:pt idx="12">
                  <c:v>379110</c:v>
                </c:pt>
                <c:pt idx="13">
                  <c:v>379110</c:v>
                </c:pt>
                <c:pt idx="14">
                  <c:v>379110</c:v>
                </c:pt>
                <c:pt idx="15">
                  <c:v>379110</c:v>
                </c:pt>
                <c:pt idx="16">
                  <c:v>379110</c:v>
                </c:pt>
                <c:pt idx="17">
                  <c:v>379110</c:v>
                </c:pt>
                <c:pt idx="18">
                  <c:v>379110</c:v>
                </c:pt>
              </c:numCache>
            </c:numRef>
          </c:val>
          <c:extLst>
            <c:ext xmlns:c16="http://schemas.microsoft.com/office/drawing/2014/chart" uri="{C3380CC4-5D6E-409C-BE32-E72D297353CC}">
              <c16:uniqueId val="{00000003-AE13-492D-AD72-5140A3FF2BF2}"/>
            </c:ext>
          </c:extLst>
        </c:ser>
        <c:ser>
          <c:idx val="4"/>
          <c:order val="4"/>
          <c:tx>
            <c:strRef>
              <c:f>'Ch. 3 Tables and Graphs'!$H$113</c:f>
              <c:strCache>
                <c:ptCount val="1"/>
                <c:pt idx="0">
                  <c:v>CEJA Indexed REC Procurements</c:v>
                </c:pt>
              </c:strCache>
            </c:strRef>
          </c:tx>
          <c:spPr>
            <a:solidFill>
              <a:schemeClr val="accent4"/>
            </a:solidFill>
            <a:ln>
              <a:noFill/>
            </a:ln>
            <a:effectLst/>
          </c:spPr>
          <c:invertIfNegative val="0"/>
          <c:cat>
            <c:strRef>
              <c:extLst>
                <c:ext xmlns:c15="http://schemas.microsoft.com/office/drawing/2012/chart" uri="{02D57815-91ED-43cb-92C2-25804820EDAC}">
                  <c15:fullRef>
                    <c15:sqref>'Ch. 3 Tables and Graphs'!$C$114:$C$136</c15:sqref>
                  </c15:fullRef>
                </c:ext>
              </c:extLst>
              <c:f>'Ch. 3 Tables and Graphs'!$C$118:$C$136</c:f>
              <c:strCache>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strCache>
            </c:strRef>
          </c:cat>
          <c:val>
            <c:numRef>
              <c:extLst>
                <c:ext xmlns:c15="http://schemas.microsoft.com/office/drawing/2012/chart" uri="{02D57815-91ED-43cb-92C2-25804820EDAC}">
                  <c15:fullRef>
                    <c15:sqref>'Ch. 3 Tables and Graphs'!$H$114:$H$136</c15:sqref>
                  </c15:fullRef>
                </c:ext>
              </c:extLst>
              <c:f>'Ch. 3 Tables and Graphs'!$H$118:$H$136</c:f>
              <c:numCache>
                <c:formatCode>_(* #,##0_);_(* \(#,##0\);_(* "-"??_);_(@_)</c:formatCode>
                <c:ptCount val="19"/>
                <c:pt idx="0">
                  <c:v>0</c:v>
                </c:pt>
                <c:pt idx="1">
                  <c:v>186137.94520547945</c:v>
                </c:pt>
                <c:pt idx="2">
                  <c:v>1041432.7545205479</c:v>
                </c:pt>
                <c:pt idx="3">
                  <c:v>3855572.5135352742</c:v>
                </c:pt>
                <c:pt idx="4">
                  <c:v>7975562.7547973152</c:v>
                </c:pt>
                <c:pt idx="5">
                  <c:v>9207657.6442181934</c:v>
                </c:pt>
                <c:pt idx="6">
                  <c:v>9181525.7868340965</c:v>
                </c:pt>
                <c:pt idx="7">
                  <c:v>9153974.0597249269</c:v>
                </c:pt>
                <c:pt idx="8">
                  <c:v>9126560.0912513025</c:v>
                </c:pt>
                <c:pt idx="9">
                  <c:v>9099283.1926200464</c:v>
                </c:pt>
                <c:pt idx="10">
                  <c:v>9072142.6784819458</c:v>
                </c:pt>
                <c:pt idx="11">
                  <c:v>9045137.8669145349</c:v>
                </c:pt>
                <c:pt idx="12">
                  <c:v>9018268.0794049632</c:v>
                </c:pt>
                <c:pt idx="13">
                  <c:v>8991532.6408329383</c:v>
                </c:pt>
                <c:pt idx="14">
                  <c:v>8964930.8794537727</c:v>
                </c:pt>
                <c:pt idx="15">
                  <c:v>8938462.1268815044</c:v>
                </c:pt>
                <c:pt idx="16">
                  <c:v>8912125.7180720977</c:v>
                </c:pt>
                <c:pt idx="17">
                  <c:v>8885920.9913067371</c:v>
                </c:pt>
                <c:pt idx="18">
                  <c:v>8859847.2881752029</c:v>
                </c:pt>
              </c:numCache>
            </c:numRef>
          </c:val>
          <c:extLst>
            <c:ext xmlns:c16="http://schemas.microsoft.com/office/drawing/2014/chart" uri="{C3380CC4-5D6E-409C-BE32-E72D297353CC}">
              <c16:uniqueId val="{00000004-AE13-492D-AD72-5140A3FF2BF2}"/>
            </c:ext>
          </c:extLst>
        </c:ser>
        <c:ser>
          <c:idx val="5"/>
          <c:order val="5"/>
          <c:tx>
            <c:strRef>
              <c:f>'Ch. 3 Tables and Graphs'!$J$113</c:f>
              <c:strCache>
                <c:ptCount val="1"/>
                <c:pt idx="0">
                  <c:v>REC Shortfall from Target</c:v>
                </c:pt>
              </c:strCache>
            </c:strRef>
          </c:tx>
          <c:spPr>
            <a:solidFill>
              <a:schemeClr val="bg2">
                <a:lumMod val="75000"/>
              </a:schemeClr>
            </a:solidFill>
            <a:ln>
              <a:noFill/>
            </a:ln>
            <a:effectLst/>
          </c:spPr>
          <c:invertIfNegative val="0"/>
          <c:cat>
            <c:strRef>
              <c:extLst>
                <c:ext xmlns:c15="http://schemas.microsoft.com/office/drawing/2012/chart" uri="{02D57815-91ED-43cb-92C2-25804820EDAC}">
                  <c15:fullRef>
                    <c15:sqref>'Ch. 3 Tables and Graphs'!$C$114:$C$136</c15:sqref>
                  </c15:fullRef>
                </c:ext>
              </c:extLst>
              <c:f>'Ch. 3 Tables and Graphs'!$C$118:$C$136</c:f>
              <c:strCache>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strCache>
            </c:strRef>
          </c:cat>
          <c:val>
            <c:numRef>
              <c:extLst>
                <c:ext xmlns:c15="http://schemas.microsoft.com/office/drawing/2012/chart" uri="{02D57815-91ED-43cb-92C2-25804820EDAC}">
                  <c15:fullRef>
                    <c15:sqref>'Ch. 3 Tables and Graphs'!$J$114:$J$136</c15:sqref>
                  </c15:fullRef>
                </c:ext>
              </c:extLst>
              <c:f>'Ch. 3 Tables and Graphs'!$J$118:$J$136</c:f>
              <c:numCache>
                <c:formatCode>_(* #,##0_);_(* \(#,##0\);_(* "-"??_);_(@_)</c:formatCode>
                <c:ptCount val="19"/>
                <c:pt idx="0">
                  <c:v>19060698.013787385</c:v>
                </c:pt>
                <c:pt idx="1">
                  <c:v>17527890.227970909</c:v>
                </c:pt>
                <c:pt idx="2">
                  <c:v>19148818.435700163</c:v>
                </c:pt>
                <c:pt idx="3">
                  <c:v>20280331.173716724</c:v>
                </c:pt>
                <c:pt idx="4">
                  <c:v>20477852.134569861</c:v>
                </c:pt>
                <c:pt idx="5">
                  <c:v>24054851.012754686</c:v>
                </c:pt>
                <c:pt idx="6">
                  <c:v>29556908.195915781</c:v>
                </c:pt>
                <c:pt idx="7">
                  <c:v>32806555.057281848</c:v>
                </c:pt>
                <c:pt idx="8">
                  <c:v>38091937.514210306</c:v>
                </c:pt>
                <c:pt idx="9">
                  <c:v>41832097.314918935</c:v>
                </c:pt>
                <c:pt idx="10">
                  <c:v>45753689.253188148</c:v>
                </c:pt>
                <c:pt idx="11">
                  <c:v>48502058.443323597</c:v>
                </c:pt>
                <c:pt idx="12">
                  <c:v>55359095.669649184</c:v>
                </c:pt>
                <c:pt idx="13">
                  <c:v>57647038.591023885</c:v>
                </c:pt>
                <c:pt idx="14">
                  <c:v>60140406.663254656</c:v>
                </c:pt>
                <c:pt idx="15">
                  <c:v>62576657.835295893</c:v>
                </c:pt>
                <c:pt idx="16">
                  <c:v>65734826.971726134</c:v>
                </c:pt>
                <c:pt idx="17">
                  <c:v>66206154.65736495</c:v>
                </c:pt>
                <c:pt idx="18">
                  <c:v>69258920.477158636</c:v>
                </c:pt>
              </c:numCache>
            </c:numRef>
          </c:val>
          <c:extLst>
            <c:ext xmlns:c16="http://schemas.microsoft.com/office/drawing/2014/chart" uri="{C3380CC4-5D6E-409C-BE32-E72D297353CC}">
              <c16:uniqueId val="{00000005-AE13-492D-AD72-5140A3FF2BF2}"/>
            </c:ext>
          </c:extLst>
        </c:ser>
        <c:dLbls>
          <c:showLegendKey val="0"/>
          <c:showVal val="0"/>
          <c:showCatName val="0"/>
          <c:showSerName val="0"/>
          <c:showPercent val="0"/>
          <c:showBubbleSize val="0"/>
        </c:dLbls>
        <c:gapWidth val="150"/>
        <c:overlap val="100"/>
        <c:axId val="764494072"/>
        <c:axId val="764491120"/>
      </c:barChart>
      <c:catAx>
        <c:axId val="76449407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Delivery Year</a:t>
                </a:r>
              </a:p>
            </c:rich>
          </c:tx>
          <c:layout>
            <c:manualLayout>
              <c:xMode val="edge"/>
              <c:yMode val="edge"/>
              <c:x val="0.48925551406154377"/>
              <c:y val="0.883850859915265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4491120"/>
        <c:crosses val="autoZero"/>
        <c:auto val="1"/>
        <c:lblAlgn val="ctr"/>
        <c:lblOffset val="100"/>
        <c:noMultiLvlLbl val="0"/>
      </c:catAx>
      <c:valAx>
        <c:axId val="764491120"/>
        <c:scaling>
          <c:orientation val="minMax"/>
          <c:max val="80000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Annual REC Deliveries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4494072"/>
        <c:crosses val="autoZero"/>
        <c:crossBetween val="between"/>
      </c:valAx>
      <c:spPr>
        <a:noFill/>
        <a:ln cmpd="sng">
          <a:noFill/>
        </a:ln>
        <a:effectLst/>
      </c:spPr>
    </c:plotArea>
    <c:legend>
      <c:legendPos val="b"/>
      <c:layout>
        <c:manualLayout>
          <c:xMode val="edge"/>
          <c:yMode val="edge"/>
          <c:x val="7.8842980217398315E-2"/>
          <c:y val="0.92715990778596524"/>
          <c:w val="0.8999999701152267"/>
          <c:h val="3.77942374871418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'Ch. 3 Tables and Graphs'!$D$4</c:f>
              <c:strCache>
                <c:ptCount val="1"/>
                <c:pt idx="0">
                  <c:v>Total Wind</c:v>
                </c:pt>
              </c:strCache>
            </c:strRef>
          </c:tx>
          <c:spPr>
            <a:solidFill>
              <a:schemeClr val="accent1"/>
            </a:solidFill>
            <a:ln>
              <a:noFill/>
            </a:ln>
            <a:effectLst/>
          </c:spPr>
          <c:invertIfNegative val="0"/>
          <c:cat>
            <c:strRef>
              <c:f>'Ch. 3 Tables and Graphs'!$C$5:$C$27</c:f>
              <c:strCache>
                <c:ptCount val="23"/>
                <c:pt idx="0">
                  <c:v>2020-21</c:v>
                </c:pt>
                <c:pt idx="1">
                  <c:v>2021-22</c:v>
                </c:pt>
                <c:pt idx="2">
                  <c:v>2022-23</c:v>
                </c:pt>
                <c:pt idx="3">
                  <c:v>2023-24</c:v>
                </c:pt>
                <c:pt idx="4">
                  <c:v>2024-25</c:v>
                </c:pt>
                <c:pt idx="5">
                  <c:v>2025-26</c:v>
                </c:pt>
                <c:pt idx="6">
                  <c:v>2026-27</c:v>
                </c:pt>
                <c:pt idx="7">
                  <c:v>2027-28</c:v>
                </c:pt>
                <c:pt idx="8">
                  <c:v>2028-29</c:v>
                </c:pt>
                <c:pt idx="9">
                  <c:v>2029-30</c:v>
                </c:pt>
                <c:pt idx="10">
                  <c:v>2030-31</c:v>
                </c:pt>
                <c:pt idx="11">
                  <c:v>2031-32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strCache>
            </c:strRef>
          </c:cat>
          <c:val>
            <c:numRef>
              <c:f>'Ch. 3 Tables and Graphs'!$D$5:$D$27</c:f>
              <c:numCache>
                <c:formatCode>_(* #,##0_);_(* \(#,##0\);_(* "-"??_);_(@_)</c:formatCode>
                <c:ptCount val="23"/>
                <c:pt idx="0">
                  <c:v>2560409</c:v>
                </c:pt>
                <c:pt idx="1">
                  <c:v>3895928</c:v>
                </c:pt>
                <c:pt idx="2">
                  <c:v>3895928</c:v>
                </c:pt>
                <c:pt idx="3">
                  <c:v>3895928</c:v>
                </c:pt>
                <c:pt idx="4">
                  <c:v>3895928</c:v>
                </c:pt>
                <c:pt idx="5">
                  <c:v>3972152.1643835618</c:v>
                </c:pt>
                <c:pt idx="6">
                  <c:v>4476202.3506164383</c:v>
                </c:pt>
                <c:pt idx="7">
                  <c:v>5706869.1273972597</c:v>
                </c:pt>
                <c:pt idx="8">
                  <c:v>7001297.0554109588</c:v>
                </c:pt>
                <c:pt idx="9">
                  <c:v>7567108.3650000002</c:v>
                </c:pt>
                <c:pt idx="10">
                  <c:v>7567108.3650000002</c:v>
                </c:pt>
                <c:pt idx="11">
                  <c:v>7567108.3650000002</c:v>
                </c:pt>
                <c:pt idx="12">
                  <c:v>5736699.3650000002</c:v>
                </c:pt>
                <c:pt idx="13">
                  <c:v>5306699.3650000002</c:v>
                </c:pt>
                <c:pt idx="14">
                  <c:v>5306699.3650000002</c:v>
                </c:pt>
                <c:pt idx="15">
                  <c:v>5006699.3650000002</c:v>
                </c:pt>
                <c:pt idx="16">
                  <c:v>3671180.3649999998</c:v>
                </c:pt>
                <c:pt idx="17">
                  <c:v>3671180.3649999998</c:v>
                </c:pt>
                <c:pt idx="18">
                  <c:v>3671180.3649999998</c:v>
                </c:pt>
                <c:pt idx="19">
                  <c:v>3671180.3649999998</c:v>
                </c:pt>
                <c:pt idx="20">
                  <c:v>3671180.3649999998</c:v>
                </c:pt>
                <c:pt idx="21">
                  <c:v>3671180.3649999998</c:v>
                </c:pt>
                <c:pt idx="22">
                  <c:v>3671180.3649999998</c:v>
                </c:pt>
              </c:numCache>
            </c:numRef>
          </c:val>
          <c:extLst>
            <c:ext xmlns:c16="http://schemas.microsoft.com/office/drawing/2014/chart" uri="{C3380CC4-5D6E-409C-BE32-E72D297353CC}">
              <c16:uniqueId val="{00000000-734F-440C-9C11-E60A65DA2FCA}"/>
            </c:ext>
          </c:extLst>
        </c:ser>
        <c:ser>
          <c:idx val="1"/>
          <c:order val="1"/>
          <c:tx>
            <c:strRef>
              <c:f>'Ch. 3 Tables and Graphs'!$E$4</c:f>
              <c:strCache>
                <c:ptCount val="1"/>
                <c:pt idx="0">
                  <c:v>Total Solar</c:v>
                </c:pt>
              </c:strCache>
            </c:strRef>
          </c:tx>
          <c:spPr>
            <a:solidFill>
              <a:schemeClr val="accent4">
                <a:lumMod val="60000"/>
                <a:lumOff val="40000"/>
              </a:schemeClr>
            </a:solidFill>
            <a:ln>
              <a:noFill/>
            </a:ln>
            <a:effectLst/>
          </c:spPr>
          <c:invertIfNegative val="0"/>
          <c:cat>
            <c:strRef>
              <c:f>'Ch. 3 Tables and Graphs'!$C$5:$C$27</c:f>
              <c:strCache>
                <c:ptCount val="23"/>
                <c:pt idx="0">
                  <c:v>2020-21</c:v>
                </c:pt>
                <c:pt idx="1">
                  <c:v>2021-22</c:v>
                </c:pt>
                <c:pt idx="2">
                  <c:v>2022-23</c:v>
                </c:pt>
                <c:pt idx="3">
                  <c:v>2023-24</c:v>
                </c:pt>
                <c:pt idx="4">
                  <c:v>2024-25</c:v>
                </c:pt>
                <c:pt idx="5">
                  <c:v>2025-26</c:v>
                </c:pt>
                <c:pt idx="6">
                  <c:v>2026-27</c:v>
                </c:pt>
                <c:pt idx="7">
                  <c:v>2027-28</c:v>
                </c:pt>
                <c:pt idx="8">
                  <c:v>2028-29</c:v>
                </c:pt>
                <c:pt idx="9">
                  <c:v>2029-30</c:v>
                </c:pt>
                <c:pt idx="10">
                  <c:v>2030-31</c:v>
                </c:pt>
                <c:pt idx="11">
                  <c:v>2031-32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strCache>
            </c:strRef>
          </c:cat>
          <c:val>
            <c:numRef>
              <c:f>'Ch. 3 Tables and Graphs'!$E$5:$E$27</c:f>
              <c:numCache>
                <c:formatCode>_(* #,##0_);_(* \(#,##0\);_(* "-"??_);_(@_)</c:formatCode>
                <c:ptCount val="23"/>
                <c:pt idx="0">
                  <c:v>777880.89229999995</c:v>
                </c:pt>
                <c:pt idx="1">
                  <c:v>2089427.1079333334</c:v>
                </c:pt>
                <c:pt idx="2">
                  <c:v>3340278.2002666667</c:v>
                </c:pt>
                <c:pt idx="3">
                  <c:v>3851954.9221383333</c:v>
                </c:pt>
                <c:pt idx="4">
                  <c:v>4707988.2654006416</c:v>
                </c:pt>
                <c:pt idx="5">
                  <c:v>7453972.0027685557</c:v>
                </c:pt>
                <c:pt idx="6">
                  <c:v>8706884.1876140162</c:v>
                </c:pt>
                <c:pt idx="7">
                  <c:v>10261910.32880237</c:v>
                </c:pt>
                <c:pt idx="8">
                  <c:v>13059235.39021039</c:v>
                </c:pt>
                <c:pt idx="9">
                  <c:v>13697474.299461108</c:v>
                </c:pt>
                <c:pt idx="10">
                  <c:v>13643403.344848795</c:v>
                </c:pt>
                <c:pt idx="11">
                  <c:v>13588176.085997552</c:v>
                </c:pt>
                <c:pt idx="12">
                  <c:v>13501505.143440565</c:v>
                </c:pt>
                <c:pt idx="13">
                  <c:v>13445454.820596362</c:v>
                </c:pt>
                <c:pt idx="14">
                  <c:v>12752383.424366381</c:v>
                </c:pt>
                <c:pt idx="15">
                  <c:v>13224640.265117548</c:v>
                </c:pt>
                <c:pt idx="16">
                  <c:v>10320198.08206496</c:v>
                </c:pt>
                <c:pt idx="17">
                  <c:v>10082267.341654636</c:v>
                </c:pt>
                <c:pt idx="18">
                  <c:v>9676942.7899463624</c:v>
                </c:pt>
                <c:pt idx="19">
                  <c:v>9214600.7509966306</c:v>
                </c:pt>
                <c:pt idx="20">
                  <c:v>8161954.5522416467</c:v>
                </c:pt>
                <c:pt idx="21">
                  <c:v>7990225.5244804388</c:v>
                </c:pt>
                <c:pt idx="22">
                  <c:v>7950117.001858037</c:v>
                </c:pt>
              </c:numCache>
            </c:numRef>
          </c:val>
          <c:extLst>
            <c:ext xmlns:c16="http://schemas.microsoft.com/office/drawing/2014/chart" uri="{C3380CC4-5D6E-409C-BE32-E72D297353CC}">
              <c16:uniqueId val="{00000001-734F-440C-9C11-E60A65DA2FCA}"/>
            </c:ext>
          </c:extLst>
        </c:ser>
        <c:dLbls>
          <c:showLegendKey val="0"/>
          <c:showVal val="0"/>
          <c:showCatName val="0"/>
          <c:showSerName val="0"/>
          <c:showPercent val="0"/>
          <c:showBubbleSize val="0"/>
        </c:dLbls>
        <c:gapWidth val="52"/>
        <c:overlap val="100"/>
        <c:axId val="755775744"/>
        <c:axId val="660243024"/>
      </c:barChart>
      <c:catAx>
        <c:axId val="75577574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Delivery</a:t>
                </a:r>
                <a:r>
                  <a:rPr lang="en-US" baseline="0"/>
                  <a:t> Year</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0243024"/>
        <c:crosses val="autoZero"/>
        <c:auto val="1"/>
        <c:lblAlgn val="ctr"/>
        <c:lblOffset val="100"/>
        <c:noMultiLvlLbl val="0"/>
      </c:catAx>
      <c:valAx>
        <c:axId val="660243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Annual</a:t>
                </a:r>
                <a:r>
                  <a:rPr lang="en-US" baseline="0"/>
                  <a:t>  REC Deliveries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5775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'Ch. 3 Tables and Graphs'!$J$141</c:f>
              <c:strCache>
                <c:ptCount val="1"/>
                <c:pt idx="0">
                  <c:v>Under Contract</c:v>
                </c:pt>
              </c:strCache>
            </c:strRef>
          </c:tx>
          <c:spPr>
            <a:solidFill>
              <a:schemeClr val="accent1"/>
            </a:solidFill>
            <a:ln>
              <a:noFill/>
            </a:ln>
            <a:effectLst/>
          </c:spPr>
          <c:cat>
            <c:strRef>
              <c:f>'Ch. 3 Tables and Graphs'!$K$140:$AC$140</c:f>
              <c:strCache>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strCache>
            </c:strRef>
          </c:cat>
          <c:val>
            <c:numRef>
              <c:f>'Ch. 3 Tables and Graphs'!$K$141:$AC$141</c:f>
              <c:numCache>
                <c:formatCode>_(* #,##0_);_(* \(#,##0\);_(* "-"??_);_(@_)</c:formatCode>
                <c:ptCount val="19"/>
                <c:pt idx="0">
                  <c:v>8539707.5745999999</c:v>
                </c:pt>
                <c:pt idx="1">
                  <c:v>11741346.51980548</c:v>
                </c:pt>
                <c:pt idx="2">
                  <c:v>13498628.329120548</c:v>
                </c:pt>
                <c:pt idx="3">
                  <c:v>16284639.088135274</c:v>
                </c:pt>
                <c:pt idx="4">
                  <c:v>20376708.329397313</c:v>
                </c:pt>
                <c:pt idx="5">
                  <c:v>21581073.218818195</c:v>
                </c:pt>
                <c:pt idx="6">
                  <c:v>21527315.361434095</c:v>
                </c:pt>
                <c:pt idx="7">
                  <c:v>21472399.634324927</c:v>
                </c:pt>
                <c:pt idx="8">
                  <c:v>19555629.665851302</c:v>
                </c:pt>
                <c:pt idx="9">
                  <c:v>19069887.767220046</c:v>
                </c:pt>
                <c:pt idx="10">
                  <c:v>18377123.253081948</c:v>
                </c:pt>
                <c:pt idx="11">
                  <c:v>18549685.441514537</c:v>
                </c:pt>
                <c:pt idx="12">
                  <c:v>14310028.079404963</c:v>
                </c:pt>
                <c:pt idx="13">
                  <c:v>14072399.640832938</c:v>
                </c:pt>
                <c:pt idx="14">
                  <c:v>13667375.879453773</c:v>
                </c:pt>
                <c:pt idx="15">
                  <c:v>13205333.126881504</c:v>
                </c:pt>
                <c:pt idx="16">
                  <c:v>12152984.718072098</c:v>
                </c:pt>
                <c:pt idx="17">
                  <c:v>11981551.991306737</c:v>
                </c:pt>
                <c:pt idx="18">
                  <c:v>9238957.2881752029</c:v>
                </c:pt>
              </c:numCache>
            </c:numRef>
          </c:val>
          <c:extLst>
            <c:ext xmlns:c16="http://schemas.microsoft.com/office/drawing/2014/chart" uri="{C3380CC4-5D6E-409C-BE32-E72D297353CC}">
              <c16:uniqueId val="{00000000-711A-43E2-9E2C-83167BC4F78F}"/>
            </c:ext>
          </c:extLst>
        </c:ser>
        <c:ser>
          <c:idx val="2"/>
          <c:order val="1"/>
          <c:tx>
            <c:strRef>
              <c:f>'Ch. 3 Tables and Graphs'!$J$143</c:f>
              <c:strCache>
                <c:ptCount val="1"/>
                <c:pt idx="0">
                  <c:v>Anticipated LTP 2024</c:v>
                </c:pt>
              </c:strCache>
            </c:strRef>
          </c:tx>
          <c:spPr>
            <a:solidFill>
              <a:schemeClr val="accent3"/>
            </a:solidFill>
            <a:ln>
              <a:noFill/>
            </a:ln>
            <a:effectLst/>
          </c:spPr>
          <c:cat>
            <c:strRef>
              <c:f>'Ch. 3 Tables and Graphs'!$K$140:$AC$140</c:f>
              <c:strCache>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strCache>
            </c:strRef>
          </c:cat>
          <c:val>
            <c:numRef>
              <c:f>'Ch. 3 Tables and Graphs'!$K$143:$AC$143</c:f>
              <c:numCache>
                <c:formatCode>_(* #,##0_);_(* \(#,##0\);_(* "-"??_);_(@_)</c:formatCode>
                <c:ptCount val="19"/>
                <c:pt idx="1">
                  <c:v>397808.0692683431</c:v>
                </c:pt>
                <c:pt idx="2">
                  <c:v>1150981.3031365303</c:v>
                </c:pt>
                <c:pt idx="3">
                  <c:v>1512527.5902208472</c:v>
                </c:pt>
                <c:pt idx="4">
                  <c:v>2992037.6641190583</c:v>
                </c:pt>
                <c:pt idx="5">
                  <c:v>8460451.6318049692</c:v>
                </c:pt>
                <c:pt idx="6">
                  <c:v>9393295.2894706018</c:v>
                </c:pt>
                <c:pt idx="7">
                  <c:v>9373063.1114232484</c:v>
                </c:pt>
                <c:pt idx="8">
                  <c:v>9352932.0942661315</c:v>
                </c:pt>
                <c:pt idx="9">
                  <c:v>9332901.7321948018</c:v>
                </c:pt>
                <c:pt idx="10">
                  <c:v>9312971.5219338275</c:v>
                </c:pt>
                <c:pt idx="11">
                  <c:v>9293140.9627241585</c:v>
                </c:pt>
                <c:pt idx="12">
                  <c:v>9273409.5563105382</c:v>
                </c:pt>
                <c:pt idx="13">
                  <c:v>9253776.8069289848</c:v>
                </c:pt>
                <c:pt idx="14">
                  <c:v>9234242.2212943416</c:v>
                </c:pt>
                <c:pt idx="15">
                  <c:v>9214805.3085878696</c:v>
                </c:pt>
                <c:pt idx="16">
                  <c:v>9021527.0043001603</c:v>
                </c:pt>
                <c:pt idx="17">
                  <c:v>8475980.9839695729</c:v>
                </c:pt>
                <c:pt idx="18">
                  <c:v>8416374.4497860745</c:v>
                </c:pt>
              </c:numCache>
            </c:numRef>
          </c:val>
          <c:extLst>
            <c:ext xmlns:c16="http://schemas.microsoft.com/office/drawing/2014/chart" uri="{C3380CC4-5D6E-409C-BE32-E72D297353CC}">
              <c16:uniqueId val="{00000002-711A-43E2-9E2C-83167BC4F78F}"/>
            </c:ext>
          </c:extLst>
        </c:ser>
        <c:ser>
          <c:idx val="3"/>
          <c:order val="2"/>
          <c:tx>
            <c:strRef>
              <c:f>'Ch. 3 Tables and Graphs'!$J$144</c:f>
              <c:strCache>
                <c:ptCount val="1"/>
                <c:pt idx="0">
                  <c:v>Anticipated LTP 2026</c:v>
                </c:pt>
              </c:strCache>
            </c:strRef>
          </c:tx>
          <c:spPr>
            <a:solidFill>
              <a:schemeClr val="accent4"/>
            </a:solidFill>
            <a:ln>
              <a:noFill/>
            </a:ln>
            <a:effectLst/>
          </c:spPr>
          <c:cat>
            <c:strRef>
              <c:f>'Ch. 3 Tables and Graphs'!$K$140:$AC$140</c:f>
              <c:strCache>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strCache>
            </c:strRef>
          </c:cat>
          <c:val>
            <c:numRef>
              <c:f>'Ch. 3 Tables and Graphs'!$K$144:$AC$144</c:f>
              <c:numCache>
                <c:formatCode>_(* #,##0_);_(* \(#,##0\);_(* "-"??_);_(@_)</c:formatCode>
                <c:ptCount val="19"/>
                <c:pt idx="1">
                  <c:v>0</c:v>
                </c:pt>
                <c:pt idx="2">
                  <c:v>0</c:v>
                </c:pt>
                <c:pt idx="3">
                  <c:v>722367.5232145288</c:v>
                </c:pt>
                <c:pt idx="4">
                  <c:v>1808424.4024129848</c:v>
                </c:pt>
                <c:pt idx="5">
                  <c:v>2166683.4740009196</c:v>
                </c:pt>
                <c:pt idx="6">
                  <c:v>6240850.056630915</c:v>
                </c:pt>
                <c:pt idx="7">
                  <c:v>10307145.806347761</c:v>
                </c:pt>
                <c:pt idx="8">
                  <c:v>10280610.077316022</c:v>
                </c:pt>
                <c:pt idx="9">
                  <c:v>10254207.026929442</c:v>
                </c:pt>
                <c:pt idx="10">
                  <c:v>10227935.991794795</c:v>
                </c:pt>
                <c:pt idx="11">
                  <c:v>10201796.311835822</c:v>
                </c:pt>
                <c:pt idx="12">
                  <c:v>10175787.330276642</c:v>
                </c:pt>
                <c:pt idx="13">
                  <c:v>10149908.393625259</c:v>
                </c:pt>
                <c:pt idx="14">
                  <c:v>10124158.851657134</c:v>
                </c:pt>
                <c:pt idx="15">
                  <c:v>10098538.057398846</c:v>
                </c:pt>
                <c:pt idx="16">
                  <c:v>10073045.367111852</c:v>
                </c:pt>
                <c:pt idx="17">
                  <c:v>10047680.140276292</c:v>
                </c:pt>
                <c:pt idx="18">
                  <c:v>9495269.0558658261</c:v>
                </c:pt>
              </c:numCache>
            </c:numRef>
          </c:val>
          <c:extLst>
            <c:ext xmlns:c16="http://schemas.microsoft.com/office/drawing/2014/chart" uri="{C3380CC4-5D6E-409C-BE32-E72D297353CC}">
              <c16:uniqueId val="{00000003-711A-43E2-9E2C-83167BC4F78F}"/>
            </c:ext>
          </c:extLst>
        </c:ser>
        <c:ser>
          <c:idx val="4"/>
          <c:order val="3"/>
          <c:tx>
            <c:strRef>
              <c:f>'Ch. 3 Tables and Graphs'!$J$145</c:f>
              <c:strCache>
                <c:ptCount val="1"/>
                <c:pt idx="0">
                  <c:v>Anticipated LTP 2028</c:v>
                </c:pt>
              </c:strCache>
            </c:strRef>
          </c:tx>
          <c:spPr>
            <a:solidFill>
              <a:schemeClr val="accent5"/>
            </a:solidFill>
            <a:ln>
              <a:noFill/>
            </a:ln>
            <a:effectLst/>
          </c:spPr>
          <c:cat>
            <c:strRef>
              <c:f>'Ch. 3 Tables and Graphs'!$K$140:$AC$140</c:f>
              <c:strCache>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strCache>
            </c:strRef>
          </c:cat>
          <c:val>
            <c:numRef>
              <c:f>'Ch. 3 Tables and Graphs'!$K$145:$AC$145</c:f>
              <c:numCache>
                <c:formatCode>_(* #,##0_);_(* \(#,##0\);_(* "-"??_);_(@_)</c:formatCode>
                <c:ptCount val="19"/>
                <c:pt idx="1">
                  <c:v>0</c:v>
                </c:pt>
                <c:pt idx="2">
                  <c:v>0</c:v>
                </c:pt>
                <c:pt idx="3">
                  <c:v>0</c:v>
                </c:pt>
                <c:pt idx="4">
                  <c:v>0</c:v>
                </c:pt>
                <c:pt idx="5">
                  <c:v>722367.5232145288</c:v>
                </c:pt>
                <c:pt idx="6">
                  <c:v>1808424.4024129848</c:v>
                </c:pt>
                <c:pt idx="7">
                  <c:v>2166683.4740009196</c:v>
                </c:pt>
                <c:pt idx="8">
                  <c:v>5740850.056630915</c:v>
                </c:pt>
                <c:pt idx="9">
                  <c:v>9309645.8063477613</c:v>
                </c:pt>
                <c:pt idx="10">
                  <c:v>9288097.5773160215</c:v>
                </c:pt>
                <c:pt idx="11">
                  <c:v>9266657.0894294418</c:v>
                </c:pt>
                <c:pt idx="12">
                  <c:v>9245323.8039822951</c:v>
                </c:pt>
                <c:pt idx="13">
                  <c:v>9224097.1849623844</c:v>
                </c:pt>
                <c:pt idx="14">
                  <c:v>9202976.6990375705</c:v>
                </c:pt>
                <c:pt idx="15">
                  <c:v>9181961.8155423831</c:v>
                </c:pt>
                <c:pt idx="16">
                  <c:v>9161052.0064646713</c:v>
                </c:pt>
                <c:pt idx="17">
                  <c:v>9140246.7464323472</c:v>
                </c:pt>
                <c:pt idx="18">
                  <c:v>9119545.5127001852</c:v>
                </c:pt>
              </c:numCache>
            </c:numRef>
          </c:val>
          <c:extLst>
            <c:ext xmlns:c16="http://schemas.microsoft.com/office/drawing/2014/chart" uri="{C3380CC4-5D6E-409C-BE32-E72D297353CC}">
              <c16:uniqueId val="{00000004-711A-43E2-9E2C-83167BC4F78F}"/>
            </c:ext>
          </c:extLst>
        </c:ser>
        <c:ser>
          <c:idx val="5"/>
          <c:order val="4"/>
          <c:tx>
            <c:strRef>
              <c:f>'Ch. 3 Tables and Graphs'!$J$146</c:f>
              <c:strCache>
                <c:ptCount val="1"/>
                <c:pt idx="0">
                  <c:v>Anticipated LTP 2030</c:v>
                </c:pt>
              </c:strCache>
            </c:strRef>
          </c:tx>
          <c:spPr>
            <a:solidFill>
              <a:schemeClr val="accent6"/>
            </a:solidFill>
            <a:ln>
              <a:noFill/>
            </a:ln>
            <a:effectLst/>
          </c:spPr>
          <c:cat>
            <c:strRef>
              <c:f>'Ch. 3 Tables and Graphs'!$K$140:$AC$140</c:f>
              <c:strCache>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strCache>
            </c:strRef>
          </c:cat>
          <c:val>
            <c:numRef>
              <c:f>'Ch. 3 Tables and Graphs'!$K$146:$AC$146</c:f>
              <c:numCache>
                <c:formatCode>_(* #,##0_);_(* \(#,##0\);_(* "-"??_);_(@_)</c:formatCode>
                <c:ptCount val="19"/>
                <c:pt idx="1">
                  <c:v>0</c:v>
                </c:pt>
                <c:pt idx="2">
                  <c:v>0</c:v>
                </c:pt>
                <c:pt idx="3">
                  <c:v>0</c:v>
                </c:pt>
                <c:pt idx="4">
                  <c:v>0</c:v>
                </c:pt>
                <c:pt idx="5">
                  <c:v>0</c:v>
                </c:pt>
                <c:pt idx="6">
                  <c:v>0</c:v>
                </c:pt>
                <c:pt idx="7">
                  <c:v>722367.5232145288</c:v>
                </c:pt>
                <c:pt idx="8">
                  <c:v>1808424.4024129848</c:v>
                </c:pt>
                <c:pt idx="9">
                  <c:v>2166683.4740009196</c:v>
                </c:pt>
                <c:pt idx="10">
                  <c:v>3990850.056630915</c:v>
                </c:pt>
                <c:pt idx="11">
                  <c:v>5810895.8063477604</c:v>
                </c:pt>
                <c:pt idx="12">
                  <c:v>5791841.3273160215</c:v>
                </c:pt>
                <c:pt idx="13">
                  <c:v>5772882.1206794418</c:v>
                </c:pt>
                <c:pt idx="14">
                  <c:v>5754017.7100760452</c:v>
                </c:pt>
                <c:pt idx="15">
                  <c:v>5735247.6215256648</c:v>
                </c:pt>
                <c:pt idx="16">
                  <c:v>5716571.3834180366</c:v>
                </c:pt>
                <c:pt idx="17">
                  <c:v>5697988.5265009459</c:v>
                </c:pt>
                <c:pt idx="18">
                  <c:v>5679498.5838684412</c:v>
                </c:pt>
              </c:numCache>
            </c:numRef>
          </c:val>
          <c:extLst>
            <c:ext xmlns:c16="http://schemas.microsoft.com/office/drawing/2014/chart" uri="{C3380CC4-5D6E-409C-BE32-E72D297353CC}">
              <c16:uniqueId val="{00000005-711A-43E2-9E2C-83167BC4F78F}"/>
            </c:ext>
          </c:extLst>
        </c:ser>
        <c:ser>
          <c:idx val="6"/>
          <c:order val="5"/>
          <c:tx>
            <c:strRef>
              <c:f>'Ch. 3 Tables and Graphs'!$J$147</c:f>
              <c:strCache>
                <c:ptCount val="1"/>
                <c:pt idx="0">
                  <c:v>Anticipated LTP 2032</c:v>
                </c:pt>
              </c:strCache>
            </c:strRef>
          </c:tx>
          <c:spPr>
            <a:solidFill>
              <a:schemeClr val="accent1">
                <a:lumMod val="60000"/>
              </a:schemeClr>
            </a:solidFill>
            <a:ln>
              <a:noFill/>
            </a:ln>
            <a:effectLst/>
          </c:spPr>
          <c:cat>
            <c:strRef>
              <c:f>'Ch. 3 Tables and Graphs'!$K$140:$AC$140</c:f>
              <c:strCache>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strCache>
            </c:strRef>
          </c:cat>
          <c:val>
            <c:numRef>
              <c:f>'Ch. 3 Tables and Graphs'!$K$147:$AC$147</c:f>
              <c:numCache>
                <c:formatCode>_(* #,##0_);_(* \(#,##0\);_(* "-"??_);_(@_)</c:formatCode>
                <c:ptCount val="19"/>
                <c:pt idx="1">
                  <c:v>0</c:v>
                </c:pt>
                <c:pt idx="2">
                  <c:v>0</c:v>
                </c:pt>
                <c:pt idx="3">
                  <c:v>0</c:v>
                </c:pt>
                <c:pt idx="4">
                  <c:v>0</c:v>
                </c:pt>
                <c:pt idx="5">
                  <c:v>0</c:v>
                </c:pt>
                <c:pt idx="6">
                  <c:v>0</c:v>
                </c:pt>
                <c:pt idx="7">
                  <c:v>0</c:v>
                </c:pt>
                <c:pt idx="8">
                  <c:v>0</c:v>
                </c:pt>
                <c:pt idx="9">
                  <c:v>722367.5232145288</c:v>
                </c:pt>
                <c:pt idx="10">
                  <c:v>1447240.6408057204</c:v>
                </c:pt>
                <c:pt idx="11">
                  <c:v>1623655.034401692</c:v>
                </c:pt>
                <c:pt idx="12">
                  <c:v>3450536.7592296833</c:v>
                </c:pt>
                <c:pt idx="13">
                  <c:v>5273284.0754335355</c:v>
                </c:pt>
                <c:pt idx="14">
                  <c:v>5256917.6550563676</c:v>
                </c:pt>
                <c:pt idx="15">
                  <c:v>5240633.066781085</c:v>
                </c:pt>
                <c:pt idx="16">
                  <c:v>5224429.9014471797</c:v>
                </c:pt>
                <c:pt idx="17">
                  <c:v>5208307.7519399449</c:v>
                </c:pt>
                <c:pt idx="18">
                  <c:v>5192266.2131802449</c:v>
                </c:pt>
              </c:numCache>
            </c:numRef>
          </c:val>
          <c:extLst>
            <c:ext xmlns:c16="http://schemas.microsoft.com/office/drawing/2014/chart" uri="{C3380CC4-5D6E-409C-BE32-E72D297353CC}">
              <c16:uniqueId val="{00000006-711A-43E2-9E2C-83167BC4F78F}"/>
            </c:ext>
          </c:extLst>
        </c:ser>
        <c:ser>
          <c:idx val="7"/>
          <c:order val="6"/>
          <c:tx>
            <c:strRef>
              <c:f>'Ch. 3 Tables and Graphs'!$J$148</c:f>
              <c:strCache>
                <c:ptCount val="1"/>
                <c:pt idx="0">
                  <c:v>Anticipated LTP 2034</c:v>
                </c:pt>
              </c:strCache>
            </c:strRef>
          </c:tx>
          <c:spPr>
            <a:solidFill>
              <a:schemeClr val="accent2">
                <a:lumMod val="60000"/>
              </a:schemeClr>
            </a:solidFill>
            <a:ln>
              <a:noFill/>
            </a:ln>
            <a:effectLst/>
          </c:spPr>
          <c:cat>
            <c:strRef>
              <c:f>'Ch. 3 Tables and Graphs'!$K$140:$AC$140</c:f>
              <c:strCache>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strCache>
            </c:strRef>
          </c:cat>
          <c:val>
            <c:numRef>
              <c:f>'Ch. 3 Tables and Graphs'!$K$148:$AC$148</c:f>
              <c:numCache>
                <c:formatCode>_(* #,##0_);_(* \(#,##0\);_(* "-"??_);_(@_)</c:formatCode>
                <c:ptCount val="19"/>
                <c:pt idx="1">
                  <c:v>0</c:v>
                </c:pt>
                <c:pt idx="2">
                  <c:v>0</c:v>
                </c:pt>
                <c:pt idx="3">
                  <c:v>0</c:v>
                </c:pt>
                <c:pt idx="4">
                  <c:v>0</c:v>
                </c:pt>
                <c:pt idx="5">
                  <c:v>0</c:v>
                </c:pt>
                <c:pt idx="6">
                  <c:v>0</c:v>
                </c:pt>
                <c:pt idx="7">
                  <c:v>0</c:v>
                </c:pt>
                <c:pt idx="8">
                  <c:v>0</c:v>
                </c:pt>
                <c:pt idx="9">
                  <c:v>0</c:v>
                </c:pt>
                <c:pt idx="10">
                  <c:v>0</c:v>
                </c:pt>
                <c:pt idx="11">
                  <c:v>361183.7616072644</c:v>
                </c:pt>
                <c:pt idx="12">
                  <c:v>904212.20120649238</c:v>
                </c:pt>
                <c:pt idx="13">
                  <c:v>1083341.7370004598</c:v>
                </c:pt>
                <c:pt idx="14">
                  <c:v>2912925.0283154575</c:v>
                </c:pt>
                <c:pt idx="15">
                  <c:v>4738360.4031738807</c:v>
                </c:pt>
                <c:pt idx="16">
                  <c:v>4724668.6011580108</c:v>
                </c:pt>
                <c:pt idx="17">
                  <c:v>4711045.2581522204</c:v>
                </c:pt>
                <c:pt idx="18">
                  <c:v>4697490.0318614598</c:v>
                </c:pt>
              </c:numCache>
            </c:numRef>
          </c:val>
          <c:extLst>
            <c:ext xmlns:c16="http://schemas.microsoft.com/office/drawing/2014/chart" uri="{C3380CC4-5D6E-409C-BE32-E72D297353CC}">
              <c16:uniqueId val="{00000007-711A-43E2-9E2C-83167BC4F78F}"/>
            </c:ext>
          </c:extLst>
        </c:ser>
        <c:ser>
          <c:idx val="8"/>
          <c:order val="7"/>
          <c:tx>
            <c:strRef>
              <c:f>'Ch. 3 Tables and Graphs'!$J$149</c:f>
              <c:strCache>
                <c:ptCount val="1"/>
                <c:pt idx="0">
                  <c:v>Anticipated LTP 2036</c:v>
                </c:pt>
              </c:strCache>
            </c:strRef>
          </c:tx>
          <c:spPr>
            <a:solidFill>
              <a:schemeClr val="accent3">
                <a:lumMod val="60000"/>
              </a:schemeClr>
            </a:solidFill>
            <a:ln>
              <a:noFill/>
            </a:ln>
            <a:effectLst/>
          </c:spPr>
          <c:cat>
            <c:strRef>
              <c:f>'Ch. 3 Tables and Graphs'!$K$140:$AC$140</c:f>
              <c:strCache>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strCache>
            </c:strRef>
          </c:cat>
          <c:val>
            <c:numRef>
              <c:f>'Ch. 3 Tables and Graphs'!$K$149:$AC$149</c:f>
              <c:numCache>
                <c:formatCode>_(* #,##0_);_(* \(#,##0\);_(* "-"??_);_(@_)</c:formatCode>
                <c:ptCount val="19"/>
                <c:pt idx="1">
                  <c:v>0</c:v>
                </c:pt>
                <c:pt idx="2">
                  <c:v>0</c:v>
                </c:pt>
                <c:pt idx="3">
                  <c:v>0</c:v>
                </c:pt>
                <c:pt idx="4">
                  <c:v>0</c:v>
                </c:pt>
                <c:pt idx="5">
                  <c:v>0</c:v>
                </c:pt>
                <c:pt idx="6">
                  <c:v>0</c:v>
                </c:pt>
                <c:pt idx="7">
                  <c:v>0</c:v>
                </c:pt>
                <c:pt idx="8">
                  <c:v>0</c:v>
                </c:pt>
                <c:pt idx="9">
                  <c:v>0</c:v>
                </c:pt>
                <c:pt idx="10">
                  <c:v>0</c:v>
                </c:pt>
                <c:pt idx="11">
                  <c:v>0</c:v>
                </c:pt>
                <c:pt idx="12">
                  <c:v>0</c:v>
                </c:pt>
                <c:pt idx="13">
                  <c:v>361183.7616072644</c:v>
                </c:pt>
                <c:pt idx="14">
                  <c:v>904212.20120649238</c:v>
                </c:pt>
                <c:pt idx="15">
                  <c:v>1083341.7370004598</c:v>
                </c:pt>
                <c:pt idx="16">
                  <c:v>2912925.0283154575</c:v>
                </c:pt>
                <c:pt idx="17">
                  <c:v>4738360.4031738807</c:v>
                </c:pt>
                <c:pt idx="18">
                  <c:v>4724668.6011580108</c:v>
                </c:pt>
              </c:numCache>
            </c:numRef>
          </c:val>
          <c:extLst>
            <c:ext xmlns:c16="http://schemas.microsoft.com/office/drawing/2014/chart" uri="{C3380CC4-5D6E-409C-BE32-E72D297353CC}">
              <c16:uniqueId val="{00000008-711A-43E2-9E2C-83167BC4F78F}"/>
            </c:ext>
          </c:extLst>
        </c:ser>
        <c:ser>
          <c:idx val="9"/>
          <c:order val="8"/>
          <c:tx>
            <c:strRef>
              <c:f>'Ch. 3 Tables and Graphs'!$J$150</c:f>
              <c:strCache>
                <c:ptCount val="1"/>
                <c:pt idx="0">
                  <c:v>Anticipated LTP 2038</c:v>
                </c:pt>
              </c:strCache>
            </c:strRef>
          </c:tx>
          <c:spPr>
            <a:solidFill>
              <a:schemeClr val="accent4">
                <a:lumMod val="60000"/>
              </a:schemeClr>
            </a:solidFill>
            <a:ln>
              <a:noFill/>
            </a:ln>
            <a:effectLst/>
          </c:spPr>
          <c:cat>
            <c:strRef>
              <c:f>'Ch. 3 Tables and Graphs'!$K$140:$AC$140</c:f>
              <c:strCache>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strCache>
            </c:strRef>
          </c:cat>
          <c:val>
            <c:numRef>
              <c:f>'Ch. 3 Tables and Graphs'!$K$150:$AC$150</c:f>
              <c:numCache>
                <c:formatCode>_(* #,##0_);_(* \(#,##0\);_(* "-"??_);_(@_)</c:formatCode>
                <c:ptCount val="19"/>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361183.7616072644</c:v>
                </c:pt>
                <c:pt idx="16">
                  <c:v>904212.20120649238</c:v>
                </c:pt>
                <c:pt idx="17">
                  <c:v>1083341.7370004598</c:v>
                </c:pt>
                <c:pt idx="18">
                  <c:v>2912925.0283154575</c:v>
                </c:pt>
              </c:numCache>
            </c:numRef>
          </c:val>
          <c:extLst>
            <c:ext xmlns:c16="http://schemas.microsoft.com/office/drawing/2014/chart" uri="{C3380CC4-5D6E-409C-BE32-E72D297353CC}">
              <c16:uniqueId val="{00000009-711A-43E2-9E2C-83167BC4F78F}"/>
            </c:ext>
          </c:extLst>
        </c:ser>
        <c:ser>
          <c:idx val="10"/>
          <c:order val="9"/>
          <c:tx>
            <c:strRef>
              <c:f>'Ch. 3 Tables and Graphs'!$J$151</c:f>
              <c:strCache>
                <c:ptCount val="1"/>
                <c:pt idx="0">
                  <c:v>Anticipated LTP 2040</c:v>
                </c:pt>
              </c:strCache>
            </c:strRef>
          </c:tx>
          <c:spPr>
            <a:solidFill>
              <a:schemeClr val="accent5">
                <a:lumMod val="60000"/>
              </a:schemeClr>
            </a:solidFill>
            <a:ln>
              <a:noFill/>
            </a:ln>
            <a:effectLst/>
          </c:spPr>
          <c:cat>
            <c:strRef>
              <c:f>'Ch. 3 Tables and Graphs'!$K$140:$AC$140</c:f>
              <c:strCache>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strCache>
            </c:strRef>
          </c:cat>
          <c:val>
            <c:numRef>
              <c:f>'Ch. 3 Tables and Graphs'!$K$151:$AC$151</c:f>
              <c:numCache>
                <c:formatCode>_(* #,##0_);_(* \(#,##0\);_(* "-"??_);_(@_)</c:formatCode>
                <c:ptCount val="19"/>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722367.5232145288</c:v>
                </c:pt>
                <c:pt idx="18">
                  <c:v>1086056.879198456</c:v>
                </c:pt>
              </c:numCache>
            </c:numRef>
          </c:val>
          <c:extLst>
            <c:ext xmlns:c16="http://schemas.microsoft.com/office/drawing/2014/chart" uri="{C3380CC4-5D6E-409C-BE32-E72D297353CC}">
              <c16:uniqueId val="{0000000A-711A-43E2-9E2C-83167BC4F78F}"/>
            </c:ext>
          </c:extLst>
        </c:ser>
        <c:dLbls>
          <c:showLegendKey val="0"/>
          <c:showVal val="0"/>
          <c:showCatName val="0"/>
          <c:showSerName val="0"/>
          <c:showPercent val="0"/>
          <c:showBubbleSize val="0"/>
        </c:dLbls>
        <c:axId val="695829176"/>
        <c:axId val="695828456"/>
      </c:areaChart>
      <c:lineChart>
        <c:grouping val="standard"/>
        <c:varyColors val="0"/>
        <c:ser>
          <c:idx val="11"/>
          <c:order val="10"/>
          <c:tx>
            <c:strRef>
              <c:f>'Ch. 3 Tables and Graphs'!$J$152</c:f>
              <c:strCache>
                <c:ptCount val="1"/>
                <c:pt idx="0">
                  <c:v> RPS Target Amount </c:v>
                </c:pt>
              </c:strCache>
            </c:strRef>
          </c:tx>
          <c:spPr>
            <a:ln w="28575" cap="rnd">
              <a:solidFill>
                <a:schemeClr val="accent6">
                  <a:lumMod val="60000"/>
                </a:schemeClr>
              </a:solidFill>
              <a:round/>
            </a:ln>
            <a:effectLst/>
          </c:spPr>
          <c:marker>
            <c:symbol val="none"/>
          </c:marker>
          <c:cat>
            <c:strRef>
              <c:f>'Ch. 3 Tables and Graphs'!$K$140:$AC$140</c:f>
              <c:strCache>
                <c:ptCount val="19"/>
                <c:pt idx="0">
                  <c:v>2024-25</c:v>
                </c:pt>
                <c:pt idx="1">
                  <c:v>2025-26</c:v>
                </c:pt>
                <c:pt idx="2">
                  <c:v>2026-27</c:v>
                </c:pt>
                <c:pt idx="3">
                  <c:v>2027-28</c:v>
                </c:pt>
                <c:pt idx="4">
                  <c:v>2028-29</c:v>
                </c:pt>
                <c:pt idx="5">
                  <c:v>2029-30</c:v>
                </c:pt>
                <c:pt idx="6">
                  <c:v>2030-31</c:v>
                </c:pt>
                <c:pt idx="7">
                  <c:v>2031-32</c:v>
                </c:pt>
                <c:pt idx="8">
                  <c:v>2032-33</c:v>
                </c:pt>
                <c:pt idx="9">
                  <c:v>2033-34</c:v>
                </c:pt>
                <c:pt idx="10">
                  <c:v>2034-35</c:v>
                </c:pt>
                <c:pt idx="11">
                  <c:v>2035-36</c:v>
                </c:pt>
                <c:pt idx="12">
                  <c:v>2036-37</c:v>
                </c:pt>
                <c:pt idx="13">
                  <c:v>2037-38</c:v>
                </c:pt>
                <c:pt idx="14">
                  <c:v>2038-39</c:v>
                </c:pt>
                <c:pt idx="15">
                  <c:v>2039-40</c:v>
                </c:pt>
                <c:pt idx="16">
                  <c:v>2040-41</c:v>
                </c:pt>
                <c:pt idx="17">
                  <c:v>2041-42</c:v>
                </c:pt>
                <c:pt idx="18">
                  <c:v>2042-43</c:v>
                </c:pt>
              </c:strCache>
            </c:strRef>
          </c:cat>
          <c:val>
            <c:numRef>
              <c:f>'Ch. 3 Tables and Graphs'!$K$152:$AC$152</c:f>
              <c:numCache>
                <c:formatCode>_(* #,##0_);_(* \(#,##0\);_(* "-"??_);_(@_)</c:formatCode>
                <c:ptCount val="19"/>
                <c:pt idx="0">
                  <c:v>27600405.588387385</c:v>
                </c:pt>
                <c:pt idx="1">
                  <c:v>29269236.747776389</c:v>
                </c:pt>
                <c:pt idx="2" formatCode="General">
                  <c:v>32647446.76482071</c:v>
                </c:pt>
                <c:pt idx="3" formatCode="General">
                  <c:v>36564970.261851996</c:v>
                </c:pt>
                <c:pt idx="4" formatCode="General">
                  <c:v>40854560.463967174</c:v>
                </c:pt>
                <c:pt idx="5" formatCode="General">
                  <c:v>45635924.231572881</c:v>
                </c:pt>
                <c:pt idx="6" formatCode="General">
                  <c:v>51084223.557349876</c:v>
                </c:pt>
                <c:pt idx="7" formatCode="General">
                  <c:v>54278954.691606775</c:v>
                </c:pt>
                <c:pt idx="8" formatCode="General">
                  <c:v>57647567.180061609</c:v>
                </c:pt>
                <c:pt idx="9" formatCode="General">
                  <c:v>60901985.082138978</c:v>
                </c:pt>
                <c:pt idx="10" formatCode="General">
                  <c:v>64130812.506270096</c:v>
                </c:pt>
                <c:pt idx="11" formatCode="General">
                  <c:v>67051743.884838134</c:v>
                </c:pt>
                <c:pt idx="12" formatCode="General">
                  <c:v>69669123.749054149</c:v>
                </c:pt>
                <c:pt idx="13" formatCode="General">
                  <c:v>71719438.231856823</c:v>
                </c:pt>
                <c:pt idx="14" formatCode="General">
                  <c:v>73807782.542708427</c:v>
                </c:pt>
                <c:pt idx="15" formatCode="General">
                  <c:v>75781990.962177396</c:v>
                </c:pt>
                <c:pt idx="16" formatCode="General">
                  <c:v>77887811.689798236</c:v>
                </c:pt>
                <c:pt idx="17" formatCode="General">
                  <c:v>78187706.648671687</c:v>
                </c:pt>
                <c:pt idx="18" formatCode="General">
                  <c:v>78497877.765333831</c:v>
                </c:pt>
              </c:numCache>
            </c:numRef>
          </c:val>
          <c:smooth val="0"/>
          <c:extLst>
            <c:ext xmlns:c16="http://schemas.microsoft.com/office/drawing/2014/chart" uri="{C3380CC4-5D6E-409C-BE32-E72D297353CC}">
              <c16:uniqueId val="{0000000B-711A-43E2-9E2C-83167BC4F78F}"/>
            </c:ext>
          </c:extLst>
        </c:ser>
        <c:dLbls>
          <c:showLegendKey val="0"/>
          <c:showVal val="0"/>
          <c:showCatName val="0"/>
          <c:showSerName val="0"/>
          <c:showPercent val="0"/>
          <c:showBubbleSize val="0"/>
        </c:dLbls>
        <c:marker val="1"/>
        <c:smooth val="0"/>
        <c:axId val="695829176"/>
        <c:axId val="695828456"/>
      </c:lineChart>
      <c:catAx>
        <c:axId val="6958291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Delivery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5828456"/>
        <c:crosses val="autoZero"/>
        <c:auto val="1"/>
        <c:lblAlgn val="ctr"/>
        <c:lblOffset val="100"/>
        <c:noMultiLvlLbl val="0"/>
      </c:catAx>
      <c:valAx>
        <c:axId val="6958284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Annual REC Deliveries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5829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Projected RPS Expenses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9949205034911"/>
          <c:y val="8.2637438813406378E-2"/>
          <c:w val="0.88540050794965086"/>
          <c:h val="0.74388625450939416"/>
        </c:manualLayout>
      </c:layout>
      <c:barChart>
        <c:barDir val="col"/>
        <c:grouping val="stacked"/>
        <c:varyColors val="0"/>
        <c:ser>
          <c:idx val="3"/>
          <c:order val="0"/>
          <c:tx>
            <c:strRef>
              <c:f>'$ Tables and Graphs'!$Y$3</c:f>
              <c:strCache>
                <c:ptCount val="1"/>
                <c:pt idx="0">
                  <c:v>Set Asides</c:v>
                </c:pt>
              </c:strCache>
            </c:strRef>
          </c:tx>
          <c:spPr>
            <a:solidFill>
              <a:schemeClr val="bg2"/>
            </a:solidFill>
            <a:ln>
              <a:noFill/>
            </a:ln>
            <a:effectLst/>
          </c:spPr>
          <c:invertIfNegative val="0"/>
          <c:cat>
            <c:strRef>
              <c:f>'$ Tables and Graphs'!$T$4:$T$26</c:f>
              <c:strCache>
                <c:ptCount val="23"/>
                <c:pt idx="0">
                  <c:v>2020-2021</c:v>
                </c:pt>
                <c:pt idx="1">
                  <c:v>2021-2022</c:v>
                </c:pt>
                <c:pt idx="2">
                  <c:v>2022-2023</c:v>
                </c:pt>
                <c:pt idx="3">
                  <c:v>2023-2024</c:v>
                </c:pt>
                <c:pt idx="4">
                  <c:v>2024-2025</c:v>
                </c:pt>
                <c:pt idx="5">
                  <c:v>2025-2026</c:v>
                </c:pt>
                <c:pt idx="6">
                  <c:v>2026-2027</c:v>
                </c:pt>
                <c:pt idx="7">
                  <c:v>2027-2028</c:v>
                </c:pt>
                <c:pt idx="8">
                  <c:v>2028-2029</c:v>
                </c:pt>
                <c:pt idx="9">
                  <c:v>2029-2030</c:v>
                </c:pt>
                <c:pt idx="10">
                  <c:v>2030-2031</c:v>
                </c:pt>
                <c:pt idx="11">
                  <c:v>2031-2032</c:v>
                </c:pt>
                <c:pt idx="12">
                  <c:v>2032-2033</c:v>
                </c:pt>
                <c:pt idx="13">
                  <c:v>2033-2034</c:v>
                </c:pt>
                <c:pt idx="14">
                  <c:v>2034-2035</c:v>
                </c:pt>
                <c:pt idx="15">
                  <c:v>2035-2036</c:v>
                </c:pt>
                <c:pt idx="16">
                  <c:v>2036-2037</c:v>
                </c:pt>
                <c:pt idx="17">
                  <c:v>2037-2038</c:v>
                </c:pt>
                <c:pt idx="18">
                  <c:v>2038-2039</c:v>
                </c:pt>
                <c:pt idx="19">
                  <c:v>2039-2040</c:v>
                </c:pt>
                <c:pt idx="20">
                  <c:v>2040-2041</c:v>
                </c:pt>
                <c:pt idx="21">
                  <c:v>2041-2042</c:v>
                </c:pt>
                <c:pt idx="22">
                  <c:v>2042-2043</c:v>
                </c:pt>
              </c:strCache>
            </c:strRef>
          </c:cat>
          <c:val>
            <c:numRef>
              <c:f>'$ Tables and Graphs'!$Y$4:$Y$26</c:f>
              <c:numCache>
                <c:formatCode>"$"#,##0_);[Red]\("$"#,##0\)</c:formatCode>
                <c:ptCount val="23"/>
                <c:pt idx="0">
                  <c:v>18018880.058405567</c:v>
                </c:pt>
                <c:pt idx="1">
                  <c:v>73942135.092404008</c:v>
                </c:pt>
                <c:pt idx="2">
                  <c:v>67623889.800951704</c:v>
                </c:pt>
                <c:pt idx="3">
                  <c:v>67322647.088471591</c:v>
                </c:pt>
                <c:pt idx="4">
                  <c:v>77198419.557390258</c:v>
                </c:pt>
                <c:pt idx="5">
                  <c:v>67145711.256652042</c:v>
                </c:pt>
                <c:pt idx="6">
                  <c:v>67095059.275192291</c:v>
                </c:pt>
                <c:pt idx="7">
                  <c:v>77304402.141023755</c:v>
                </c:pt>
                <c:pt idx="8">
                  <c:v>67640600.719584882</c:v>
                </c:pt>
                <c:pt idx="9">
                  <c:v>68123785.490454584</c:v>
                </c:pt>
                <c:pt idx="10">
                  <c:v>78786284.459790573</c:v>
                </c:pt>
                <c:pt idx="11">
                  <c:v>69538734.721551597</c:v>
                </c:pt>
                <c:pt idx="12">
                  <c:v>70311109.983324051</c:v>
                </c:pt>
                <c:pt idx="13">
                  <c:v>70999871.477821618</c:v>
                </c:pt>
                <c:pt idx="14">
                  <c:v>71638874.837884039</c:v>
                </c:pt>
                <c:pt idx="15">
                  <c:v>72135547.577141881</c:v>
                </c:pt>
                <c:pt idx="16">
                  <c:v>72499312.827168688</c:v>
                </c:pt>
                <c:pt idx="17">
                  <c:v>72653690.409483582</c:v>
                </c:pt>
                <c:pt idx="18">
                  <c:v>72801622.582818717</c:v>
                </c:pt>
                <c:pt idx="19">
                  <c:v>72896692.408557206</c:v>
                </c:pt>
                <c:pt idx="20">
                  <c:v>73015743.307197154</c:v>
                </c:pt>
                <c:pt idx="21">
                  <c:v>73106390.458387077</c:v>
                </c:pt>
                <c:pt idx="22">
                  <c:v>73199678.287410915</c:v>
                </c:pt>
              </c:numCache>
            </c:numRef>
          </c:val>
          <c:extLst>
            <c:ext xmlns:c16="http://schemas.microsoft.com/office/drawing/2014/chart" uri="{C3380CC4-5D6E-409C-BE32-E72D297353CC}">
              <c16:uniqueId val="{00000000-2553-479C-8535-85E23C6CAD83}"/>
            </c:ext>
          </c:extLst>
        </c:ser>
        <c:ser>
          <c:idx val="4"/>
          <c:order val="1"/>
          <c:tx>
            <c:strRef>
              <c:f>'$ Tables and Graphs'!$U$3</c:f>
              <c:strCache>
                <c:ptCount val="1"/>
                <c:pt idx="0">
                  <c:v>Under Contract</c:v>
                </c:pt>
              </c:strCache>
            </c:strRef>
          </c:tx>
          <c:spPr>
            <a:solidFill>
              <a:schemeClr val="accent5"/>
            </a:solidFill>
            <a:ln>
              <a:noFill/>
            </a:ln>
            <a:effectLst/>
          </c:spPr>
          <c:invertIfNegative val="0"/>
          <c:cat>
            <c:strRef>
              <c:f>'$ Tables and Graphs'!$T$4:$T$26</c:f>
              <c:strCache>
                <c:ptCount val="23"/>
                <c:pt idx="0">
                  <c:v>2020-2021</c:v>
                </c:pt>
                <c:pt idx="1">
                  <c:v>2021-2022</c:v>
                </c:pt>
                <c:pt idx="2">
                  <c:v>2022-2023</c:v>
                </c:pt>
                <c:pt idx="3">
                  <c:v>2023-2024</c:v>
                </c:pt>
                <c:pt idx="4">
                  <c:v>2024-2025</c:v>
                </c:pt>
                <c:pt idx="5">
                  <c:v>2025-2026</c:v>
                </c:pt>
                <c:pt idx="6">
                  <c:v>2026-2027</c:v>
                </c:pt>
                <c:pt idx="7">
                  <c:v>2027-2028</c:v>
                </c:pt>
                <c:pt idx="8">
                  <c:v>2028-2029</c:v>
                </c:pt>
                <c:pt idx="9">
                  <c:v>2029-2030</c:v>
                </c:pt>
                <c:pt idx="10">
                  <c:v>2030-2031</c:v>
                </c:pt>
                <c:pt idx="11">
                  <c:v>2031-2032</c:v>
                </c:pt>
                <c:pt idx="12">
                  <c:v>2032-2033</c:v>
                </c:pt>
                <c:pt idx="13">
                  <c:v>2033-2034</c:v>
                </c:pt>
                <c:pt idx="14">
                  <c:v>2034-2035</c:v>
                </c:pt>
                <c:pt idx="15">
                  <c:v>2035-2036</c:v>
                </c:pt>
                <c:pt idx="16">
                  <c:v>2036-2037</c:v>
                </c:pt>
                <c:pt idx="17">
                  <c:v>2037-2038</c:v>
                </c:pt>
                <c:pt idx="18">
                  <c:v>2038-2039</c:v>
                </c:pt>
                <c:pt idx="19">
                  <c:v>2039-2040</c:v>
                </c:pt>
                <c:pt idx="20">
                  <c:v>2040-2041</c:v>
                </c:pt>
                <c:pt idx="21">
                  <c:v>2041-2042</c:v>
                </c:pt>
                <c:pt idx="22">
                  <c:v>2042-2043</c:v>
                </c:pt>
              </c:strCache>
            </c:strRef>
          </c:cat>
          <c:val>
            <c:numRef>
              <c:f>'$ Tables and Graphs'!$U$4:$U$26</c:f>
              <c:numCache>
                <c:formatCode>"$"#,##0_);[Red]\("$"#,##0\)</c:formatCode>
                <c:ptCount val="23"/>
                <c:pt idx="0">
                  <c:v>252807042.70071143</c:v>
                </c:pt>
                <c:pt idx="1">
                  <c:v>250246370.83051452</c:v>
                </c:pt>
                <c:pt idx="2">
                  <c:v>301313343.04774332</c:v>
                </c:pt>
                <c:pt idx="3">
                  <c:v>513136091.06291968</c:v>
                </c:pt>
                <c:pt idx="4">
                  <c:v>432867016.60581642</c:v>
                </c:pt>
                <c:pt idx="5">
                  <c:v>528191227.71959418</c:v>
                </c:pt>
                <c:pt idx="6">
                  <c:v>457091945.98376</c:v>
                </c:pt>
                <c:pt idx="7">
                  <c:v>500745983.46916389</c:v>
                </c:pt>
                <c:pt idx="8">
                  <c:v>515327040.69962251</c:v>
                </c:pt>
                <c:pt idx="9">
                  <c:v>519419375.02564353</c:v>
                </c:pt>
                <c:pt idx="10">
                  <c:v>515725143.7359482</c:v>
                </c:pt>
                <c:pt idx="11">
                  <c:v>498535659.59725523</c:v>
                </c:pt>
                <c:pt idx="12">
                  <c:v>453673920.45036227</c:v>
                </c:pt>
                <c:pt idx="13">
                  <c:v>391809242.31017184</c:v>
                </c:pt>
                <c:pt idx="14">
                  <c:v>376690447.59000635</c:v>
                </c:pt>
                <c:pt idx="15">
                  <c:v>399707599.38768357</c:v>
                </c:pt>
                <c:pt idx="16">
                  <c:v>398697525.02924001</c:v>
                </c:pt>
                <c:pt idx="17">
                  <c:v>394719591.6831212</c:v>
                </c:pt>
                <c:pt idx="18">
                  <c:v>402031100.78973347</c:v>
                </c:pt>
                <c:pt idx="19">
                  <c:v>408583026.10163403</c:v>
                </c:pt>
                <c:pt idx="20">
                  <c:v>407627719.78059924</c:v>
                </c:pt>
                <c:pt idx="21">
                  <c:v>411193506.44819963</c:v>
                </c:pt>
                <c:pt idx="22">
                  <c:v>402621826.2231437</c:v>
                </c:pt>
              </c:numCache>
            </c:numRef>
          </c:val>
          <c:extLst>
            <c:ext xmlns:c16="http://schemas.microsoft.com/office/drawing/2014/chart" uri="{C3380CC4-5D6E-409C-BE32-E72D297353CC}">
              <c16:uniqueId val="{00000001-2553-479C-8535-85E23C6CAD83}"/>
            </c:ext>
          </c:extLst>
        </c:ser>
        <c:ser>
          <c:idx val="0"/>
          <c:order val="2"/>
          <c:tx>
            <c:strRef>
              <c:f>'$ Tables and Graphs'!$V$3</c:f>
              <c:strCache>
                <c:ptCount val="1"/>
              </c:strCache>
            </c:strRef>
          </c:tx>
          <c:spPr>
            <a:solidFill>
              <a:schemeClr val="accent1"/>
            </a:solidFill>
            <a:ln>
              <a:noFill/>
            </a:ln>
            <a:effectLst/>
          </c:spPr>
          <c:invertIfNegative val="0"/>
          <c:cat>
            <c:strRef>
              <c:f>'$ Tables and Graphs'!$T$4:$T$26</c:f>
              <c:strCache>
                <c:ptCount val="23"/>
                <c:pt idx="0">
                  <c:v>2020-2021</c:v>
                </c:pt>
                <c:pt idx="1">
                  <c:v>2021-2022</c:v>
                </c:pt>
                <c:pt idx="2">
                  <c:v>2022-2023</c:v>
                </c:pt>
                <c:pt idx="3">
                  <c:v>2023-2024</c:v>
                </c:pt>
                <c:pt idx="4">
                  <c:v>2024-2025</c:v>
                </c:pt>
                <c:pt idx="5">
                  <c:v>2025-2026</c:v>
                </c:pt>
                <c:pt idx="6">
                  <c:v>2026-2027</c:v>
                </c:pt>
                <c:pt idx="7">
                  <c:v>2027-2028</c:v>
                </c:pt>
                <c:pt idx="8">
                  <c:v>2028-2029</c:v>
                </c:pt>
                <c:pt idx="9">
                  <c:v>2029-2030</c:v>
                </c:pt>
                <c:pt idx="10">
                  <c:v>2030-2031</c:v>
                </c:pt>
                <c:pt idx="11">
                  <c:v>2031-2032</c:v>
                </c:pt>
                <c:pt idx="12">
                  <c:v>2032-2033</c:v>
                </c:pt>
                <c:pt idx="13">
                  <c:v>2033-2034</c:v>
                </c:pt>
                <c:pt idx="14">
                  <c:v>2034-2035</c:v>
                </c:pt>
                <c:pt idx="15">
                  <c:v>2035-2036</c:v>
                </c:pt>
                <c:pt idx="16">
                  <c:v>2036-2037</c:v>
                </c:pt>
                <c:pt idx="17">
                  <c:v>2037-2038</c:v>
                </c:pt>
                <c:pt idx="18">
                  <c:v>2038-2039</c:v>
                </c:pt>
                <c:pt idx="19">
                  <c:v>2039-2040</c:v>
                </c:pt>
                <c:pt idx="20">
                  <c:v>2040-2041</c:v>
                </c:pt>
                <c:pt idx="21">
                  <c:v>2041-2042</c:v>
                </c:pt>
                <c:pt idx="22">
                  <c:v>2042-2043</c:v>
                </c:pt>
              </c:strCache>
            </c:strRef>
          </c:cat>
          <c:val>
            <c:numRef>
              <c:f>'$ Tables and Graphs'!$V$4:$V$26</c:f>
              <c:numCache>
                <c:formatCode>"$"#,##0_);[Red]\("$"#,##0\)</c:formatCode>
                <c:ptCount val="23"/>
              </c:numCache>
            </c:numRef>
          </c:val>
          <c:extLst>
            <c:ext xmlns:c16="http://schemas.microsoft.com/office/drawing/2014/chart" uri="{C3380CC4-5D6E-409C-BE32-E72D297353CC}">
              <c16:uniqueId val="{00000002-2553-479C-8535-85E23C6CAD83}"/>
            </c:ext>
          </c:extLst>
        </c:ser>
        <c:ser>
          <c:idx val="1"/>
          <c:order val="3"/>
          <c:tx>
            <c:strRef>
              <c:f>'$ Tables and Graphs'!$W$3</c:f>
              <c:strCache>
                <c:ptCount val="1"/>
                <c:pt idx="0">
                  <c:v>24 Plan (projected)</c:v>
                </c:pt>
              </c:strCache>
            </c:strRef>
          </c:tx>
          <c:spPr>
            <a:solidFill>
              <a:schemeClr val="accent2">
                <a:lumMod val="75000"/>
              </a:schemeClr>
            </a:solidFill>
            <a:ln>
              <a:noFill/>
            </a:ln>
            <a:effectLst/>
          </c:spPr>
          <c:invertIfNegative val="0"/>
          <c:cat>
            <c:strRef>
              <c:f>'$ Tables and Graphs'!$T$4:$T$26</c:f>
              <c:strCache>
                <c:ptCount val="23"/>
                <c:pt idx="0">
                  <c:v>2020-2021</c:v>
                </c:pt>
                <c:pt idx="1">
                  <c:v>2021-2022</c:v>
                </c:pt>
                <c:pt idx="2">
                  <c:v>2022-2023</c:v>
                </c:pt>
                <c:pt idx="3">
                  <c:v>2023-2024</c:v>
                </c:pt>
                <c:pt idx="4">
                  <c:v>2024-2025</c:v>
                </c:pt>
                <c:pt idx="5">
                  <c:v>2025-2026</c:v>
                </c:pt>
                <c:pt idx="6">
                  <c:v>2026-2027</c:v>
                </c:pt>
                <c:pt idx="7">
                  <c:v>2027-2028</c:v>
                </c:pt>
                <c:pt idx="8">
                  <c:v>2028-2029</c:v>
                </c:pt>
                <c:pt idx="9">
                  <c:v>2029-2030</c:v>
                </c:pt>
                <c:pt idx="10">
                  <c:v>2030-2031</c:v>
                </c:pt>
                <c:pt idx="11">
                  <c:v>2031-2032</c:v>
                </c:pt>
                <c:pt idx="12">
                  <c:v>2032-2033</c:v>
                </c:pt>
                <c:pt idx="13">
                  <c:v>2033-2034</c:v>
                </c:pt>
                <c:pt idx="14">
                  <c:v>2034-2035</c:v>
                </c:pt>
                <c:pt idx="15">
                  <c:v>2035-2036</c:v>
                </c:pt>
                <c:pt idx="16">
                  <c:v>2036-2037</c:v>
                </c:pt>
                <c:pt idx="17">
                  <c:v>2037-2038</c:v>
                </c:pt>
                <c:pt idx="18">
                  <c:v>2038-2039</c:v>
                </c:pt>
                <c:pt idx="19">
                  <c:v>2039-2040</c:v>
                </c:pt>
                <c:pt idx="20">
                  <c:v>2040-2041</c:v>
                </c:pt>
                <c:pt idx="21">
                  <c:v>2041-2042</c:v>
                </c:pt>
                <c:pt idx="22">
                  <c:v>2042-2043</c:v>
                </c:pt>
              </c:strCache>
            </c:strRef>
          </c:cat>
          <c:val>
            <c:numRef>
              <c:f>'$ Tables and Graphs'!$W$4:$W$26</c:f>
              <c:numCache>
                <c:formatCode>"$"#,##0_);[Red]\("$"#,##0\)</c:formatCode>
                <c:ptCount val="23"/>
                <c:pt idx="0">
                  <c:v>0</c:v>
                </c:pt>
                <c:pt idx="1">
                  <c:v>0</c:v>
                </c:pt>
                <c:pt idx="2">
                  <c:v>0</c:v>
                </c:pt>
                <c:pt idx="3">
                  <c:v>0</c:v>
                </c:pt>
                <c:pt idx="4">
                  <c:v>0</c:v>
                </c:pt>
                <c:pt idx="5">
                  <c:v>33640118.733321041</c:v>
                </c:pt>
                <c:pt idx="6">
                  <c:v>33640118.733321041</c:v>
                </c:pt>
                <c:pt idx="7">
                  <c:v>153781299.59728101</c:v>
                </c:pt>
                <c:pt idx="8">
                  <c:v>198051503.09884429</c:v>
                </c:pt>
                <c:pt idx="9">
                  <c:v>204182096.60130417</c:v>
                </c:pt>
                <c:pt idx="10">
                  <c:v>206899395.09235734</c:v>
                </c:pt>
                <c:pt idx="11">
                  <c:v>206542600.30036467</c:v>
                </c:pt>
                <c:pt idx="12">
                  <c:v>199551961.90444404</c:v>
                </c:pt>
                <c:pt idx="13">
                  <c:v>160987065.42226255</c:v>
                </c:pt>
                <c:pt idx="14">
                  <c:v>147318295.58543792</c:v>
                </c:pt>
                <c:pt idx="15">
                  <c:v>139909426.23480448</c:v>
                </c:pt>
                <c:pt idx="16">
                  <c:v>152534280.63259292</c:v>
                </c:pt>
                <c:pt idx="17">
                  <c:v>157733749.44604272</c:v>
                </c:pt>
                <c:pt idx="18">
                  <c:v>158660329.65359378</c:v>
                </c:pt>
                <c:pt idx="19">
                  <c:v>162229052.30076104</c:v>
                </c:pt>
                <c:pt idx="20">
                  <c:v>165417049.64485866</c:v>
                </c:pt>
                <c:pt idx="21">
                  <c:v>166212974.51731735</c:v>
                </c:pt>
                <c:pt idx="22">
                  <c:v>167930658.23122787</c:v>
                </c:pt>
              </c:numCache>
            </c:numRef>
          </c:val>
          <c:extLst>
            <c:ext xmlns:c16="http://schemas.microsoft.com/office/drawing/2014/chart" uri="{C3380CC4-5D6E-409C-BE32-E72D297353CC}">
              <c16:uniqueId val="{00000003-2553-479C-8535-85E23C6CAD83}"/>
            </c:ext>
          </c:extLst>
        </c:ser>
        <c:ser>
          <c:idx val="2"/>
          <c:order val="4"/>
          <c:tx>
            <c:strRef>
              <c:f>'$ Tables and Graphs'!$X$3</c:f>
              <c:strCache>
                <c:ptCount val="1"/>
                <c:pt idx="0">
                  <c:v>Future Plans (projected)</c:v>
                </c:pt>
              </c:strCache>
            </c:strRef>
          </c:tx>
          <c:spPr>
            <a:solidFill>
              <a:schemeClr val="accent4"/>
            </a:solidFill>
            <a:ln>
              <a:noFill/>
            </a:ln>
            <a:effectLst/>
          </c:spPr>
          <c:invertIfNegative val="0"/>
          <c:cat>
            <c:strRef>
              <c:f>'$ Tables and Graphs'!$T$4:$T$26</c:f>
              <c:strCache>
                <c:ptCount val="23"/>
                <c:pt idx="0">
                  <c:v>2020-2021</c:v>
                </c:pt>
                <c:pt idx="1">
                  <c:v>2021-2022</c:v>
                </c:pt>
                <c:pt idx="2">
                  <c:v>2022-2023</c:v>
                </c:pt>
                <c:pt idx="3">
                  <c:v>2023-2024</c:v>
                </c:pt>
                <c:pt idx="4">
                  <c:v>2024-2025</c:v>
                </c:pt>
                <c:pt idx="5">
                  <c:v>2025-2026</c:v>
                </c:pt>
                <c:pt idx="6">
                  <c:v>2026-2027</c:v>
                </c:pt>
                <c:pt idx="7">
                  <c:v>2027-2028</c:v>
                </c:pt>
                <c:pt idx="8">
                  <c:v>2028-2029</c:v>
                </c:pt>
                <c:pt idx="9">
                  <c:v>2029-2030</c:v>
                </c:pt>
                <c:pt idx="10">
                  <c:v>2030-2031</c:v>
                </c:pt>
                <c:pt idx="11">
                  <c:v>2031-2032</c:v>
                </c:pt>
                <c:pt idx="12">
                  <c:v>2032-2033</c:v>
                </c:pt>
                <c:pt idx="13">
                  <c:v>2033-2034</c:v>
                </c:pt>
                <c:pt idx="14">
                  <c:v>2034-2035</c:v>
                </c:pt>
                <c:pt idx="15">
                  <c:v>2035-2036</c:v>
                </c:pt>
                <c:pt idx="16">
                  <c:v>2036-2037</c:v>
                </c:pt>
                <c:pt idx="17">
                  <c:v>2037-2038</c:v>
                </c:pt>
                <c:pt idx="18">
                  <c:v>2038-2039</c:v>
                </c:pt>
                <c:pt idx="19">
                  <c:v>2039-2040</c:v>
                </c:pt>
                <c:pt idx="20">
                  <c:v>2040-2041</c:v>
                </c:pt>
                <c:pt idx="21">
                  <c:v>2041-2042</c:v>
                </c:pt>
                <c:pt idx="22">
                  <c:v>2042-2043</c:v>
                </c:pt>
              </c:strCache>
            </c:strRef>
          </c:cat>
          <c:val>
            <c:numRef>
              <c:f>'$ Tables and Graphs'!$X$4:$X$26</c:f>
              <c:numCache>
                <c:formatCode>"$"#,##0_);[Red]\("$"#,##0\)</c:formatCode>
                <c:ptCount val="23"/>
                <c:pt idx="0">
                  <c:v>0</c:v>
                </c:pt>
                <c:pt idx="1">
                  <c:v>0</c:v>
                </c:pt>
                <c:pt idx="2">
                  <c:v>0</c:v>
                </c:pt>
                <c:pt idx="3">
                  <c:v>0</c:v>
                </c:pt>
                <c:pt idx="4">
                  <c:v>0</c:v>
                </c:pt>
                <c:pt idx="5">
                  <c:v>0</c:v>
                </c:pt>
                <c:pt idx="6">
                  <c:v>0</c:v>
                </c:pt>
                <c:pt idx="7">
                  <c:v>0</c:v>
                </c:pt>
                <c:pt idx="8">
                  <c:v>225809113.2432285</c:v>
                </c:pt>
                <c:pt idx="9">
                  <c:v>405567540.18849742</c:v>
                </c:pt>
                <c:pt idx="10">
                  <c:v>583441843.2015357</c:v>
                </c:pt>
                <c:pt idx="11">
                  <c:v>745035743.52862525</c:v>
                </c:pt>
                <c:pt idx="12">
                  <c:v>914098815.59857965</c:v>
                </c:pt>
                <c:pt idx="13">
                  <c:v>1029652052.937086</c:v>
                </c:pt>
                <c:pt idx="14">
                  <c:v>1124686265.5550663</c:v>
                </c:pt>
                <c:pt idx="15">
                  <c:v>1072166105.3868474</c:v>
                </c:pt>
                <c:pt idx="16">
                  <c:v>1109044102.0293422</c:v>
                </c:pt>
                <c:pt idx="17">
                  <c:v>1200631786.5319638</c:v>
                </c:pt>
                <c:pt idx="18">
                  <c:v>1264577885.5428221</c:v>
                </c:pt>
                <c:pt idx="19">
                  <c:v>1322516660.034081</c:v>
                </c:pt>
                <c:pt idx="20">
                  <c:v>1393204841.7953732</c:v>
                </c:pt>
                <c:pt idx="21">
                  <c:v>1459409526.206233</c:v>
                </c:pt>
                <c:pt idx="22">
                  <c:v>1597951644.3205259</c:v>
                </c:pt>
              </c:numCache>
            </c:numRef>
          </c:val>
          <c:extLst>
            <c:ext xmlns:c16="http://schemas.microsoft.com/office/drawing/2014/chart" uri="{C3380CC4-5D6E-409C-BE32-E72D297353CC}">
              <c16:uniqueId val="{00000004-2553-479C-8535-85E23C6CAD83}"/>
            </c:ext>
          </c:extLst>
        </c:ser>
        <c:dLbls>
          <c:showLegendKey val="0"/>
          <c:showVal val="0"/>
          <c:showCatName val="0"/>
          <c:showSerName val="0"/>
          <c:showPercent val="0"/>
          <c:showBubbleSize val="0"/>
        </c:dLbls>
        <c:gapWidth val="150"/>
        <c:overlap val="100"/>
        <c:axId val="590624800"/>
        <c:axId val="590625784"/>
      </c:barChart>
      <c:lineChart>
        <c:grouping val="standard"/>
        <c:varyColors val="0"/>
        <c:ser>
          <c:idx val="5"/>
          <c:order val="5"/>
          <c:tx>
            <c:strRef>
              <c:f>'$ Tables and Graphs'!$Z$3</c:f>
              <c:strCache>
                <c:ptCount val="1"/>
                <c:pt idx="0">
                  <c:v>Year-End RPS Balance</c:v>
                </c:pt>
              </c:strCache>
            </c:strRef>
          </c:tx>
          <c:spPr>
            <a:ln w="28575" cap="rnd">
              <a:noFill/>
              <a:round/>
            </a:ln>
            <a:effectLst/>
          </c:spPr>
          <c:marker>
            <c:symbol val="dash"/>
            <c:size val="20"/>
            <c:spPr>
              <a:solidFill>
                <a:schemeClr val="accent6"/>
              </a:solidFill>
              <a:ln w="9525">
                <a:solidFill>
                  <a:schemeClr val="accent6"/>
                </a:solidFill>
              </a:ln>
              <a:effectLst/>
            </c:spPr>
          </c:marker>
          <c:cat>
            <c:strRef>
              <c:f>'$ Tables and Graphs'!$T$4:$T$26</c:f>
              <c:strCache>
                <c:ptCount val="23"/>
                <c:pt idx="0">
                  <c:v>2020-2021</c:v>
                </c:pt>
                <c:pt idx="1">
                  <c:v>2021-2022</c:v>
                </c:pt>
                <c:pt idx="2">
                  <c:v>2022-2023</c:v>
                </c:pt>
                <c:pt idx="3">
                  <c:v>2023-2024</c:v>
                </c:pt>
                <c:pt idx="4">
                  <c:v>2024-2025</c:v>
                </c:pt>
                <c:pt idx="5">
                  <c:v>2025-2026</c:v>
                </c:pt>
                <c:pt idx="6">
                  <c:v>2026-2027</c:v>
                </c:pt>
                <c:pt idx="7">
                  <c:v>2027-2028</c:v>
                </c:pt>
                <c:pt idx="8">
                  <c:v>2028-2029</c:v>
                </c:pt>
                <c:pt idx="9">
                  <c:v>2029-2030</c:v>
                </c:pt>
                <c:pt idx="10">
                  <c:v>2030-2031</c:v>
                </c:pt>
                <c:pt idx="11">
                  <c:v>2031-2032</c:v>
                </c:pt>
                <c:pt idx="12">
                  <c:v>2032-2033</c:v>
                </c:pt>
                <c:pt idx="13">
                  <c:v>2033-2034</c:v>
                </c:pt>
                <c:pt idx="14">
                  <c:v>2034-2035</c:v>
                </c:pt>
                <c:pt idx="15">
                  <c:v>2035-2036</c:v>
                </c:pt>
                <c:pt idx="16">
                  <c:v>2036-2037</c:v>
                </c:pt>
                <c:pt idx="17">
                  <c:v>2037-2038</c:v>
                </c:pt>
                <c:pt idx="18">
                  <c:v>2038-2039</c:v>
                </c:pt>
                <c:pt idx="19">
                  <c:v>2039-2040</c:v>
                </c:pt>
                <c:pt idx="20">
                  <c:v>2040-2041</c:v>
                </c:pt>
                <c:pt idx="21">
                  <c:v>2041-2042</c:v>
                </c:pt>
                <c:pt idx="22">
                  <c:v>2042-2043</c:v>
                </c:pt>
              </c:strCache>
            </c:strRef>
          </c:cat>
          <c:val>
            <c:numRef>
              <c:f>'$ Tables and Graphs'!$Z$4:$Z$26</c:f>
              <c:numCache>
                <c:formatCode>"$"#,##0_);[Red]\("$"#,##0\)</c:formatCode>
                <c:ptCount val="23"/>
                <c:pt idx="0">
                  <c:v>293790554.98094952</c:v>
                </c:pt>
                <c:pt idx="1">
                  <c:v>248200632.95190209</c:v>
                </c:pt>
                <c:pt idx="2">
                  <c:v>388749963.44245076</c:v>
                </c:pt>
                <c:pt idx="3">
                  <c:v>607275723.95881271</c:v>
                </c:pt>
                <c:pt idx="4">
                  <c:v>604238555.42314124</c:v>
                </c:pt>
                <c:pt idx="5">
                  <c:v>633813652.43962193</c:v>
                </c:pt>
                <c:pt idx="6">
                  <c:v>568999884.69689834</c:v>
                </c:pt>
                <c:pt idx="7">
                  <c:v>380792569.78215742</c:v>
                </c:pt>
                <c:pt idx="8">
                  <c:v>53409504.634589553</c:v>
                </c:pt>
                <c:pt idx="9">
                  <c:v>-426010187.37957072</c:v>
                </c:pt>
                <c:pt idx="10">
                  <c:v>-1063415720.1020508</c:v>
                </c:pt>
                <c:pt idx="11">
                  <c:v>-1858868683.3309617</c:v>
                </c:pt>
                <c:pt idx="12">
                  <c:v>-2699483994.1275163</c:v>
                </c:pt>
                <c:pt idx="13">
                  <c:v>-3637598332.9899659</c:v>
                </c:pt>
                <c:pt idx="14">
                  <c:v>-4489821623.0091753</c:v>
                </c:pt>
                <c:pt idx="15">
                  <c:v>-5333088206.949687</c:v>
                </c:pt>
                <c:pt idx="16">
                  <c:v>-6183063304.1708984</c:v>
                </c:pt>
                <c:pt idx="17">
                  <c:v>-7057017916.1629</c:v>
                </c:pt>
                <c:pt idx="18">
                  <c:v>-8023342165.0258074</c:v>
                </c:pt>
                <c:pt idx="19">
                  <c:v>-9060987740.9106541</c:v>
                </c:pt>
                <c:pt idx="20">
                  <c:v>-10162865084.493187</c:v>
                </c:pt>
                <c:pt idx="21">
                  <c:v>-11348706563.030979</c:v>
                </c:pt>
                <c:pt idx="22">
                  <c:v>-12559282036.498909</c:v>
                </c:pt>
              </c:numCache>
            </c:numRef>
          </c:val>
          <c:smooth val="0"/>
          <c:extLst>
            <c:ext xmlns:c16="http://schemas.microsoft.com/office/drawing/2014/chart" uri="{C3380CC4-5D6E-409C-BE32-E72D297353CC}">
              <c16:uniqueId val="{00000005-2553-479C-8535-85E23C6CAD83}"/>
            </c:ext>
          </c:extLst>
        </c:ser>
        <c:dLbls>
          <c:showLegendKey val="0"/>
          <c:showVal val="0"/>
          <c:showCatName val="0"/>
          <c:showSerName val="0"/>
          <c:showPercent val="0"/>
          <c:showBubbleSize val="0"/>
        </c:dLbls>
        <c:marker val="1"/>
        <c:smooth val="0"/>
        <c:axId val="590624800"/>
        <c:axId val="590625784"/>
      </c:lineChart>
      <c:catAx>
        <c:axId val="5906248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Delivery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590625784"/>
        <c:crosses val="autoZero"/>
        <c:auto val="1"/>
        <c:lblAlgn val="ctr"/>
        <c:lblOffset val="100"/>
        <c:noMultiLvlLbl val="0"/>
      </c:catAx>
      <c:valAx>
        <c:axId val="590625784"/>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590624800"/>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Projected RPS Expenses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9949205034911"/>
          <c:y val="8.2637438813406378E-2"/>
          <c:w val="0.88540050794965086"/>
          <c:h val="0.74388625450939416"/>
        </c:manualLayout>
      </c:layout>
      <c:barChart>
        <c:barDir val="col"/>
        <c:grouping val="stacked"/>
        <c:varyColors val="0"/>
        <c:ser>
          <c:idx val="3"/>
          <c:order val="0"/>
          <c:tx>
            <c:strRef>
              <c:f>'$ Tables and Graphs'!$Y$3</c:f>
              <c:strCache>
                <c:ptCount val="1"/>
                <c:pt idx="0">
                  <c:v>Set Asides</c:v>
                </c:pt>
              </c:strCache>
            </c:strRef>
          </c:tx>
          <c:spPr>
            <a:solidFill>
              <a:schemeClr val="bg2"/>
            </a:solidFill>
            <a:ln>
              <a:noFill/>
            </a:ln>
            <a:effectLst/>
          </c:spPr>
          <c:invertIfNegative val="0"/>
          <c:cat>
            <c:strRef>
              <c:f>'$ Tables and Graphs'!$T$4:$T$26</c:f>
              <c:strCache>
                <c:ptCount val="23"/>
                <c:pt idx="0">
                  <c:v>2020-2021</c:v>
                </c:pt>
                <c:pt idx="1">
                  <c:v>2021-2022</c:v>
                </c:pt>
                <c:pt idx="2">
                  <c:v>2022-2023</c:v>
                </c:pt>
                <c:pt idx="3">
                  <c:v>2023-2024</c:v>
                </c:pt>
                <c:pt idx="4">
                  <c:v>2024-2025</c:v>
                </c:pt>
                <c:pt idx="5">
                  <c:v>2025-2026</c:v>
                </c:pt>
                <c:pt idx="6">
                  <c:v>2026-2027</c:v>
                </c:pt>
                <c:pt idx="7">
                  <c:v>2027-2028</c:v>
                </c:pt>
                <c:pt idx="8">
                  <c:v>2028-2029</c:v>
                </c:pt>
                <c:pt idx="9">
                  <c:v>2029-2030</c:v>
                </c:pt>
                <c:pt idx="10">
                  <c:v>2030-2031</c:v>
                </c:pt>
                <c:pt idx="11">
                  <c:v>2031-2032</c:v>
                </c:pt>
                <c:pt idx="12">
                  <c:v>2032-2033</c:v>
                </c:pt>
                <c:pt idx="13">
                  <c:v>2033-2034</c:v>
                </c:pt>
                <c:pt idx="14">
                  <c:v>2034-2035</c:v>
                </c:pt>
                <c:pt idx="15">
                  <c:v>2035-2036</c:v>
                </c:pt>
                <c:pt idx="16">
                  <c:v>2036-2037</c:v>
                </c:pt>
                <c:pt idx="17">
                  <c:v>2037-2038</c:v>
                </c:pt>
                <c:pt idx="18">
                  <c:v>2038-2039</c:v>
                </c:pt>
                <c:pt idx="19">
                  <c:v>2039-2040</c:v>
                </c:pt>
                <c:pt idx="20">
                  <c:v>2040-2041</c:v>
                </c:pt>
                <c:pt idx="21">
                  <c:v>2041-2042</c:v>
                </c:pt>
                <c:pt idx="22">
                  <c:v>2042-2043</c:v>
                </c:pt>
              </c:strCache>
            </c:strRef>
          </c:cat>
          <c:val>
            <c:numRef>
              <c:f>'$ Tables and Graphs'!$Y$4:$Y$26</c:f>
              <c:numCache>
                <c:formatCode>"$"#,##0_);[Red]\("$"#,##0\)</c:formatCode>
                <c:ptCount val="23"/>
                <c:pt idx="0">
                  <c:v>18018880.058405567</c:v>
                </c:pt>
                <c:pt idx="1">
                  <c:v>73942135.092404008</c:v>
                </c:pt>
                <c:pt idx="2">
                  <c:v>67623889.800951704</c:v>
                </c:pt>
                <c:pt idx="3">
                  <c:v>67322647.088471591</c:v>
                </c:pt>
                <c:pt idx="4">
                  <c:v>77198419.557390258</c:v>
                </c:pt>
                <c:pt idx="5">
                  <c:v>67145711.256652042</c:v>
                </c:pt>
                <c:pt idx="6">
                  <c:v>67095059.275192291</c:v>
                </c:pt>
                <c:pt idx="7">
                  <c:v>77304402.141023755</c:v>
                </c:pt>
                <c:pt idx="8">
                  <c:v>67640600.719584882</c:v>
                </c:pt>
                <c:pt idx="9">
                  <c:v>68123785.490454584</c:v>
                </c:pt>
                <c:pt idx="10">
                  <c:v>78786284.459790573</c:v>
                </c:pt>
                <c:pt idx="11">
                  <c:v>69538734.721551597</c:v>
                </c:pt>
                <c:pt idx="12">
                  <c:v>70311109.983324051</c:v>
                </c:pt>
                <c:pt idx="13">
                  <c:v>70999871.477821618</c:v>
                </c:pt>
                <c:pt idx="14">
                  <c:v>71638874.837884039</c:v>
                </c:pt>
                <c:pt idx="15">
                  <c:v>72135547.577141881</c:v>
                </c:pt>
                <c:pt idx="16">
                  <c:v>72499312.827168688</c:v>
                </c:pt>
                <c:pt idx="17">
                  <c:v>72653690.409483582</c:v>
                </c:pt>
                <c:pt idx="18">
                  <c:v>72801622.582818717</c:v>
                </c:pt>
                <c:pt idx="19">
                  <c:v>72896692.408557206</c:v>
                </c:pt>
                <c:pt idx="20">
                  <c:v>73015743.307197154</c:v>
                </c:pt>
                <c:pt idx="21">
                  <c:v>73106390.458387077</c:v>
                </c:pt>
                <c:pt idx="22">
                  <c:v>73199678.287410915</c:v>
                </c:pt>
              </c:numCache>
            </c:numRef>
          </c:val>
          <c:extLst>
            <c:ext xmlns:c16="http://schemas.microsoft.com/office/drawing/2014/chart" uri="{C3380CC4-5D6E-409C-BE32-E72D297353CC}">
              <c16:uniqueId val="{00000000-9D7A-4123-A56C-09EC7A7E9BC1}"/>
            </c:ext>
          </c:extLst>
        </c:ser>
        <c:ser>
          <c:idx val="4"/>
          <c:order val="1"/>
          <c:tx>
            <c:strRef>
              <c:f>'$ Tables and Graphs'!$U$3</c:f>
              <c:strCache>
                <c:ptCount val="1"/>
                <c:pt idx="0">
                  <c:v>Under Contract</c:v>
                </c:pt>
              </c:strCache>
            </c:strRef>
          </c:tx>
          <c:spPr>
            <a:solidFill>
              <a:schemeClr val="accent5"/>
            </a:solidFill>
            <a:ln>
              <a:noFill/>
            </a:ln>
            <a:effectLst/>
          </c:spPr>
          <c:invertIfNegative val="0"/>
          <c:cat>
            <c:strRef>
              <c:f>'$ Tables and Graphs'!$T$4:$T$26</c:f>
              <c:strCache>
                <c:ptCount val="23"/>
                <c:pt idx="0">
                  <c:v>2020-2021</c:v>
                </c:pt>
                <c:pt idx="1">
                  <c:v>2021-2022</c:v>
                </c:pt>
                <c:pt idx="2">
                  <c:v>2022-2023</c:v>
                </c:pt>
                <c:pt idx="3">
                  <c:v>2023-2024</c:v>
                </c:pt>
                <c:pt idx="4">
                  <c:v>2024-2025</c:v>
                </c:pt>
                <c:pt idx="5">
                  <c:v>2025-2026</c:v>
                </c:pt>
                <c:pt idx="6">
                  <c:v>2026-2027</c:v>
                </c:pt>
                <c:pt idx="7">
                  <c:v>2027-2028</c:v>
                </c:pt>
                <c:pt idx="8">
                  <c:v>2028-2029</c:v>
                </c:pt>
                <c:pt idx="9">
                  <c:v>2029-2030</c:v>
                </c:pt>
                <c:pt idx="10">
                  <c:v>2030-2031</c:v>
                </c:pt>
                <c:pt idx="11">
                  <c:v>2031-2032</c:v>
                </c:pt>
                <c:pt idx="12">
                  <c:v>2032-2033</c:v>
                </c:pt>
                <c:pt idx="13">
                  <c:v>2033-2034</c:v>
                </c:pt>
                <c:pt idx="14">
                  <c:v>2034-2035</c:v>
                </c:pt>
                <c:pt idx="15">
                  <c:v>2035-2036</c:v>
                </c:pt>
                <c:pt idx="16">
                  <c:v>2036-2037</c:v>
                </c:pt>
                <c:pt idx="17">
                  <c:v>2037-2038</c:v>
                </c:pt>
                <c:pt idx="18">
                  <c:v>2038-2039</c:v>
                </c:pt>
                <c:pt idx="19">
                  <c:v>2039-2040</c:v>
                </c:pt>
                <c:pt idx="20">
                  <c:v>2040-2041</c:v>
                </c:pt>
                <c:pt idx="21">
                  <c:v>2041-2042</c:v>
                </c:pt>
                <c:pt idx="22">
                  <c:v>2042-2043</c:v>
                </c:pt>
              </c:strCache>
            </c:strRef>
          </c:cat>
          <c:val>
            <c:numRef>
              <c:f>'$ Tables and Graphs'!$U$4:$U$26</c:f>
              <c:numCache>
                <c:formatCode>"$"#,##0_);[Red]\("$"#,##0\)</c:formatCode>
                <c:ptCount val="23"/>
                <c:pt idx="0">
                  <c:v>252807042.70071143</c:v>
                </c:pt>
                <c:pt idx="1">
                  <c:v>250246370.83051452</c:v>
                </c:pt>
                <c:pt idx="2">
                  <c:v>301313343.04774332</c:v>
                </c:pt>
                <c:pt idx="3">
                  <c:v>513136091.06291968</c:v>
                </c:pt>
                <c:pt idx="4">
                  <c:v>432867016.60581642</c:v>
                </c:pt>
                <c:pt idx="5">
                  <c:v>528191227.71959418</c:v>
                </c:pt>
                <c:pt idx="6">
                  <c:v>457091945.98376</c:v>
                </c:pt>
                <c:pt idx="7">
                  <c:v>500745983.46916389</c:v>
                </c:pt>
                <c:pt idx="8">
                  <c:v>515327040.69962251</c:v>
                </c:pt>
                <c:pt idx="9">
                  <c:v>519419375.02564353</c:v>
                </c:pt>
                <c:pt idx="10">
                  <c:v>515725143.7359482</c:v>
                </c:pt>
                <c:pt idx="11">
                  <c:v>498535659.59725523</c:v>
                </c:pt>
                <c:pt idx="12">
                  <c:v>453673920.45036227</c:v>
                </c:pt>
                <c:pt idx="13">
                  <c:v>391809242.31017184</c:v>
                </c:pt>
                <c:pt idx="14">
                  <c:v>376690447.59000635</c:v>
                </c:pt>
                <c:pt idx="15">
                  <c:v>399707599.38768357</c:v>
                </c:pt>
                <c:pt idx="16">
                  <c:v>398697525.02924001</c:v>
                </c:pt>
                <c:pt idx="17">
                  <c:v>394719591.6831212</c:v>
                </c:pt>
                <c:pt idx="18">
                  <c:v>402031100.78973347</c:v>
                </c:pt>
                <c:pt idx="19">
                  <c:v>408583026.10163403</c:v>
                </c:pt>
                <c:pt idx="20">
                  <c:v>407627719.78059924</c:v>
                </c:pt>
                <c:pt idx="21">
                  <c:v>411193506.44819963</c:v>
                </c:pt>
                <c:pt idx="22">
                  <c:v>402621826.2231437</c:v>
                </c:pt>
              </c:numCache>
            </c:numRef>
          </c:val>
          <c:extLst>
            <c:ext xmlns:c16="http://schemas.microsoft.com/office/drawing/2014/chart" uri="{C3380CC4-5D6E-409C-BE32-E72D297353CC}">
              <c16:uniqueId val="{00000001-9D7A-4123-A56C-09EC7A7E9BC1}"/>
            </c:ext>
          </c:extLst>
        </c:ser>
        <c:ser>
          <c:idx val="0"/>
          <c:order val="2"/>
          <c:tx>
            <c:strRef>
              <c:f>'$ Tables and Graphs'!$V$3</c:f>
              <c:strCache>
                <c:ptCount val="1"/>
              </c:strCache>
            </c:strRef>
          </c:tx>
          <c:spPr>
            <a:solidFill>
              <a:schemeClr val="accent1"/>
            </a:solidFill>
            <a:ln>
              <a:noFill/>
            </a:ln>
            <a:effectLst/>
          </c:spPr>
          <c:invertIfNegative val="0"/>
          <c:cat>
            <c:strRef>
              <c:f>'$ Tables and Graphs'!$T$4:$T$26</c:f>
              <c:strCache>
                <c:ptCount val="23"/>
                <c:pt idx="0">
                  <c:v>2020-2021</c:v>
                </c:pt>
                <c:pt idx="1">
                  <c:v>2021-2022</c:v>
                </c:pt>
                <c:pt idx="2">
                  <c:v>2022-2023</c:v>
                </c:pt>
                <c:pt idx="3">
                  <c:v>2023-2024</c:v>
                </c:pt>
                <c:pt idx="4">
                  <c:v>2024-2025</c:v>
                </c:pt>
                <c:pt idx="5">
                  <c:v>2025-2026</c:v>
                </c:pt>
                <c:pt idx="6">
                  <c:v>2026-2027</c:v>
                </c:pt>
                <c:pt idx="7">
                  <c:v>2027-2028</c:v>
                </c:pt>
                <c:pt idx="8">
                  <c:v>2028-2029</c:v>
                </c:pt>
                <c:pt idx="9">
                  <c:v>2029-2030</c:v>
                </c:pt>
                <c:pt idx="10">
                  <c:v>2030-2031</c:v>
                </c:pt>
                <c:pt idx="11">
                  <c:v>2031-2032</c:v>
                </c:pt>
                <c:pt idx="12">
                  <c:v>2032-2033</c:v>
                </c:pt>
                <c:pt idx="13">
                  <c:v>2033-2034</c:v>
                </c:pt>
                <c:pt idx="14">
                  <c:v>2034-2035</c:v>
                </c:pt>
                <c:pt idx="15">
                  <c:v>2035-2036</c:v>
                </c:pt>
                <c:pt idx="16">
                  <c:v>2036-2037</c:v>
                </c:pt>
                <c:pt idx="17">
                  <c:v>2037-2038</c:v>
                </c:pt>
                <c:pt idx="18">
                  <c:v>2038-2039</c:v>
                </c:pt>
                <c:pt idx="19">
                  <c:v>2039-2040</c:v>
                </c:pt>
                <c:pt idx="20">
                  <c:v>2040-2041</c:v>
                </c:pt>
                <c:pt idx="21">
                  <c:v>2041-2042</c:v>
                </c:pt>
                <c:pt idx="22">
                  <c:v>2042-2043</c:v>
                </c:pt>
              </c:strCache>
            </c:strRef>
          </c:cat>
          <c:val>
            <c:numRef>
              <c:f>'$ Tables and Graphs'!$V$4:$V$26</c:f>
              <c:numCache>
                <c:formatCode>"$"#,##0_);[Red]\("$"#,##0\)</c:formatCode>
                <c:ptCount val="23"/>
              </c:numCache>
            </c:numRef>
          </c:val>
          <c:extLst>
            <c:ext xmlns:c16="http://schemas.microsoft.com/office/drawing/2014/chart" uri="{C3380CC4-5D6E-409C-BE32-E72D297353CC}">
              <c16:uniqueId val="{00000002-9D7A-4123-A56C-09EC7A7E9BC1}"/>
            </c:ext>
          </c:extLst>
        </c:ser>
        <c:ser>
          <c:idx val="1"/>
          <c:order val="3"/>
          <c:tx>
            <c:strRef>
              <c:f>'$ Tables and Graphs'!$W$3</c:f>
              <c:strCache>
                <c:ptCount val="1"/>
                <c:pt idx="0">
                  <c:v>24 Plan (projected)</c:v>
                </c:pt>
              </c:strCache>
            </c:strRef>
          </c:tx>
          <c:spPr>
            <a:solidFill>
              <a:schemeClr val="accent2">
                <a:lumMod val="75000"/>
              </a:schemeClr>
            </a:solidFill>
            <a:ln>
              <a:noFill/>
            </a:ln>
            <a:effectLst/>
          </c:spPr>
          <c:invertIfNegative val="0"/>
          <c:cat>
            <c:strRef>
              <c:f>'$ Tables and Graphs'!$T$4:$T$26</c:f>
              <c:strCache>
                <c:ptCount val="23"/>
                <c:pt idx="0">
                  <c:v>2020-2021</c:v>
                </c:pt>
                <c:pt idx="1">
                  <c:v>2021-2022</c:v>
                </c:pt>
                <c:pt idx="2">
                  <c:v>2022-2023</c:v>
                </c:pt>
                <c:pt idx="3">
                  <c:v>2023-2024</c:v>
                </c:pt>
                <c:pt idx="4">
                  <c:v>2024-2025</c:v>
                </c:pt>
                <c:pt idx="5">
                  <c:v>2025-2026</c:v>
                </c:pt>
                <c:pt idx="6">
                  <c:v>2026-2027</c:v>
                </c:pt>
                <c:pt idx="7">
                  <c:v>2027-2028</c:v>
                </c:pt>
                <c:pt idx="8">
                  <c:v>2028-2029</c:v>
                </c:pt>
                <c:pt idx="9">
                  <c:v>2029-2030</c:v>
                </c:pt>
                <c:pt idx="10">
                  <c:v>2030-2031</c:v>
                </c:pt>
                <c:pt idx="11">
                  <c:v>2031-2032</c:v>
                </c:pt>
                <c:pt idx="12">
                  <c:v>2032-2033</c:v>
                </c:pt>
                <c:pt idx="13">
                  <c:v>2033-2034</c:v>
                </c:pt>
                <c:pt idx="14">
                  <c:v>2034-2035</c:v>
                </c:pt>
                <c:pt idx="15">
                  <c:v>2035-2036</c:v>
                </c:pt>
                <c:pt idx="16">
                  <c:v>2036-2037</c:v>
                </c:pt>
                <c:pt idx="17">
                  <c:v>2037-2038</c:v>
                </c:pt>
                <c:pt idx="18">
                  <c:v>2038-2039</c:v>
                </c:pt>
                <c:pt idx="19">
                  <c:v>2039-2040</c:v>
                </c:pt>
                <c:pt idx="20">
                  <c:v>2040-2041</c:v>
                </c:pt>
                <c:pt idx="21">
                  <c:v>2041-2042</c:v>
                </c:pt>
                <c:pt idx="22">
                  <c:v>2042-2043</c:v>
                </c:pt>
              </c:strCache>
            </c:strRef>
          </c:cat>
          <c:val>
            <c:numRef>
              <c:f>'$ Tables and Graphs'!$W$4:$W$26</c:f>
              <c:numCache>
                <c:formatCode>"$"#,##0_);[Red]\("$"#,##0\)</c:formatCode>
                <c:ptCount val="23"/>
                <c:pt idx="0">
                  <c:v>0</c:v>
                </c:pt>
                <c:pt idx="1">
                  <c:v>0</c:v>
                </c:pt>
                <c:pt idx="2">
                  <c:v>0</c:v>
                </c:pt>
                <c:pt idx="3">
                  <c:v>0</c:v>
                </c:pt>
                <c:pt idx="4">
                  <c:v>0</c:v>
                </c:pt>
                <c:pt idx="5">
                  <c:v>33640118.733321041</c:v>
                </c:pt>
                <c:pt idx="6">
                  <c:v>33640118.733321041</c:v>
                </c:pt>
                <c:pt idx="7">
                  <c:v>153781299.59728101</c:v>
                </c:pt>
                <c:pt idx="8">
                  <c:v>198051503.09884429</c:v>
                </c:pt>
                <c:pt idx="9">
                  <c:v>204182096.60130417</c:v>
                </c:pt>
                <c:pt idx="10">
                  <c:v>206899395.09235734</c:v>
                </c:pt>
                <c:pt idx="11">
                  <c:v>206542600.30036467</c:v>
                </c:pt>
                <c:pt idx="12">
                  <c:v>199551961.90444404</c:v>
                </c:pt>
                <c:pt idx="13">
                  <c:v>160987065.42226255</c:v>
                </c:pt>
                <c:pt idx="14">
                  <c:v>147318295.58543792</c:v>
                </c:pt>
                <c:pt idx="15">
                  <c:v>139909426.23480448</c:v>
                </c:pt>
                <c:pt idx="16">
                  <c:v>152534280.63259292</c:v>
                </c:pt>
                <c:pt idx="17">
                  <c:v>157733749.44604272</c:v>
                </c:pt>
                <c:pt idx="18">
                  <c:v>158660329.65359378</c:v>
                </c:pt>
                <c:pt idx="19">
                  <c:v>162229052.30076104</c:v>
                </c:pt>
                <c:pt idx="20">
                  <c:v>165417049.64485866</c:v>
                </c:pt>
                <c:pt idx="21">
                  <c:v>166212974.51731735</c:v>
                </c:pt>
                <c:pt idx="22">
                  <c:v>167930658.23122787</c:v>
                </c:pt>
              </c:numCache>
            </c:numRef>
          </c:val>
          <c:extLst>
            <c:ext xmlns:c16="http://schemas.microsoft.com/office/drawing/2014/chart" uri="{C3380CC4-5D6E-409C-BE32-E72D297353CC}">
              <c16:uniqueId val="{00000003-9D7A-4123-A56C-09EC7A7E9BC1}"/>
            </c:ext>
          </c:extLst>
        </c:ser>
        <c:dLbls>
          <c:showLegendKey val="0"/>
          <c:showVal val="0"/>
          <c:showCatName val="0"/>
          <c:showSerName val="0"/>
          <c:showPercent val="0"/>
          <c:showBubbleSize val="0"/>
        </c:dLbls>
        <c:gapWidth val="150"/>
        <c:overlap val="100"/>
        <c:axId val="590624800"/>
        <c:axId val="590625784"/>
      </c:barChart>
      <c:lineChart>
        <c:grouping val="standard"/>
        <c:varyColors val="0"/>
        <c:ser>
          <c:idx val="5"/>
          <c:order val="4"/>
          <c:tx>
            <c:strRef>
              <c:f>'$ Tables and Graphs'!$Z$3</c:f>
              <c:strCache>
                <c:ptCount val="1"/>
                <c:pt idx="0">
                  <c:v>Year-End RPS Balance</c:v>
                </c:pt>
              </c:strCache>
            </c:strRef>
          </c:tx>
          <c:spPr>
            <a:ln w="28575" cap="rnd">
              <a:noFill/>
              <a:round/>
            </a:ln>
            <a:effectLst/>
          </c:spPr>
          <c:marker>
            <c:symbol val="dash"/>
            <c:size val="20"/>
            <c:spPr>
              <a:solidFill>
                <a:schemeClr val="accent6"/>
              </a:solidFill>
              <a:ln w="9525">
                <a:solidFill>
                  <a:schemeClr val="accent6"/>
                </a:solidFill>
              </a:ln>
              <a:effectLst/>
            </c:spPr>
          </c:marker>
          <c:cat>
            <c:strRef>
              <c:f>'$ Tables and Graphs'!$T$4:$T$26</c:f>
              <c:strCache>
                <c:ptCount val="23"/>
                <c:pt idx="0">
                  <c:v>2020-2021</c:v>
                </c:pt>
                <c:pt idx="1">
                  <c:v>2021-2022</c:v>
                </c:pt>
                <c:pt idx="2">
                  <c:v>2022-2023</c:v>
                </c:pt>
                <c:pt idx="3">
                  <c:v>2023-2024</c:v>
                </c:pt>
                <c:pt idx="4">
                  <c:v>2024-2025</c:v>
                </c:pt>
                <c:pt idx="5">
                  <c:v>2025-2026</c:v>
                </c:pt>
                <c:pt idx="6">
                  <c:v>2026-2027</c:v>
                </c:pt>
                <c:pt idx="7">
                  <c:v>2027-2028</c:v>
                </c:pt>
                <c:pt idx="8">
                  <c:v>2028-2029</c:v>
                </c:pt>
                <c:pt idx="9">
                  <c:v>2029-2030</c:v>
                </c:pt>
                <c:pt idx="10">
                  <c:v>2030-2031</c:v>
                </c:pt>
                <c:pt idx="11">
                  <c:v>2031-2032</c:v>
                </c:pt>
                <c:pt idx="12">
                  <c:v>2032-2033</c:v>
                </c:pt>
                <c:pt idx="13">
                  <c:v>2033-2034</c:v>
                </c:pt>
                <c:pt idx="14">
                  <c:v>2034-2035</c:v>
                </c:pt>
                <c:pt idx="15">
                  <c:v>2035-2036</c:v>
                </c:pt>
                <c:pt idx="16">
                  <c:v>2036-2037</c:v>
                </c:pt>
                <c:pt idx="17">
                  <c:v>2037-2038</c:v>
                </c:pt>
                <c:pt idx="18">
                  <c:v>2038-2039</c:v>
                </c:pt>
                <c:pt idx="19">
                  <c:v>2039-2040</c:v>
                </c:pt>
                <c:pt idx="20">
                  <c:v>2040-2041</c:v>
                </c:pt>
                <c:pt idx="21">
                  <c:v>2041-2042</c:v>
                </c:pt>
                <c:pt idx="22">
                  <c:v>2042-2043</c:v>
                </c:pt>
              </c:strCache>
            </c:strRef>
          </c:cat>
          <c:val>
            <c:numRef>
              <c:f>'$ Tables and Graphs'!$Z$4:$Z$26</c:f>
              <c:numCache>
                <c:formatCode>"$"#,##0_);[Red]\("$"#,##0\)</c:formatCode>
                <c:ptCount val="23"/>
                <c:pt idx="0">
                  <c:v>293790554.98094952</c:v>
                </c:pt>
                <c:pt idx="1">
                  <c:v>248200632.95190209</c:v>
                </c:pt>
                <c:pt idx="2">
                  <c:v>388749963.44245076</c:v>
                </c:pt>
                <c:pt idx="3">
                  <c:v>607275723.95881271</c:v>
                </c:pt>
                <c:pt idx="4">
                  <c:v>604238555.42314124</c:v>
                </c:pt>
                <c:pt idx="5">
                  <c:v>633813652.43962193</c:v>
                </c:pt>
                <c:pt idx="6">
                  <c:v>568999884.69689834</c:v>
                </c:pt>
                <c:pt idx="7">
                  <c:v>380792569.78215742</c:v>
                </c:pt>
                <c:pt idx="8">
                  <c:v>53409504.634589553</c:v>
                </c:pt>
                <c:pt idx="9">
                  <c:v>-426010187.37957072</c:v>
                </c:pt>
                <c:pt idx="10">
                  <c:v>-1063415720.1020508</c:v>
                </c:pt>
                <c:pt idx="11">
                  <c:v>-1858868683.3309617</c:v>
                </c:pt>
                <c:pt idx="12">
                  <c:v>-2699483994.1275163</c:v>
                </c:pt>
                <c:pt idx="13">
                  <c:v>-3637598332.9899659</c:v>
                </c:pt>
                <c:pt idx="14">
                  <c:v>-4489821623.0091753</c:v>
                </c:pt>
                <c:pt idx="15">
                  <c:v>-5333088206.949687</c:v>
                </c:pt>
                <c:pt idx="16">
                  <c:v>-6183063304.1708984</c:v>
                </c:pt>
                <c:pt idx="17">
                  <c:v>-7057017916.1629</c:v>
                </c:pt>
                <c:pt idx="18">
                  <c:v>-8023342165.0258074</c:v>
                </c:pt>
                <c:pt idx="19">
                  <c:v>-9060987740.9106541</c:v>
                </c:pt>
                <c:pt idx="20">
                  <c:v>-10162865084.493187</c:v>
                </c:pt>
                <c:pt idx="21">
                  <c:v>-11348706563.030979</c:v>
                </c:pt>
                <c:pt idx="22">
                  <c:v>-12559282036.498909</c:v>
                </c:pt>
              </c:numCache>
            </c:numRef>
          </c:val>
          <c:smooth val="0"/>
          <c:extLst>
            <c:ext xmlns:c16="http://schemas.microsoft.com/office/drawing/2014/chart" uri="{C3380CC4-5D6E-409C-BE32-E72D297353CC}">
              <c16:uniqueId val="{00000005-9D7A-4123-A56C-09EC7A7E9BC1}"/>
            </c:ext>
          </c:extLst>
        </c:ser>
        <c:dLbls>
          <c:showLegendKey val="0"/>
          <c:showVal val="0"/>
          <c:showCatName val="0"/>
          <c:showSerName val="0"/>
          <c:showPercent val="0"/>
          <c:showBubbleSize val="0"/>
        </c:dLbls>
        <c:marker val="1"/>
        <c:smooth val="0"/>
        <c:axId val="590624800"/>
        <c:axId val="590625784"/>
      </c:lineChart>
      <c:catAx>
        <c:axId val="590624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590625784"/>
        <c:crosses val="autoZero"/>
        <c:auto val="1"/>
        <c:lblAlgn val="ctr"/>
        <c:lblOffset val="100"/>
        <c:noMultiLvlLbl val="0"/>
      </c:catAx>
      <c:valAx>
        <c:axId val="590625784"/>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590624800"/>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153150" cy="9095054"/>
    <xdr:sp macro="" textlink="">
      <xdr:nvSpPr>
        <xdr:cNvPr id="2" name="TextBox 1">
          <a:extLst>
            <a:ext uri="{FF2B5EF4-FFF2-40B4-BE49-F238E27FC236}">
              <a16:creationId xmlns:a16="http://schemas.microsoft.com/office/drawing/2014/main" id="{6917C4A5-53B4-47A7-9714-8679422F431A}"/>
            </a:ext>
          </a:extLst>
        </xdr:cNvPr>
        <xdr:cNvSpPr txBox="1"/>
      </xdr:nvSpPr>
      <xdr:spPr>
        <a:xfrm>
          <a:off x="0" y="0"/>
          <a:ext cx="6153150" cy="90950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u="sng">
              <a:solidFill>
                <a:schemeClr val="tx1"/>
              </a:solidFill>
              <a:effectLst/>
              <a:latin typeface="+mn-lt"/>
              <a:ea typeface="+mn-ea"/>
              <a:cs typeface="+mn-cs"/>
            </a:rPr>
            <a:t>Appendix</a:t>
          </a:r>
          <a:r>
            <a:rPr lang="en-US" sz="1100" b="1" u="sng" baseline="0">
              <a:solidFill>
                <a:schemeClr val="tx1"/>
              </a:solidFill>
              <a:effectLst/>
              <a:latin typeface="+mn-lt"/>
              <a:ea typeface="+mn-ea"/>
              <a:cs typeface="+mn-cs"/>
            </a:rPr>
            <a:t> B</a:t>
          </a:r>
          <a:r>
            <a:rPr lang="en-US" sz="1100" b="1" u="sng">
              <a:solidFill>
                <a:schemeClr val="tx1"/>
              </a:solidFill>
              <a:effectLst/>
              <a:latin typeface="+mn-lt"/>
              <a:ea typeface="+mn-ea"/>
              <a:cs typeface="+mn-cs"/>
            </a:rPr>
            <a:t> Annotation by Tab</a:t>
          </a:r>
        </a:p>
        <a:p>
          <a:endParaRPr lang="en-US" sz="1400">
            <a:effectLst/>
          </a:endParaRPr>
        </a:p>
        <a:p>
          <a:r>
            <a:rPr lang="en-US" sz="1100" b="1" u="sng">
              <a:solidFill>
                <a:schemeClr val="tx1"/>
              </a:solidFill>
              <a:effectLst/>
              <a:latin typeface="+mn-lt"/>
              <a:ea typeface="+mn-ea"/>
              <a:cs typeface="+mn-cs"/>
            </a:rPr>
            <a:t>Collections and ACP</a:t>
          </a:r>
          <a:endParaRPr lang="en-US">
            <a:effectLst/>
          </a:endParaRPr>
        </a:p>
        <a:p>
          <a:r>
            <a:rPr lang="en-US" sz="1100">
              <a:solidFill>
                <a:schemeClr val="tx1"/>
              </a:solidFill>
              <a:effectLst/>
              <a:latin typeface="+mn-lt"/>
              <a:ea typeface="+mn-ea"/>
              <a:cs typeface="+mn-cs"/>
            </a:rPr>
            <a:t>This tab contains tables that show the Total Applicable Reference Year Delivered Volumes provided by each Utility, the RPS Rate Cap cost per MWh determined in law and the resulting Delivery Year RPS Budget. This tab also includes tables showing Net Available ACPs for each Utility as of </a:t>
          </a:r>
          <a:r>
            <a:rPr lang="en-US" sz="1100" u="none">
              <a:solidFill>
                <a:schemeClr val="tx1"/>
              </a:solidFill>
              <a:effectLst/>
              <a:latin typeface="+mn-lt"/>
              <a:ea typeface="+mn-ea"/>
              <a:cs typeface="+mn-cs"/>
            </a:rPr>
            <a:t>August</a:t>
          </a:r>
          <a:r>
            <a:rPr lang="en-US" sz="1100" u="none" baseline="0">
              <a:solidFill>
                <a:schemeClr val="tx1"/>
              </a:solidFill>
              <a:effectLst/>
              <a:latin typeface="+mn-lt"/>
              <a:ea typeface="+mn-ea"/>
              <a:cs typeface="+mn-cs"/>
            </a:rPr>
            <a:t> 2023</a:t>
          </a:r>
          <a:r>
            <a:rPr lang="en-US" sz="1100">
              <a:solidFill>
                <a:schemeClr val="tx1"/>
              </a:solidFill>
              <a:effectLst/>
              <a:latin typeface="+mn-lt"/>
              <a:ea typeface="+mn-ea"/>
              <a:cs typeface="+mn-cs"/>
            </a:rPr>
            <a:t>, and the annual Delivery Year RPS Utility balance.</a:t>
          </a:r>
          <a:endParaRPr lang="en-US">
            <a:effectLst/>
          </a:endParaRPr>
        </a:p>
        <a:p>
          <a:r>
            <a:rPr lang="en-US" sz="1100">
              <a:solidFill>
                <a:schemeClr val="tx1"/>
              </a:solidFill>
              <a:effectLst/>
              <a:latin typeface="+mn-lt"/>
              <a:ea typeface="+mn-ea"/>
              <a:cs typeface="+mn-cs"/>
            </a:rPr>
            <a:t> </a:t>
          </a:r>
          <a:endParaRPr lang="en-US" sz="1100" b="1" u="sng">
            <a:solidFill>
              <a:schemeClr val="tx1"/>
            </a:solidFill>
            <a:effectLst/>
            <a:latin typeface="+mn-lt"/>
            <a:ea typeface="+mn-ea"/>
            <a:cs typeface="+mn-cs"/>
          </a:endParaRPr>
        </a:p>
        <a:p>
          <a:r>
            <a:rPr lang="en-US" sz="1100" b="1" u="sng">
              <a:solidFill>
                <a:schemeClr val="tx1"/>
              </a:solidFill>
              <a:effectLst/>
              <a:latin typeface="+mn-lt"/>
              <a:ea typeface="+mn-ea"/>
              <a:cs typeface="+mn-cs"/>
            </a:rPr>
            <a:t>Indexed REC</a:t>
          </a:r>
          <a:r>
            <a:rPr lang="en-US" sz="1100" b="1" u="sng" baseline="0">
              <a:solidFill>
                <a:schemeClr val="tx1"/>
              </a:solidFill>
              <a:effectLst/>
              <a:latin typeface="+mn-lt"/>
              <a:ea typeface="+mn-ea"/>
              <a:cs typeface="+mn-cs"/>
            </a:rPr>
            <a:t> Price Calculator</a:t>
          </a:r>
          <a:endParaRPr lang="en-US">
            <a:effectLst/>
          </a:endParaRPr>
        </a:p>
        <a:p>
          <a:r>
            <a:rPr lang="en-US" sz="1100">
              <a:solidFill>
                <a:schemeClr val="tx1"/>
              </a:solidFill>
              <a:effectLst/>
              <a:latin typeface="+mn-lt"/>
              <a:ea typeface="+mn-ea"/>
              <a:cs typeface="+mn-cs"/>
            </a:rPr>
            <a:t>This tab contains the REC price calculations for the Utility Scale Wind, Solar, and Brownfield Indexed RECs.</a:t>
          </a:r>
          <a:endParaRPr lang="en-US">
            <a:effectLst/>
          </a:endParaRPr>
        </a:p>
        <a:p>
          <a:endParaRPr lang="en-US" sz="1100" b="1" u="sng">
            <a:solidFill>
              <a:schemeClr val="tx1"/>
            </a:solidFill>
            <a:effectLst/>
            <a:latin typeface="+mn-lt"/>
            <a:ea typeface="+mn-ea"/>
            <a:cs typeface="+mn-cs"/>
          </a:endParaRPr>
        </a:p>
        <a:p>
          <a:r>
            <a:rPr lang="en-US" sz="1100" b="1" u="sng">
              <a:solidFill>
                <a:schemeClr val="tx1"/>
              </a:solidFill>
              <a:effectLst/>
              <a:latin typeface="+mn-lt"/>
              <a:ea typeface="+mn-ea"/>
              <a:cs typeface="+mn-cs"/>
            </a:rPr>
            <a:t>Indexed REC Activities</a:t>
          </a:r>
        </a:p>
        <a:p>
          <a:r>
            <a:rPr lang="en-US" sz="1100" b="0" u="none" baseline="0">
              <a:solidFill>
                <a:schemeClr val="tx1"/>
              </a:solidFill>
              <a:effectLst/>
              <a:latin typeface="+mn-lt"/>
              <a:ea typeface="+mn-ea"/>
              <a:cs typeface="+mn-cs"/>
            </a:rPr>
            <a:t>This tab contains the total RECs Delivered, the Total RECs under Contract through </a:t>
          </a:r>
        </a:p>
        <a:p>
          <a:r>
            <a:rPr lang="en-US" sz="1100" b="0" u="none" baseline="0">
              <a:solidFill>
                <a:schemeClr val="tx1"/>
              </a:solidFill>
              <a:effectLst/>
              <a:latin typeface="+mn-lt"/>
              <a:ea typeface="+mn-ea"/>
              <a:cs typeface="+mn-cs"/>
            </a:rPr>
            <a:t>2024, the Total Projected RECs to be Delivered. </a:t>
          </a:r>
        </a:p>
        <a:p>
          <a:endParaRPr lang="en-US" sz="1100" b="0" u="none" baseline="0">
            <a:solidFill>
              <a:schemeClr val="tx1"/>
            </a:solidFill>
            <a:effectLst/>
            <a:latin typeface="+mn-lt"/>
            <a:ea typeface="+mn-ea"/>
            <a:cs typeface="+mn-cs"/>
          </a:endParaRPr>
        </a:p>
        <a:p>
          <a:pPr marL="0" indent="0"/>
          <a:r>
            <a:rPr lang="en-US" sz="1100" b="1" u="sng">
              <a:solidFill>
                <a:schemeClr val="tx1"/>
              </a:solidFill>
              <a:effectLst/>
              <a:latin typeface="+mn-lt"/>
              <a:ea typeface="+mn-ea"/>
              <a:cs typeface="+mn-cs"/>
            </a:rPr>
            <a:t>Indexed REC Spend</a:t>
          </a:r>
        </a:p>
        <a:p>
          <a:r>
            <a:rPr lang="en-US" sz="1100" b="0" u="none" baseline="0">
              <a:solidFill>
                <a:schemeClr val="tx1"/>
              </a:solidFill>
              <a:effectLst/>
              <a:latin typeface="+mn-lt"/>
              <a:ea typeface="+mn-ea"/>
              <a:cs typeface="+mn-cs"/>
            </a:rPr>
            <a:t>This tab includes tables that consolidate the entire current and projected </a:t>
          </a:r>
          <a:r>
            <a:rPr lang="en-US" sz="1100">
              <a:solidFill>
                <a:schemeClr val="tx1"/>
              </a:solidFill>
              <a:effectLst/>
              <a:latin typeface="+mn-lt"/>
              <a:ea typeface="+mn-ea"/>
              <a:cs typeface="+mn-cs"/>
            </a:rPr>
            <a:t>Utility Scale Wind, Solar, and Brownfield Indexed REC</a:t>
          </a:r>
          <a:r>
            <a:rPr lang="en-US" sz="1100" b="0" u="none" baseline="0">
              <a:solidFill>
                <a:schemeClr val="tx1"/>
              </a:solidFill>
              <a:effectLst/>
              <a:latin typeface="+mn-lt"/>
              <a:ea typeface="+mn-ea"/>
              <a:cs typeface="+mn-cs"/>
            </a:rPr>
            <a:t> spending by Delivery Year.</a:t>
          </a:r>
        </a:p>
        <a:p>
          <a:pPr marL="0" indent="0"/>
          <a:endParaRPr lang="en-US" sz="1100" b="1" u="sng">
            <a:solidFill>
              <a:schemeClr val="tx1"/>
            </a:solidFill>
            <a:effectLst/>
            <a:latin typeface="+mn-lt"/>
            <a:ea typeface="+mn-ea"/>
            <a:cs typeface="+mn-cs"/>
          </a:endParaRPr>
        </a:p>
        <a:p>
          <a:pPr marL="0" indent="0"/>
          <a:r>
            <a:rPr lang="en-US" sz="1100" b="1" u="sng">
              <a:solidFill>
                <a:schemeClr val="tx1"/>
              </a:solidFill>
              <a:effectLst/>
              <a:latin typeface="+mn-lt"/>
              <a:ea typeface="+mn-ea"/>
              <a:cs typeface="+mn-cs"/>
            </a:rPr>
            <a:t>ABP Future Assumptions</a:t>
          </a:r>
        </a:p>
        <a:p>
          <a:r>
            <a:rPr lang="en-US" sz="1100" b="0" u="none" baseline="0">
              <a:solidFill>
                <a:schemeClr val="tx1"/>
              </a:solidFill>
              <a:effectLst/>
              <a:latin typeface="+mn-lt"/>
              <a:ea typeface="+mn-ea"/>
              <a:cs typeface="+mn-cs"/>
            </a:rPr>
            <a:t>This tab contains assumptions used as inputs to model Delivery Years 2024-2025, 2025-2026 ABP Block Sizes, Capacity Factors, REC Prices, REC Degradation Rate, and REC Price Annual Decrease. </a:t>
          </a:r>
        </a:p>
        <a:p>
          <a:endParaRPr lang="en-US" sz="1100" b="0" u="none" baseline="0">
            <a:solidFill>
              <a:schemeClr val="tx1"/>
            </a:solidFill>
            <a:effectLst/>
            <a:latin typeface="+mn-lt"/>
            <a:ea typeface="+mn-ea"/>
            <a:cs typeface="+mn-cs"/>
          </a:endParaRPr>
        </a:p>
        <a:p>
          <a:pPr marL="0" indent="0"/>
          <a:r>
            <a:rPr lang="en-US" sz="1100" b="1" u="sng">
              <a:solidFill>
                <a:schemeClr val="tx1"/>
              </a:solidFill>
              <a:effectLst/>
              <a:latin typeface="+mn-lt"/>
              <a:ea typeface="+mn-ea"/>
              <a:cs typeface="+mn-cs"/>
            </a:rPr>
            <a:t>24-25 Activities</a:t>
          </a:r>
        </a:p>
        <a:p>
          <a:r>
            <a:rPr lang="en-US" sz="1100" b="0" u="none" baseline="0">
              <a:solidFill>
                <a:schemeClr val="tx1"/>
              </a:solidFill>
              <a:effectLst/>
              <a:latin typeface="+mn-lt"/>
              <a:ea typeface="+mn-ea"/>
              <a:cs typeface="+mn-cs"/>
            </a:rPr>
            <a:t>This tab contains the REC delivery schedules for ABP that are under contract, as well as the REC payment schedule using the ABP Future assumptions tab as inputs. </a:t>
          </a:r>
        </a:p>
        <a:p>
          <a:endParaRPr lang="en-US" sz="1100" b="0" u="none" baseline="0">
            <a:solidFill>
              <a:schemeClr val="tx1"/>
            </a:solidFill>
            <a:effectLst/>
            <a:latin typeface="+mn-lt"/>
            <a:ea typeface="+mn-ea"/>
            <a:cs typeface="+mn-cs"/>
          </a:endParaRPr>
        </a:p>
        <a:p>
          <a:pPr marL="0" indent="0"/>
          <a:r>
            <a:rPr lang="en-US" sz="1100" b="1" u="sng">
              <a:solidFill>
                <a:schemeClr val="tx1"/>
              </a:solidFill>
              <a:effectLst/>
              <a:latin typeface="+mn-lt"/>
              <a:ea typeface="+mn-ea"/>
              <a:cs typeface="+mn-cs"/>
            </a:rPr>
            <a:t>Projected ABP RECs</a:t>
          </a:r>
        </a:p>
        <a:p>
          <a:r>
            <a:rPr lang="en-US" sz="1100" b="0" u="none" baseline="0">
              <a:solidFill>
                <a:schemeClr val="tx1"/>
              </a:solidFill>
              <a:effectLst/>
              <a:latin typeface="+mn-lt"/>
              <a:ea typeface="+mn-ea"/>
              <a:cs typeface="+mn-cs"/>
            </a:rPr>
            <a:t>This tab contains the projected ABP RECs to be delivered.</a:t>
          </a:r>
        </a:p>
        <a:p>
          <a:endParaRPr lang="en-US" sz="1100" b="0" u="none" baseline="0">
            <a:solidFill>
              <a:schemeClr val="tx1"/>
            </a:solidFill>
            <a:effectLst/>
            <a:latin typeface="+mn-lt"/>
            <a:ea typeface="+mn-ea"/>
            <a:cs typeface="+mn-cs"/>
          </a:endParaRPr>
        </a:p>
        <a:p>
          <a:r>
            <a:rPr lang="en-US" sz="1100" b="1" u="sng" baseline="0">
              <a:solidFill>
                <a:schemeClr val="tx1"/>
              </a:solidFill>
              <a:effectLst/>
              <a:latin typeface="+mn-lt"/>
              <a:ea typeface="+mn-ea"/>
              <a:cs typeface="+mn-cs"/>
            </a:rPr>
            <a:t>Projected ABP Spend</a:t>
          </a:r>
        </a:p>
        <a:p>
          <a:r>
            <a:rPr lang="en-US" sz="1100" b="0" u="none" baseline="0">
              <a:solidFill>
                <a:schemeClr val="tx1"/>
              </a:solidFill>
              <a:effectLst/>
              <a:latin typeface="+mn-lt"/>
              <a:ea typeface="+mn-ea"/>
              <a:cs typeface="+mn-cs"/>
            </a:rPr>
            <a:t>This tab contains the projected ABP spending.</a:t>
          </a:r>
        </a:p>
        <a:p>
          <a:endParaRPr lang="en-US" sz="1100" b="0" u="none" baseline="0">
            <a:solidFill>
              <a:schemeClr val="tx1"/>
            </a:solidFill>
            <a:effectLst/>
            <a:latin typeface="+mn-lt"/>
            <a:ea typeface="+mn-ea"/>
            <a:cs typeface="+mn-cs"/>
          </a:endParaRPr>
        </a:p>
        <a:p>
          <a:r>
            <a:rPr lang="en-US" sz="1100" b="1" u="sng" baseline="0">
              <a:solidFill>
                <a:schemeClr val="tx1"/>
              </a:solidFill>
              <a:effectLst/>
              <a:latin typeface="+mn-lt"/>
              <a:ea typeface="+mn-ea"/>
              <a:cs typeface="+mn-cs"/>
            </a:rPr>
            <a:t>ABP Under Contract</a:t>
          </a:r>
        </a:p>
        <a:p>
          <a:r>
            <a:rPr lang="en-US" sz="1100" b="0" u="none" baseline="0">
              <a:solidFill>
                <a:schemeClr val="tx1"/>
              </a:solidFill>
              <a:effectLst/>
              <a:latin typeface="+mn-lt"/>
              <a:ea typeface="+mn-ea"/>
              <a:cs typeface="+mn-cs"/>
            </a:rPr>
            <a:t>This tab shows current ABP RECs under contract.</a:t>
          </a:r>
        </a:p>
        <a:p>
          <a:endParaRPr lang="en-US" sz="1100" b="0" u="none" baseline="0">
            <a:solidFill>
              <a:schemeClr val="tx1"/>
            </a:solidFill>
            <a:effectLst/>
            <a:latin typeface="+mn-lt"/>
            <a:ea typeface="+mn-ea"/>
            <a:cs typeface="+mn-cs"/>
          </a:endParaRPr>
        </a:p>
        <a:p>
          <a:r>
            <a:rPr lang="en-US" sz="1100" b="1" u="sng">
              <a:solidFill>
                <a:schemeClr val="tx1"/>
              </a:solidFill>
              <a:effectLst/>
              <a:latin typeface="+mn-lt"/>
              <a:ea typeface="+mn-ea"/>
              <a:cs typeface="+mn-cs"/>
            </a:rPr>
            <a:t>Total REC Delivery Activities</a:t>
          </a:r>
          <a:endParaRPr lang="en-US">
            <a:effectLst/>
          </a:endParaRPr>
        </a:p>
        <a:p>
          <a:r>
            <a:rPr lang="en-US" sz="1100">
              <a:solidFill>
                <a:schemeClr val="tx1"/>
              </a:solidFill>
              <a:effectLst/>
              <a:latin typeface="+mn-lt"/>
              <a:ea typeface="+mn-ea"/>
              <a:cs typeface="+mn-cs"/>
            </a:rPr>
            <a:t>This tab contains tables showing the REC Delivery Schedule created by each year’s new ABP opening, Utility Wind, Utility Solar and Brownfield Procurement.</a:t>
          </a:r>
          <a:r>
            <a:rPr lang="en-US" sz="1100" baseline="0">
              <a:solidFill>
                <a:schemeClr val="tx1"/>
              </a:solidFill>
              <a:effectLst/>
              <a:latin typeface="+mn-lt"/>
              <a:ea typeface="+mn-ea"/>
              <a:cs typeface="+mn-cs"/>
            </a:rPr>
            <a:t> </a:t>
          </a:r>
        </a:p>
        <a:p>
          <a:endParaRPr lang="en-US" sz="1100" b="0" u="none" baseline="0">
            <a:solidFill>
              <a:schemeClr val="tx1"/>
            </a:solidFill>
            <a:effectLst/>
            <a:latin typeface="+mn-lt"/>
            <a:ea typeface="+mn-ea"/>
            <a:cs typeface="+mn-cs"/>
          </a:endParaRPr>
        </a:p>
        <a:p>
          <a:r>
            <a:rPr lang="en-US" sz="1100" b="1" u="sng">
              <a:solidFill>
                <a:schemeClr val="tx1"/>
              </a:solidFill>
              <a:effectLst/>
              <a:latin typeface="+mn-lt"/>
              <a:ea typeface="+mn-ea"/>
              <a:cs typeface="+mn-cs"/>
            </a:rPr>
            <a:t>Total REC Spend Activities</a:t>
          </a:r>
          <a:endParaRPr lang="en-US">
            <a:effectLst/>
          </a:endParaRPr>
        </a:p>
        <a:p>
          <a:r>
            <a:rPr lang="en-US" sz="1100">
              <a:solidFill>
                <a:schemeClr val="tx1"/>
              </a:solidFill>
              <a:effectLst/>
              <a:latin typeface="+mn-lt"/>
              <a:ea typeface="+mn-ea"/>
              <a:cs typeface="+mn-cs"/>
            </a:rPr>
            <a:t>This tab contains tables showing the spend created each year by new ABP opening, Utility Wind, Utility Solar and Brownfield Procurements. </a:t>
          </a:r>
        </a:p>
        <a:p>
          <a:endParaRPr lang="en-US" sz="1100">
            <a:solidFill>
              <a:schemeClr val="tx1"/>
            </a:solidFill>
            <a:effectLst/>
            <a:latin typeface="+mn-lt"/>
            <a:ea typeface="+mn-ea"/>
            <a:cs typeface="+mn-cs"/>
          </a:endParaRPr>
        </a:p>
        <a:p>
          <a:r>
            <a:rPr lang="en-US" sz="1100" b="1" u="sng">
              <a:solidFill>
                <a:schemeClr val="tx1"/>
              </a:solidFill>
              <a:effectLst/>
              <a:latin typeface="+mn-lt"/>
              <a:ea typeface="+mn-ea"/>
              <a:cs typeface="+mn-cs"/>
            </a:rPr>
            <a:t>$ Tables and Graphs</a:t>
          </a:r>
          <a:endParaRPr lang="en-US">
            <a:effectLst/>
          </a:endParaRPr>
        </a:p>
        <a:p>
          <a:r>
            <a:rPr lang="en-US" sz="1100">
              <a:solidFill>
                <a:schemeClr val="tx1"/>
              </a:solidFill>
              <a:effectLst/>
              <a:latin typeface="+mn-lt"/>
              <a:ea typeface="+mn-ea"/>
              <a:cs typeface="+mn-cs"/>
            </a:rPr>
            <a:t>This tab contains the RPS Spend Model tables and graphs showing Legacy Programs, In Progress, Proposed in This Plan, Potential Future Activities, and Set Asides (Figure 3-3). The spend data is also broken out by Utility. This data is calculated from the “RPS Spend” Tab.</a:t>
          </a:r>
        </a:p>
        <a:p>
          <a:endParaRPr lang="en-US" sz="1100" b="0" u="none" baseline="0">
            <a:solidFill>
              <a:schemeClr val="tx1"/>
            </a:solidFill>
            <a:effectLst/>
            <a:latin typeface="+mn-lt"/>
            <a:ea typeface="+mn-ea"/>
            <a:cs typeface="+mn-cs"/>
          </a:endParaRPr>
        </a:p>
        <a:p>
          <a:r>
            <a:rPr lang="en-US" sz="1100" b="1" u="sng">
              <a:solidFill>
                <a:schemeClr val="tx1"/>
              </a:solidFill>
              <a:effectLst/>
              <a:latin typeface="+mn-lt"/>
              <a:ea typeface="+mn-ea"/>
              <a:cs typeface="+mn-cs"/>
            </a:rPr>
            <a:t>Ch.</a:t>
          </a:r>
          <a:r>
            <a:rPr lang="en-US" sz="1100" b="1" u="sng" baseline="0">
              <a:solidFill>
                <a:schemeClr val="tx1"/>
              </a:solidFill>
              <a:effectLst/>
              <a:latin typeface="+mn-lt"/>
              <a:ea typeface="+mn-ea"/>
              <a:cs typeface="+mn-cs"/>
            </a:rPr>
            <a:t> 3 Tables and Graphs</a:t>
          </a:r>
        </a:p>
        <a:p>
          <a:r>
            <a:rPr lang="en-US" sz="1100" b="0" u="none" baseline="0">
              <a:solidFill>
                <a:schemeClr val="tx1"/>
              </a:solidFill>
              <a:effectLst/>
              <a:latin typeface="+mn-lt"/>
              <a:ea typeface="+mn-ea"/>
              <a:cs typeface="+mn-cs"/>
            </a:rPr>
            <a:t>This tab includes Figures for chapter 3 of the Long-term Renewable Resources Procurement Plan.</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614362</xdr:colOff>
      <xdr:row>200</xdr:row>
      <xdr:rowOff>157162</xdr:rowOff>
    </xdr:from>
    <xdr:to>
      <xdr:col>11</xdr:col>
      <xdr:colOff>514350</xdr:colOff>
      <xdr:row>226</xdr:row>
      <xdr:rowOff>95250</xdr:rowOff>
    </xdr:to>
    <xdr:graphicFrame macro="">
      <xdr:nvGraphicFramePr>
        <xdr:cNvPr id="2" name="Chart 1">
          <a:extLst>
            <a:ext uri="{FF2B5EF4-FFF2-40B4-BE49-F238E27FC236}">
              <a16:creationId xmlns:a16="http://schemas.microsoft.com/office/drawing/2014/main" id="{0AF3345C-6744-E715-FF21-552E18DD67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147637</xdr:colOff>
      <xdr:row>10</xdr:row>
      <xdr:rowOff>109537</xdr:rowOff>
    </xdr:from>
    <xdr:to>
      <xdr:col>16</xdr:col>
      <xdr:colOff>581025</xdr:colOff>
      <xdr:row>34</xdr:row>
      <xdr:rowOff>123825</xdr:rowOff>
    </xdr:to>
    <xdr:graphicFrame macro="">
      <xdr:nvGraphicFramePr>
        <xdr:cNvPr id="2" name="Chart 1">
          <a:extLst>
            <a:ext uri="{FF2B5EF4-FFF2-40B4-BE49-F238E27FC236}">
              <a16:creationId xmlns:a16="http://schemas.microsoft.com/office/drawing/2014/main" id="{56F74DF2-33FC-543C-0348-7CD2956CBD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14</xdr:col>
      <xdr:colOff>421822</xdr:colOff>
      <xdr:row>90</xdr:row>
      <xdr:rowOff>136071</xdr:rowOff>
    </xdr:from>
    <xdr:to>
      <xdr:col>25</xdr:col>
      <xdr:colOff>51027</xdr:colOff>
      <xdr:row>133</xdr:row>
      <xdr:rowOff>54428</xdr:rowOff>
    </xdr:to>
    <xdr:graphicFrame macro="">
      <xdr:nvGraphicFramePr>
        <xdr:cNvPr id="2" name="Chart 1">
          <a:extLst>
            <a:ext uri="{FF2B5EF4-FFF2-40B4-BE49-F238E27FC236}">
              <a16:creationId xmlns:a16="http://schemas.microsoft.com/office/drawing/2014/main" id="{A8A3553D-86CE-4574-B73E-B7F27B66AD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913379</xdr:colOff>
      <xdr:row>1</xdr:row>
      <xdr:rowOff>134484</xdr:rowOff>
    </xdr:from>
    <xdr:to>
      <xdr:col>19</xdr:col>
      <xdr:colOff>380660</xdr:colOff>
      <xdr:row>28</xdr:row>
      <xdr:rowOff>147978</xdr:rowOff>
    </xdr:to>
    <xdr:graphicFrame macro="">
      <xdr:nvGraphicFramePr>
        <xdr:cNvPr id="4" name="Chart 3">
          <a:extLst>
            <a:ext uri="{FF2B5EF4-FFF2-40B4-BE49-F238E27FC236}">
              <a16:creationId xmlns:a16="http://schemas.microsoft.com/office/drawing/2014/main" id="{2F03C03D-F4D4-49DE-94E3-BD04B72EC1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258536</xdr:colOff>
      <xdr:row>154</xdr:row>
      <xdr:rowOff>53974</xdr:rowOff>
    </xdr:from>
    <xdr:to>
      <xdr:col>28</xdr:col>
      <xdr:colOff>898072</xdr:colOff>
      <xdr:row>187</xdr:row>
      <xdr:rowOff>163286</xdr:rowOff>
    </xdr:to>
    <xdr:graphicFrame macro="">
      <xdr:nvGraphicFramePr>
        <xdr:cNvPr id="5" name="Chart 4">
          <a:extLst>
            <a:ext uri="{FF2B5EF4-FFF2-40B4-BE49-F238E27FC236}">
              <a16:creationId xmlns:a16="http://schemas.microsoft.com/office/drawing/2014/main" id="{DD756BE9-9D77-8DFB-A666-8DE1CD4E3C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29</xdr:col>
      <xdr:colOff>228600</xdr:colOff>
      <xdr:row>2</xdr:row>
      <xdr:rowOff>51856</xdr:rowOff>
    </xdr:from>
    <xdr:to>
      <xdr:col>41</xdr:col>
      <xdr:colOff>255058</xdr:colOff>
      <xdr:row>26</xdr:row>
      <xdr:rowOff>158750</xdr:rowOff>
    </xdr:to>
    <xdr:graphicFrame macro="">
      <xdr:nvGraphicFramePr>
        <xdr:cNvPr id="2" name="Chart 1">
          <a:extLst>
            <a:ext uri="{FF2B5EF4-FFF2-40B4-BE49-F238E27FC236}">
              <a16:creationId xmlns:a16="http://schemas.microsoft.com/office/drawing/2014/main" id="{06F05998-B4E1-4526-83F9-1EB99B0FD2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29</xdr:col>
      <xdr:colOff>0</xdr:colOff>
      <xdr:row>28</xdr:row>
      <xdr:rowOff>0</xdr:rowOff>
    </xdr:from>
    <xdr:to>
      <xdr:col>41</xdr:col>
      <xdr:colOff>26458</xdr:colOff>
      <xdr:row>54</xdr:row>
      <xdr:rowOff>170393</xdr:rowOff>
    </xdr:to>
    <xdr:graphicFrame macro="">
      <xdr:nvGraphicFramePr>
        <xdr:cNvPr id="3" name="Chart 2">
          <a:extLst>
            <a:ext uri="{FF2B5EF4-FFF2-40B4-BE49-F238E27FC236}">
              <a16:creationId xmlns:a16="http://schemas.microsoft.com/office/drawing/2014/main" id="{80C65007-EBEF-4DCC-902C-7773DB779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FA17E-D200-4FAE-8680-D980E1C1E70A}">
  <sheetPr>
    <tabColor theme="0"/>
    <pageSetUpPr fitToPage="1"/>
  </sheetPr>
  <dimension ref="A1"/>
  <sheetViews>
    <sheetView showGridLines="0" tabSelected="1" topLeftCell="A21" zoomScale="120" zoomScaleNormal="120" zoomScaleSheetLayoutView="100" workbookViewId="0">
      <selection activeCell="N18" sqref="N18"/>
    </sheetView>
  </sheetViews>
  <sheetFormatPr defaultColWidth="8.5703125" defaultRowHeight="15" x14ac:dyDescent="0.25"/>
  <cols>
    <col min="13" max="13" width="11.42578125" bestFit="1" customWidth="1"/>
  </cols>
  <sheetData/>
  <printOptions horizontalCentered="1" verticalCentered="1"/>
  <pageMargins left="0.7" right="0.7" top="0.75" bottom="0.75" header="0.3" footer="0.3"/>
  <pageSetup fitToHeight="3" orientation="portrait" r:id="rId1"/>
  <customProperties>
    <customPr name="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0695E-EA75-435A-857D-F9C5B35E9691}">
  <sheetPr>
    <tabColor theme="7" tint="0.59999389629810485"/>
    <pageSetUpPr fitToPage="1"/>
  </sheetPr>
  <dimension ref="A1:AO183"/>
  <sheetViews>
    <sheetView zoomScaleNormal="100" workbookViewId="0">
      <selection activeCell="F38" sqref="F38"/>
    </sheetView>
  </sheetViews>
  <sheetFormatPr defaultColWidth="9.140625" defaultRowHeight="15" x14ac:dyDescent="0.25"/>
  <cols>
    <col min="1" max="1" width="45.140625" bestFit="1" customWidth="1"/>
    <col min="2" max="2" width="9" bestFit="1" customWidth="1"/>
    <col min="3" max="3" width="11.5703125" bestFit="1" customWidth="1"/>
    <col min="4" max="4" width="12.5703125" bestFit="1" customWidth="1"/>
    <col min="5" max="5" width="11.5703125" bestFit="1" customWidth="1"/>
    <col min="6" max="6" width="12" bestFit="1" customWidth="1"/>
    <col min="7" max="7" width="12.5703125" bestFit="1" customWidth="1"/>
    <col min="8" max="8" width="12.42578125" bestFit="1" customWidth="1"/>
    <col min="9" max="21" width="12.5703125" bestFit="1" customWidth="1"/>
  </cols>
  <sheetData>
    <row r="1" spans="1:21" ht="15.75" x14ac:dyDescent="0.25">
      <c r="A1" s="68" t="s">
        <v>167</v>
      </c>
      <c r="B1" s="208">
        <v>2024</v>
      </c>
      <c r="C1" s="208">
        <v>2025</v>
      </c>
      <c r="D1" s="208">
        <v>2026</v>
      </c>
      <c r="E1" s="208">
        <v>2027</v>
      </c>
      <c r="F1" s="208">
        <v>2028</v>
      </c>
      <c r="G1" s="208">
        <v>2029</v>
      </c>
      <c r="H1" s="208">
        <v>2030</v>
      </c>
      <c r="I1" s="208">
        <v>2031</v>
      </c>
      <c r="J1" s="208">
        <v>2032</v>
      </c>
      <c r="K1" s="208">
        <v>2033</v>
      </c>
      <c r="L1" s="208">
        <v>2034</v>
      </c>
      <c r="M1" s="208">
        <v>2035</v>
      </c>
      <c r="N1" s="208">
        <v>2036</v>
      </c>
      <c r="O1" s="208">
        <v>2037</v>
      </c>
      <c r="P1" s="208">
        <v>2038</v>
      </c>
      <c r="Q1" s="208">
        <v>2039</v>
      </c>
      <c r="R1" s="208">
        <v>2040</v>
      </c>
      <c r="S1" s="208">
        <v>2041</v>
      </c>
      <c r="T1" s="208">
        <v>2042</v>
      </c>
      <c r="U1" s="208">
        <v>2043</v>
      </c>
    </row>
    <row r="2" spans="1:21" x14ac:dyDescent="0.25">
      <c r="A2" s="175" t="s">
        <v>124</v>
      </c>
      <c r="B2" s="69">
        <v>0</v>
      </c>
      <c r="C2" s="69">
        <f>B2*0.995</f>
        <v>0</v>
      </c>
      <c r="D2" s="69">
        <f>C2*0.995</f>
        <v>0</v>
      </c>
      <c r="E2" s="69">
        <f>D2*0.995</f>
        <v>0</v>
      </c>
      <c r="F2" s="69">
        <f t="shared" ref="F2:U2" si="0">E2*0.995</f>
        <v>0</v>
      </c>
      <c r="G2" s="69">
        <f t="shared" si="0"/>
        <v>0</v>
      </c>
      <c r="H2" s="69">
        <f t="shared" si="0"/>
        <v>0</v>
      </c>
      <c r="I2" s="69">
        <f t="shared" si="0"/>
        <v>0</v>
      </c>
      <c r="J2" s="69">
        <f t="shared" si="0"/>
        <v>0</v>
      </c>
      <c r="K2" s="69">
        <f t="shared" si="0"/>
        <v>0</v>
      </c>
      <c r="L2" s="69">
        <f t="shared" si="0"/>
        <v>0</v>
      </c>
      <c r="M2" s="69">
        <f t="shared" si="0"/>
        <v>0</v>
      </c>
      <c r="N2" s="69">
        <f t="shared" si="0"/>
        <v>0</v>
      </c>
      <c r="O2" s="69">
        <f t="shared" si="0"/>
        <v>0</v>
      </c>
      <c r="P2" s="69">
        <f t="shared" si="0"/>
        <v>0</v>
      </c>
      <c r="Q2" s="69"/>
      <c r="R2" s="69">
        <f t="shared" si="0"/>
        <v>0</v>
      </c>
      <c r="S2" s="69">
        <f t="shared" si="0"/>
        <v>0</v>
      </c>
      <c r="T2" s="69">
        <f t="shared" si="0"/>
        <v>0</v>
      </c>
      <c r="U2" s="69">
        <f t="shared" si="0"/>
        <v>0</v>
      </c>
    </row>
    <row r="3" spans="1:21" x14ac:dyDescent="0.25">
      <c r="A3" s="175" t="s">
        <v>130</v>
      </c>
      <c r="B3" s="69">
        <v>0</v>
      </c>
      <c r="C3" s="69">
        <f>B3*0.995</f>
        <v>0</v>
      </c>
      <c r="D3" s="69">
        <f t="shared" ref="D3:U7" si="1">C3*0.995</f>
        <v>0</v>
      </c>
      <c r="E3" s="69">
        <f t="shared" si="1"/>
        <v>0</v>
      </c>
      <c r="F3" s="69">
        <f t="shared" si="1"/>
        <v>0</v>
      </c>
      <c r="G3" s="69">
        <f t="shared" si="1"/>
        <v>0</v>
      </c>
      <c r="H3" s="69">
        <f t="shared" si="1"/>
        <v>0</v>
      </c>
      <c r="I3" s="69">
        <f t="shared" si="1"/>
        <v>0</v>
      </c>
      <c r="J3" s="69">
        <f t="shared" si="1"/>
        <v>0</v>
      </c>
      <c r="K3" s="69">
        <f t="shared" si="1"/>
        <v>0</v>
      </c>
      <c r="L3" s="69">
        <f t="shared" si="1"/>
        <v>0</v>
      </c>
      <c r="M3" s="69">
        <f t="shared" si="1"/>
        <v>0</v>
      </c>
      <c r="N3" s="69">
        <f t="shared" si="1"/>
        <v>0</v>
      </c>
      <c r="O3" s="69">
        <f t="shared" si="1"/>
        <v>0</v>
      </c>
      <c r="P3" s="69">
        <f t="shared" si="1"/>
        <v>0</v>
      </c>
      <c r="Q3" s="69"/>
      <c r="R3" s="69">
        <f t="shared" si="1"/>
        <v>0</v>
      </c>
      <c r="S3" s="69">
        <f t="shared" si="1"/>
        <v>0</v>
      </c>
      <c r="T3" s="69">
        <f t="shared" si="1"/>
        <v>0</v>
      </c>
      <c r="U3" s="69">
        <f t="shared" si="1"/>
        <v>0</v>
      </c>
    </row>
    <row r="4" spans="1:21" x14ac:dyDescent="0.25">
      <c r="A4" s="175" t="s">
        <v>139</v>
      </c>
      <c r="B4" s="69">
        <v>0</v>
      </c>
      <c r="C4" s="69">
        <v>0</v>
      </c>
      <c r="D4" s="69">
        <f t="shared" si="1"/>
        <v>0</v>
      </c>
      <c r="E4" s="69">
        <f t="shared" si="1"/>
        <v>0</v>
      </c>
      <c r="F4" s="69">
        <f t="shared" si="1"/>
        <v>0</v>
      </c>
      <c r="G4" s="69">
        <f t="shared" si="1"/>
        <v>0</v>
      </c>
      <c r="H4" s="69">
        <f t="shared" si="1"/>
        <v>0</v>
      </c>
      <c r="I4" s="69">
        <f t="shared" si="1"/>
        <v>0</v>
      </c>
      <c r="J4" s="69">
        <f t="shared" si="1"/>
        <v>0</v>
      </c>
      <c r="K4" s="69">
        <f t="shared" si="1"/>
        <v>0</v>
      </c>
      <c r="L4" s="69">
        <f t="shared" si="1"/>
        <v>0</v>
      </c>
      <c r="M4" s="69">
        <f t="shared" si="1"/>
        <v>0</v>
      </c>
      <c r="N4" s="69">
        <f t="shared" si="1"/>
        <v>0</v>
      </c>
      <c r="O4" s="69">
        <f t="shared" si="1"/>
        <v>0</v>
      </c>
      <c r="P4" s="69">
        <f t="shared" si="1"/>
        <v>0</v>
      </c>
      <c r="Q4" s="69">
        <f t="shared" si="1"/>
        <v>0</v>
      </c>
      <c r="R4" s="69">
        <f t="shared" si="1"/>
        <v>0</v>
      </c>
      <c r="S4" s="69">
        <f t="shared" si="1"/>
        <v>0</v>
      </c>
      <c r="T4" s="69">
        <f t="shared" si="1"/>
        <v>0</v>
      </c>
      <c r="U4" s="69">
        <f t="shared" si="1"/>
        <v>0</v>
      </c>
    </row>
    <row r="5" spans="1:21" x14ac:dyDescent="0.25">
      <c r="A5" s="175" t="s">
        <v>144</v>
      </c>
      <c r="B5" s="69">
        <v>0</v>
      </c>
      <c r="C5" s="69">
        <f>B5*0.995</f>
        <v>0</v>
      </c>
      <c r="D5" s="69">
        <f t="shared" si="1"/>
        <v>0</v>
      </c>
      <c r="E5" s="69">
        <f t="shared" si="1"/>
        <v>0</v>
      </c>
      <c r="F5" s="69">
        <f t="shared" si="1"/>
        <v>0</v>
      </c>
      <c r="G5" s="69">
        <f t="shared" si="1"/>
        <v>0</v>
      </c>
      <c r="H5" s="69">
        <f t="shared" si="1"/>
        <v>0</v>
      </c>
      <c r="I5" s="69">
        <f t="shared" si="1"/>
        <v>0</v>
      </c>
      <c r="J5" s="69">
        <f t="shared" si="1"/>
        <v>0</v>
      </c>
      <c r="K5" s="69">
        <f t="shared" si="1"/>
        <v>0</v>
      </c>
      <c r="L5" s="69">
        <f t="shared" si="1"/>
        <v>0</v>
      </c>
      <c r="M5" s="69">
        <f t="shared" si="1"/>
        <v>0</v>
      </c>
      <c r="N5" s="69">
        <f t="shared" si="1"/>
        <v>0</v>
      </c>
      <c r="O5" s="69">
        <f t="shared" si="1"/>
        <v>0</v>
      </c>
      <c r="P5" s="69">
        <f t="shared" si="1"/>
        <v>0</v>
      </c>
      <c r="Q5" s="69"/>
      <c r="R5" s="69"/>
      <c r="S5" s="69"/>
      <c r="T5" s="69"/>
      <c r="U5" s="69"/>
    </row>
    <row r="6" spans="1:21" x14ac:dyDescent="0.25">
      <c r="A6" s="175" t="s">
        <v>148</v>
      </c>
      <c r="B6" s="69"/>
      <c r="C6" s="69">
        <f>SUM('ABP Future Assumptions'!G64:G73)</f>
        <v>0</v>
      </c>
      <c r="D6" s="69">
        <f t="shared" si="1"/>
        <v>0</v>
      </c>
      <c r="E6" s="69">
        <f t="shared" si="1"/>
        <v>0</v>
      </c>
      <c r="F6" s="69">
        <f t="shared" si="1"/>
        <v>0</v>
      </c>
      <c r="G6" s="69">
        <f t="shared" si="1"/>
        <v>0</v>
      </c>
      <c r="H6" s="69">
        <f t="shared" si="1"/>
        <v>0</v>
      </c>
      <c r="I6" s="69">
        <f t="shared" si="1"/>
        <v>0</v>
      </c>
      <c r="J6" s="69">
        <f t="shared" si="1"/>
        <v>0</v>
      </c>
      <c r="K6" s="69">
        <f t="shared" si="1"/>
        <v>0</v>
      </c>
      <c r="L6" s="69">
        <f t="shared" si="1"/>
        <v>0</v>
      </c>
      <c r="M6" s="69">
        <f t="shared" si="1"/>
        <v>0</v>
      </c>
      <c r="N6" s="69">
        <f t="shared" si="1"/>
        <v>0</v>
      </c>
      <c r="O6" s="69">
        <f t="shared" si="1"/>
        <v>0</v>
      </c>
      <c r="P6" s="69">
        <f t="shared" si="1"/>
        <v>0</v>
      </c>
      <c r="Q6" s="69">
        <f t="shared" si="1"/>
        <v>0</v>
      </c>
      <c r="R6" s="69">
        <f t="shared" si="1"/>
        <v>0</v>
      </c>
      <c r="S6" s="69">
        <f t="shared" si="1"/>
        <v>0</v>
      </c>
      <c r="T6" s="69">
        <f t="shared" si="1"/>
        <v>0</v>
      </c>
      <c r="U6" s="69">
        <f t="shared" si="1"/>
        <v>0</v>
      </c>
    </row>
    <row r="7" spans="1:21" x14ac:dyDescent="0.25">
      <c r="A7" s="10" t="s">
        <v>151</v>
      </c>
      <c r="B7" s="69">
        <v>0</v>
      </c>
      <c r="C7" s="69">
        <f>B7*0.995</f>
        <v>0</v>
      </c>
      <c r="D7" s="69">
        <f t="shared" si="1"/>
        <v>0</v>
      </c>
      <c r="E7" s="69">
        <f t="shared" si="1"/>
        <v>0</v>
      </c>
      <c r="F7" s="69">
        <f t="shared" si="1"/>
        <v>0</v>
      </c>
      <c r="G7" s="69">
        <f t="shared" si="1"/>
        <v>0</v>
      </c>
      <c r="H7" s="69">
        <f t="shared" si="1"/>
        <v>0</v>
      </c>
      <c r="I7" s="69">
        <f t="shared" si="1"/>
        <v>0</v>
      </c>
      <c r="J7" s="69">
        <f t="shared" si="1"/>
        <v>0</v>
      </c>
      <c r="K7" s="69">
        <f t="shared" si="1"/>
        <v>0</v>
      </c>
      <c r="L7" s="69">
        <f t="shared" si="1"/>
        <v>0</v>
      </c>
      <c r="M7" s="69">
        <f t="shared" si="1"/>
        <v>0</v>
      </c>
      <c r="N7" s="69">
        <f t="shared" si="1"/>
        <v>0</v>
      </c>
      <c r="O7" s="69">
        <f t="shared" si="1"/>
        <v>0</v>
      </c>
      <c r="P7" s="69">
        <f t="shared" si="1"/>
        <v>0</v>
      </c>
      <c r="Q7" s="69"/>
      <c r="R7" s="69"/>
      <c r="S7" s="69"/>
      <c r="T7" s="69"/>
      <c r="U7" s="69"/>
    </row>
    <row r="8" spans="1:21" x14ac:dyDescent="0.25">
      <c r="A8" s="12" t="s">
        <v>84</v>
      </c>
      <c r="B8" s="12"/>
      <c r="C8" s="70">
        <f>SUM(B2:B7)</f>
        <v>0</v>
      </c>
      <c r="D8" s="70">
        <f>SUM(C2:C7)</f>
        <v>0</v>
      </c>
      <c r="E8" s="70">
        <f t="shared" ref="E8:U8" si="2">SUM(D2:D7)</f>
        <v>0</v>
      </c>
      <c r="F8" s="70">
        <f t="shared" si="2"/>
        <v>0</v>
      </c>
      <c r="G8" s="70">
        <f t="shared" si="2"/>
        <v>0</v>
      </c>
      <c r="H8" s="70">
        <f t="shared" si="2"/>
        <v>0</v>
      </c>
      <c r="I8" s="70">
        <f t="shared" si="2"/>
        <v>0</v>
      </c>
      <c r="J8" s="70">
        <f t="shared" si="2"/>
        <v>0</v>
      </c>
      <c r="K8" s="70">
        <f t="shared" si="2"/>
        <v>0</v>
      </c>
      <c r="L8" s="70">
        <f t="shared" si="2"/>
        <v>0</v>
      </c>
      <c r="M8" s="70">
        <f t="shared" si="2"/>
        <v>0</v>
      </c>
      <c r="N8" s="70">
        <f t="shared" si="2"/>
        <v>0</v>
      </c>
      <c r="O8" s="70">
        <f t="shared" si="2"/>
        <v>0</v>
      </c>
      <c r="P8" s="70">
        <f t="shared" si="2"/>
        <v>0</v>
      </c>
      <c r="Q8" s="70">
        <f t="shared" si="2"/>
        <v>0</v>
      </c>
      <c r="R8" s="70">
        <f t="shared" si="2"/>
        <v>0</v>
      </c>
      <c r="S8" s="70">
        <f t="shared" si="2"/>
        <v>0</v>
      </c>
      <c r="T8" s="70">
        <f t="shared" si="2"/>
        <v>0</v>
      </c>
      <c r="U8" s="70">
        <f t="shared" si="2"/>
        <v>0</v>
      </c>
    </row>
    <row r="9" spans="1:21" x14ac:dyDescent="0.25">
      <c r="A9" s="12"/>
      <c r="B9" s="12"/>
      <c r="C9" s="70"/>
      <c r="D9" s="70"/>
      <c r="E9" s="70"/>
      <c r="F9" s="70"/>
      <c r="G9" s="70"/>
      <c r="H9" s="70"/>
      <c r="I9" s="70"/>
      <c r="J9" s="70"/>
      <c r="K9" s="70"/>
      <c r="L9" s="70"/>
      <c r="M9" s="70"/>
      <c r="N9" s="70"/>
      <c r="O9" s="70"/>
      <c r="P9" s="70"/>
      <c r="Q9" s="70"/>
      <c r="R9" s="70"/>
      <c r="S9" s="70"/>
      <c r="T9" s="70"/>
      <c r="U9" s="70"/>
    </row>
    <row r="10" spans="1:21" ht="15.75" x14ac:dyDescent="0.25">
      <c r="A10" s="68" t="s">
        <v>362</v>
      </c>
      <c r="B10" s="208">
        <v>2024</v>
      </c>
      <c r="C10" s="208">
        <v>2025</v>
      </c>
      <c r="D10" s="208">
        <v>2026</v>
      </c>
      <c r="E10" s="208">
        <v>2027</v>
      </c>
      <c r="F10" s="208">
        <v>2028</v>
      </c>
      <c r="G10" s="208">
        <v>2029</v>
      </c>
      <c r="H10" s="208">
        <v>2030</v>
      </c>
      <c r="I10" s="208">
        <v>2031</v>
      </c>
      <c r="J10" s="208">
        <v>2032</v>
      </c>
      <c r="K10" s="208">
        <v>2033</v>
      </c>
      <c r="L10" s="208">
        <v>2034</v>
      </c>
      <c r="M10" s="208">
        <v>2035</v>
      </c>
      <c r="N10" s="208">
        <v>2036</v>
      </c>
      <c r="O10" s="208">
        <v>2037</v>
      </c>
      <c r="P10" s="208">
        <v>2038</v>
      </c>
      <c r="Q10" s="208">
        <v>2039</v>
      </c>
      <c r="R10" s="208">
        <v>2040</v>
      </c>
      <c r="S10" s="208">
        <v>2041</v>
      </c>
      <c r="T10" s="208">
        <v>2042</v>
      </c>
      <c r="U10" s="208">
        <v>2043</v>
      </c>
    </row>
    <row r="11" spans="1:21" x14ac:dyDescent="0.25">
      <c r="A11" s="175" t="s">
        <v>124</v>
      </c>
      <c r="B11" s="175"/>
      <c r="C11" s="69">
        <f>SUM('ABP Future Assumptions'!G8:G12)</f>
        <v>33039.493113768054</v>
      </c>
      <c r="D11" s="69">
        <f>C11*0.995</f>
        <v>32874.295648199215</v>
      </c>
      <c r="E11" s="69">
        <f t="shared" ref="E11:Q11" si="3">D11*0.995</f>
        <v>32709.92416995822</v>
      </c>
      <c r="F11" s="69">
        <f t="shared" si="3"/>
        <v>32546.37454910843</v>
      </c>
      <c r="G11" s="69">
        <f t="shared" si="3"/>
        <v>32383.642676362888</v>
      </c>
      <c r="H11" s="69">
        <f t="shared" si="3"/>
        <v>32221.724462981074</v>
      </c>
      <c r="I11" s="69">
        <f t="shared" si="3"/>
        <v>32060.615840666167</v>
      </c>
      <c r="J11" s="69">
        <f t="shared" si="3"/>
        <v>31900.312761462836</v>
      </c>
      <c r="K11" s="69">
        <f t="shared" si="3"/>
        <v>31740.811197655523</v>
      </c>
      <c r="L11" s="69">
        <f t="shared" si="3"/>
        <v>31582.107141667246</v>
      </c>
      <c r="M11" s="69">
        <f t="shared" si="3"/>
        <v>31424.19660595891</v>
      </c>
      <c r="N11" s="69">
        <f t="shared" si="3"/>
        <v>31267.075622929115</v>
      </c>
      <c r="O11" s="69">
        <f t="shared" si="3"/>
        <v>31110.740244814468</v>
      </c>
      <c r="P11" s="69">
        <f t="shared" si="3"/>
        <v>30955.186543590396</v>
      </c>
      <c r="Q11" s="69">
        <f t="shared" si="3"/>
        <v>30800.410610872445</v>
      </c>
      <c r="R11" s="69"/>
      <c r="S11" s="69"/>
      <c r="T11" s="69"/>
      <c r="U11" s="69"/>
    </row>
    <row r="12" spans="1:21" x14ac:dyDescent="0.25">
      <c r="A12" s="175" t="s">
        <v>130</v>
      </c>
      <c r="B12" s="175"/>
      <c r="C12" s="69">
        <f>SUM('ABP Future Assumptions'!G15:G24)</f>
        <v>72006.831323747145</v>
      </c>
      <c r="D12" s="69">
        <f>C12*0.995</f>
        <v>71646.797167128403</v>
      </c>
      <c r="E12" s="69">
        <f t="shared" ref="E12:Q12" si="4">D12*0.995</f>
        <v>71288.56318129276</v>
      </c>
      <c r="F12" s="69">
        <f t="shared" si="4"/>
        <v>70932.12036538629</v>
      </c>
      <c r="G12" s="69">
        <f t="shared" si="4"/>
        <v>70577.459763559353</v>
      </c>
      <c r="H12" s="69">
        <f t="shared" si="4"/>
        <v>70224.572464741563</v>
      </c>
      <c r="I12" s="69">
        <f t="shared" si="4"/>
        <v>69873.449602417852</v>
      </c>
      <c r="J12" s="69">
        <f t="shared" si="4"/>
        <v>69524.082354405764</v>
      </c>
      <c r="K12" s="69">
        <f t="shared" si="4"/>
        <v>69176.46194263373</v>
      </c>
      <c r="L12" s="69">
        <f t="shared" si="4"/>
        <v>68830.579632920562</v>
      </c>
      <c r="M12" s="69">
        <f t="shared" si="4"/>
        <v>68486.426734755965</v>
      </c>
      <c r="N12" s="69">
        <f t="shared" si="4"/>
        <v>68143.994601082188</v>
      </c>
      <c r="O12" s="69">
        <f t="shared" si="4"/>
        <v>67803.274628076775</v>
      </c>
      <c r="P12" s="69">
        <f t="shared" si="4"/>
        <v>67464.258254936387</v>
      </c>
      <c r="Q12" s="69">
        <f t="shared" si="4"/>
        <v>67126.936963661705</v>
      </c>
      <c r="R12" s="69"/>
      <c r="S12" s="69"/>
      <c r="T12" s="69"/>
      <c r="U12" s="69"/>
    </row>
    <row r="13" spans="1:21" x14ac:dyDescent="0.25">
      <c r="A13" s="175" t="s">
        <v>139</v>
      </c>
      <c r="B13" s="175"/>
      <c r="C13" s="69"/>
      <c r="D13" s="69">
        <f>SUM('ABP Future Assumptions'!G28:G42)</f>
        <v>32794.750999999997</v>
      </c>
      <c r="E13" s="69">
        <f>D13*0.995</f>
        <v>32630.777244999997</v>
      </c>
      <c r="F13" s="69">
        <f t="shared" ref="F13:U13" si="5">E13*0.995</f>
        <v>32467.623358774996</v>
      </c>
      <c r="G13" s="69">
        <f t="shared" si="5"/>
        <v>32305.285241981121</v>
      </c>
      <c r="H13" s="69">
        <f t="shared" si="5"/>
        <v>32143.758815771216</v>
      </c>
      <c r="I13" s="69">
        <f t="shared" si="5"/>
        <v>31983.040021692359</v>
      </c>
      <c r="J13" s="69">
        <f t="shared" si="5"/>
        <v>31823.124821583897</v>
      </c>
      <c r="K13" s="69">
        <f t="shared" si="5"/>
        <v>31664.009197475978</v>
      </c>
      <c r="L13" s="69">
        <f t="shared" si="5"/>
        <v>31505.689151488597</v>
      </c>
      <c r="M13" s="69">
        <f t="shared" si="5"/>
        <v>31348.160705731156</v>
      </c>
      <c r="N13" s="69">
        <f t="shared" si="5"/>
        <v>31191.419902202499</v>
      </c>
      <c r="O13" s="69">
        <f t="shared" si="5"/>
        <v>31035.462802691487</v>
      </c>
      <c r="P13" s="69">
        <f t="shared" si="5"/>
        <v>30880.28548867803</v>
      </c>
      <c r="Q13" s="69">
        <f t="shared" si="5"/>
        <v>30725.884061234639</v>
      </c>
      <c r="R13" s="69">
        <f t="shared" si="5"/>
        <v>30572.254640928466</v>
      </c>
      <c r="S13" s="69">
        <f t="shared" si="5"/>
        <v>30419.393367723824</v>
      </c>
      <c r="T13" s="69">
        <f t="shared" si="5"/>
        <v>30267.296400885203</v>
      </c>
      <c r="U13" s="69">
        <f t="shared" si="5"/>
        <v>30115.959918880777</v>
      </c>
    </row>
    <row r="14" spans="1:21" x14ac:dyDescent="0.25">
      <c r="A14" s="175" t="s">
        <v>144</v>
      </c>
      <c r="B14" s="175"/>
      <c r="C14" s="69">
        <f>SUM('ABP Future Assumptions'!G45:G57)</f>
        <v>210287.16032034397</v>
      </c>
      <c r="D14" s="69">
        <f>C14*0.995</f>
        <v>209235.72451874227</v>
      </c>
      <c r="E14" s="69">
        <f t="shared" ref="E14:U14" si="6">D14*0.995</f>
        <v>208189.54589614854</v>
      </c>
      <c r="F14" s="69">
        <f t="shared" si="6"/>
        <v>207148.5981666678</v>
      </c>
      <c r="G14" s="69">
        <f t="shared" si="6"/>
        <v>206112.85517583447</v>
      </c>
      <c r="H14" s="69">
        <f t="shared" si="6"/>
        <v>205082.29089995529</v>
      </c>
      <c r="I14" s="69">
        <f t="shared" si="6"/>
        <v>204056.8794454555</v>
      </c>
      <c r="J14" s="69">
        <f t="shared" si="6"/>
        <v>203036.59504822822</v>
      </c>
      <c r="K14" s="69">
        <f t="shared" si="6"/>
        <v>202021.41207298709</v>
      </c>
      <c r="L14" s="69">
        <f t="shared" si="6"/>
        <v>201011.30501262215</v>
      </c>
      <c r="M14" s="69">
        <f t="shared" si="6"/>
        <v>200006.24848755903</v>
      </c>
      <c r="N14" s="69">
        <f t="shared" si="6"/>
        <v>199006.21724512122</v>
      </c>
      <c r="O14" s="69">
        <f t="shared" si="6"/>
        <v>198011.18615889561</v>
      </c>
      <c r="P14" s="69">
        <f t="shared" si="6"/>
        <v>197021.13022810113</v>
      </c>
      <c r="Q14" s="69">
        <f t="shared" si="6"/>
        <v>196036.02457696063</v>
      </c>
      <c r="R14" s="69">
        <f t="shared" si="6"/>
        <v>195055.84445407582</v>
      </c>
      <c r="S14" s="69">
        <f t="shared" si="6"/>
        <v>194080.56523180543</v>
      </c>
      <c r="T14" s="69">
        <f t="shared" si="6"/>
        <v>193110.16240564641</v>
      </c>
      <c r="U14" s="69">
        <f t="shared" si="6"/>
        <v>192144.61159361817</v>
      </c>
    </row>
    <row r="15" spans="1:21" x14ac:dyDescent="0.25">
      <c r="A15" s="175" t="s">
        <v>148</v>
      </c>
      <c r="B15" s="175"/>
      <c r="C15" s="69"/>
      <c r="D15" s="69">
        <f>SUM('ABP Future Assumptions'!G64:G73)</f>
        <v>0</v>
      </c>
      <c r="E15" s="69">
        <f>D15*0.995</f>
        <v>0</v>
      </c>
      <c r="F15" s="69">
        <f t="shared" ref="F15:R15" si="7">E15*0.995</f>
        <v>0</v>
      </c>
      <c r="G15" s="69">
        <f t="shared" si="7"/>
        <v>0</v>
      </c>
      <c r="H15" s="69">
        <f t="shared" si="7"/>
        <v>0</v>
      </c>
      <c r="I15" s="69">
        <f t="shared" si="7"/>
        <v>0</v>
      </c>
      <c r="J15" s="69">
        <f t="shared" si="7"/>
        <v>0</v>
      </c>
      <c r="K15" s="69">
        <f t="shared" si="7"/>
        <v>0</v>
      </c>
      <c r="L15" s="69">
        <f t="shared" si="7"/>
        <v>0</v>
      </c>
      <c r="M15" s="69">
        <f t="shared" si="7"/>
        <v>0</v>
      </c>
      <c r="N15" s="69">
        <f t="shared" si="7"/>
        <v>0</v>
      </c>
      <c r="O15" s="69">
        <f t="shared" si="7"/>
        <v>0</v>
      </c>
      <c r="P15" s="69">
        <f t="shared" si="7"/>
        <v>0</v>
      </c>
      <c r="Q15" s="69">
        <f t="shared" si="7"/>
        <v>0</v>
      </c>
      <c r="R15" s="69">
        <f t="shared" si="7"/>
        <v>0</v>
      </c>
      <c r="S15" s="69">
        <f>'24-25 ABP Summary'!R6</f>
        <v>0</v>
      </c>
      <c r="T15" s="69">
        <f>'24-25 ABP Summary'!S6</f>
        <v>0</v>
      </c>
      <c r="U15" s="69">
        <f>'24-25 ABP Summary'!T6</f>
        <v>0</v>
      </c>
    </row>
    <row r="16" spans="1:21" x14ac:dyDescent="0.25">
      <c r="A16" s="10" t="s">
        <v>151</v>
      </c>
      <c r="B16" s="10"/>
      <c r="C16" s="69">
        <f>SUM('ABP Future Assumptions'!G77:G87)</f>
        <v>82474.584510483939</v>
      </c>
      <c r="D16" s="69">
        <f>C16*0.995</f>
        <v>82062.211587931524</v>
      </c>
      <c r="E16" s="69">
        <f t="shared" ref="E16:Q16" si="8">D16*0.995</f>
        <v>81651.900529991864</v>
      </c>
      <c r="F16" s="69">
        <f t="shared" si="8"/>
        <v>81243.641027341902</v>
      </c>
      <c r="G16" s="69">
        <f t="shared" si="8"/>
        <v>80837.42282220519</v>
      </c>
      <c r="H16" s="69">
        <f t="shared" si="8"/>
        <v>80433.235708094158</v>
      </c>
      <c r="I16" s="69">
        <f t="shared" si="8"/>
        <v>80031.069529553686</v>
      </c>
      <c r="J16" s="69">
        <f t="shared" si="8"/>
        <v>79630.914181905915</v>
      </c>
      <c r="K16" s="69">
        <f t="shared" si="8"/>
        <v>79232.759610996378</v>
      </c>
      <c r="L16" s="69">
        <f t="shared" si="8"/>
        <v>78836.595812941392</v>
      </c>
      <c r="M16" s="69">
        <f t="shared" si="8"/>
        <v>78442.41283387669</v>
      </c>
      <c r="N16" s="69">
        <f t="shared" si="8"/>
        <v>78050.200769707299</v>
      </c>
      <c r="O16" s="69">
        <f t="shared" si="8"/>
        <v>77659.949765858764</v>
      </c>
      <c r="P16" s="69">
        <f t="shared" si="8"/>
        <v>77271.650017029475</v>
      </c>
      <c r="Q16" s="69">
        <f t="shared" si="8"/>
        <v>76885.291766944327</v>
      </c>
      <c r="R16" s="69">
        <f>'24-25 ABP Summary'!Q7</f>
        <v>0</v>
      </c>
      <c r="S16" s="69">
        <f>'24-25 ABP Summary'!R7</f>
        <v>0</v>
      </c>
      <c r="T16" s="69">
        <f>'24-25 ABP Summary'!S7</f>
        <v>0</v>
      </c>
      <c r="U16" s="69">
        <f>'24-25 ABP Summary'!T7</f>
        <v>0</v>
      </c>
    </row>
    <row r="17" spans="1:21" x14ac:dyDescent="0.25">
      <c r="A17" s="12" t="s">
        <v>84</v>
      </c>
      <c r="B17" s="12"/>
      <c r="C17" s="70">
        <f t="shared" ref="C17:U17" si="9">SUM(C11:C16)</f>
        <v>397808.0692683431</v>
      </c>
      <c r="D17" s="70">
        <f>SUM(D11:D16)</f>
        <v>428613.77992200141</v>
      </c>
      <c r="E17" s="70">
        <f t="shared" si="9"/>
        <v>426470.71102239133</v>
      </c>
      <c r="F17" s="70">
        <f t="shared" si="9"/>
        <v>424338.35746727936</v>
      </c>
      <c r="G17" s="70">
        <f t="shared" si="9"/>
        <v>422216.66567994299</v>
      </c>
      <c r="H17" s="70">
        <f t="shared" si="9"/>
        <v>420105.5823515433</v>
      </c>
      <c r="I17" s="70">
        <f t="shared" si="9"/>
        <v>418005.0544397856</v>
      </c>
      <c r="J17" s="70">
        <f t="shared" si="9"/>
        <v>415915.02916758659</v>
      </c>
      <c r="K17" s="70">
        <f t="shared" si="9"/>
        <v>413835.45402174874</v>
      </c>
      <c r="L17" s="70">
        <f t="shared" si="9"/>
        <v>411766.27675163996</v>
      </c>
      <c r="M17" s="70">
        <f t="shared" si="9"/>
        <v>409707.44536788174</v>
      </c>
      <c r="N17" s="70">
        <f t="shared" si="9"/>
        <v>407658.90814104234</v>
      </c>
      <c r="O17" s="70">
        <f t="shared" si="9"/>
        <v>405620.61360033712</v>
      </c>
      <c r="P17" s="70">
        <f t="shared" si="9"/>
        <v>403592.51053233544</v>
      </c>
      <c r="Q17" s="70">
        <f t="shared" si="9"/>
        <v>401574.54797967378</v>
      </c>
      <c r="R17" s="70">
        <f t="shared" si="9"/>
        <v>225628.09909500429</v>
      </c>
      <c r="S17" s="70">
        <f t="shared" si="9"/>
        <v>224499.95859952926</v>
      </c>
      <c r="T17" s="70">
        <f t="shared" si="9"/>
        <v>223377.45880653162</v>
      </c>
      <c r="U17" s="70">
        <f t="shared" si="9"/>
        <v>222260.57151249895</v>
      </c>
    </row>
    <row r="19" spans="1:21" ht="15.75" x14ac:dyDescent="0.25">
      <c r="A19" s="68">
        <v>2025</v>
      </c>
      <c r="B19" s="208">
        <v>2024</v>
      </c>
      <c r="C19" s="208">
        <f>C10</f>
        <v>2025</v>
      </c>
      <c r="D19" s="208">
        <f t="shared" ref="D19:U19" si="10">D10</f>
        <v>2026</v>
      </c>
      <c r="E19" s="208">
        <f t="shared" si="10"/>
        <v>2027</v>
      </c>
      <c r="F19" s="208">
        <f t="shared" si="10"/>
        <v>2028</v>
      </c>
      <c r="G19" s="208">
        <f t="shared" si="10"/>
        <v>2029</v>
      </c>
      <c r="H19" s="208">
        <f t="shared" si="10"/>
        <v>2030</v>
      </c>
      <c r="I19" s="208">
        <f t="shared" si="10"/>
        <v>2031</v>
      </c>
      <c r="J19" s="208">
        <f t="shared" si="10"/>
        <v>2032</v>
      </c>
      <c r="K19" s="208">
        <f t="shared" si="10"/>
        <v>2033</v>
      </c>
      <c r="L19" s="208">
        <f t="shared" si="10"/>
        <v>2034</v>
      </c>
      <c r="M19" s="208">
        <f t="shared" si="10"/>
        <v>2035</v>
      </c>
      <c r="N19" s="208">
        <f t="shared" si="10"/>
        <v>2036</v>
      </c>
      <c r="O19" s="208">
        <f t="shared" si="10"/>
        <v>2037</v>
      </c>
      <c r="P19" s="208">
        <f t="shared" si="10"/>
        <v>2038</v>
      </c>
      <c r="Q19" s="208">
        <f t="shared" si="10"/>
        <v>2039</v>
      </c>
      <c r="R19" s="208">
        <f t="shared" si="10"/>
        <v>2040</v>
      </c>
      <c r="S19" s="208">
        <f t="shared" si="10"/>
        <v>2041</v>
      </c>
      <c r="T19" s="208">
        <f t="shared" si="10"/>
        <v>2042</v>
      </c>
      <c r="U19" s="208">
        <f t="shared" si="10"/>
        <v>2043</v>
      </c>
    </row>
    <row r="20" spans="1:21" x14ac:dyDescent="0.25">
      <c r="A20" s="175" t="s">
        <v>124</v>
      </c>
      <c r="B20" s="175"/>
      <c r="C20" s="69"/>
      <c r="D20" s="69">
        <f>'24-25 ABP Summary'!B2</f>
        <v>175000.73172480002</v>
      </c>
      <c r="E20" s="69">
        <f>'24-25 ABP Summary'!C2</f>
        <v>174125.728066176</v>
      </c>
      <c r="F20" s="69">
        <f>'24-25 ABP Summary'!D2</f>
        <v>173255.09942584514</v>
      </c>
      <c r="G20" s="69">
        <f>'24-25 ABP Summary'!E2</f>
        <v>172388.82392871589</v>
      </c>
      <c r="H20" s="69">
        <f>'24-25 ABP Summary'!F2</f>
        <v>171526.87980907233</v>
      </c>
      <c r="I20" s="69">
        <f>'24-25 ABP Summary'!G2</f>
        <v>170669.24541002695</v>
      </c>
      <c r="J20" s="69">
        <f>'24-25 ABP Summary'!H2</f>
        <v>169815.89918297681</v>
      </c>
      <c r="K20" s="69">
        <f>'24-25 ABP Summary'!I2</f>
        <v>168966.81968706194</v>
      </c>
      <c r="L20" s="69">
        <f>'24-25 ABP Summary'!J2</f>
        <v>168121.98558862665</v>
      </c>
      <c r="M20" s="69">
        <f>'24-25 ABP Summary'!K2</f>
        <v>167281.37566068349</v>
      </c>
      <c r="N20" s="69">
        <f>'24-25 ABP Summary'!L2</f>
        <v>166444.96878238008</v>
      </c>
      <c r="O20" s="69">
        <f>'24-25 ABP Summary'!M2</f>
        <v>165612.74393846816</v>
      </c>
      <c r="P20" s="69">
        <f>'24-25 ABP Summary'!N2</f>
        <v>164784.68021877581</v>
      </c>
      <c r="Q20" s="69">
        <f>'24-25 ABP Summary'!O2</f>
        <v>163960.75681768195</v>
      </c>
      <c r="R20" s="69">
        <f>'24-25 ABP Summary'!P2</f>
        <v>163140.95303359354</v>
      </c>
      <c r="S20" s="69">
        <f>'24-25 ABP Summary'!Q2</f>
        <v>0</v>
      </c>
      <c r="T20" s="69">
        <f>'24-25 ABP Summary'!R2</f>
        <v>0</v>
      </c>
      <c r="U20" s="69">
        <f>'24-25 ABP Summary'!S2</f>
        <v>0</v>
      </c>
    </row>
    <row r="21" spans="1:21" x14ac:dyDescent="0.25">
      <c r="A21" s="175" t="s">
        <v>130</v>
      </c>
      <c r="B21" s="175"/>
      <c r="C21" s="69"/>
      <c r="D21" s="69">
        <f>'24-25 ABP Summary'!B3</f>
        <v>186317.64885302942</v>
      </c>
      <c r="E21" s="69">
        <f>'24-25 ABP Summary'!C3</f>
        <v>185386.06060876427</v>
      </c>
      <c r="F21" s="69">
        <f>'24-25 ABP Summary'!D3</f>
        <v>184459.13030572043</v>
      </c>
      <c r="G21" s="69">
        <f>'24-25 ABP Summary'!E3</f>
        <v>183536.83465419186</v>
      </c>
      <c r="H21" s="69">
        <f>'24-25 ABP Summary'!F3</f>
        <v>182619.15048092086</v>
      </c>
      <c r="I21" s="69">
        <f>'24-25 ABP Summary'!G3</f>
        <v>181706.05472851626</v>
      </c>
      <c r="J21" s="69">
        <f>'24-25 ABP Summary'!H3</f>
        <v>180797.5244548737</v>
      </c>
      <c r="K21" s="69">
        <f>'24-25 ABP Summary'!I3</f>
        <v>179893.53683259932</v>
      </c>
      <c r="L21" s="69">
        <f>'24-25 ABP Summary'!J3</f>
        <v>178994.06914843631</v>
      </c>
      <c r="M21" s="69">
        <f>'24-25 ABP Summary'!K3</f>
        <v>178099.09880269412</v>
      </c>
      <c r="N21" s="69">
        <f>'24-25 ABP Summary'!L3</f>
        <v>177208.60330868064</v>
      </c>
      <c r="O21" s="69">
        <f>'24-25 ABP Summary'!M3</f>
        <v>176322.56029213726</v>
      </c>
      <c r="P21" s="69">
        <f>'24-25 ABP Summary'!N3</f>
        <v>175440.9474906766</v>
      </c>
      <c r="Q21" s="69">
        <f>'24-25 ABP Summary'!O3</f>
        <v>174563.7427532232</v>
      </c>
      <c r="R21" s="69">
        <f>'24-25 ABP Summary'!P3</f>
        <v>173690.92403945705</v>
      </c>
      <c r="S21" s="69">
        <f>'24-25 ABP Summary'!Q3</f>
        <v>0</v>
      </c>
      <c r="T21" s="69">
        <f>'24-25 ABP Summary'!R3</f>
        <v>0</v>
      </c>
      <c r="U21" s="69">
        <f>'24-25 ABP Summary'!S3</f>
        <v>0</v>
      </c>
    </row>
    <row r="22" spans="1:21" x14ac:dyDescent="0.25">
      <c r="A22" s="175" t="s">
        <v>139</v>
      </c>
      <c r="B22" s="175"/>
      <c r="C22" s="69"/>
      <c r="D22" s="69">
        <f>'24-25 ABP Summary'!B4</f>
        <v>0</v>
      </c>
      <c r="E22" s="69">
        <f>'24-25 ABP Summary'!C4</f>
        <v>319907.49119999993</v>
      </c>
      <c r="F22" s="69">
        <f>'24-25 ABP Summary'!D4</f>
        <v>318307.95374399994</v>
      </c>
      <c r="G22" s="69">
        <f>'24-25 ABP Summary'!E4</f>
        <v>316716.41397527995</v>
      </c>
      <c r="H22" s="69">
        <f>'24-25 ABP Summary'!F4</f>
        <v>315132.83190540358</v>
      </c>
      <c r="I22" s="69">
        <f>'24-25 ABP Summary'!G4</f>
        <v>313557.16774587653</v>
      </c>
      <c r="J22" s="69">
        <f>'24-25 ABP Summary'!H4</f>
        <v>311989.38190714718</v>
      </c>
      <c r="K22" s="69">
        <f>'24-25 ABP Summary'!I4</f>
        <v>310429.43499761145</v>
      </c>
      <c r="L22" s="69">
        <f>'24-25 ABP Summary'!J4</f>
        <v>308877.28782262339</v>
      </c>
      <c r="M22" s="69">
        <f>'24-25 ABP Summary'!K4</f>
        <v>307332.90138351021</v>
      </c>
      <c r="N22" s="69">
        <f>'24-25 ABP Summary'!L4</f>
        <v>305796.23687659268</v>
      </c>
      <c r="O22" s="69">
        <f>'24-25 ABP Summary'!M4</f>
        <v>304267.25569220976</v>
      </c>
      <c r="P22" s="69">
        <f>'24-25 ABP Summary'!N4</f>
        <v>302745.91941374866</v>
      </c>
      <c r="Q22" s="69">
        <f>'24-25 ABP Summary'!O4</f>
        <v>301232.18981667992</v>
      </c>
      <c r="R22" s="69">
        <f>'24-25 ABP Summary'!P4</f>
        <v>299726.02886759653</v>
      </c>
      <c r="S22" s="69">
        <f>'24-25 ABP Summary'!Q4</f>
        <v>298227.39872325852</v>
      </c>
      <c r="T22" s="69">
        <f>'24-25 ABP Summary'!R4</f>
        <v>296736.26172964228</v>
      </c>
      <c r="U22" s="69">
        <f>'24-25 ABP Summary'!S4</f>
        <v>295252.58042099408</v>
      </c>
    </row>
    <row r="23" spans="1:21" x14ac:dyDescent="0.25">
      <c r="A23" s="175" t="s">
        <v>144</v>
      </c>
      <c r="B23" s="175"/>
      <c r="C23" s="69"/>
      <c r="D23" s="69">
        <f>'24-25 ABP Summary'!B5</f>
        <v>154029.53279999999</v>
      </c>
      <c r="E23" s="69">
        <f>'24-25 ABP Summary'!C5</f>
        <v>153259.385136</v>
      </c>
      <c r="F23" s="69">
        <f>'24-25 ABP Summary'!D5</f>
        <v>152493.08821031998</v>
      </c>
      <c r="G23" s="69">
        <f>'24-25 ABP Summary'!E5</f>
        <v>151730.6227692684</v>
      </c>
      <c r="H23" s="69">
        <f>'24-25 ABP Summary'!F5</f>
        <v>150971.96965542206</v>
      </c>
      <c r="I23" s="69">
        <f>'24-25 ABP Summary'!G5</f>
        <v>150217.10980714494</v>
      </c>
      <c r="J23" s="69">
        <f>'24-25 ABP Summary'!H5</f>
        <v>149466.02425810922</v>
      </c>
      <c r="K23" s="69">
        <f>'24-25 ABP Summary'!I5</f>
        <v>148718.6941368187</v>
      </c>
      <c r="L23" s="69">
        <f>'24-25 ABP Summary'!J5</f>
        <v>147975.10066613456</v>
      </c>
      <c r="M23" s="69">
        <f>'24-25 ABP Summary'!K5</f>
        <v>147235.22516280392</v>
      </c>
      <c r="N23" s="69">
        <f>'24-25 ABP Summary'!L5</f>
        <v>146499.04903698989</v>
      </c>
      <c r="O23" s="69">
        <f>'24-25 ABP Summary'!M5</f>
        <v>145766.55379180494</v>
      </c>
      <c r="P23" s="69">
        <f>'24-25 ABP Summary'!N5</f>
        <v>145037.72102284592</v>
      </c>
      <c r="Q23" s="69">
        <f>'24-25 ABP Summary'!O5</f>
        <v>144312.53241773168</v>
      </c>
      <c r="R23" s="69">
        <f>'24-25 ABP Summary'!P5</f>
        <v>143590.96975564302</v>
      </c>
      <c r="S23" s="69">
        <f>'24-25 ABP Summary'!Q5</f>
        <v>142873.01490686479</v>
      </c>
      <c r="T23" s="69">
        <f>'24-25 ABP Summary'!R5</f>
        <v>142158.6498323305</v>
      </c>
      <c r="U23" s="69">
        <f>'24-25 ABP Summary'!S5</f>
        <v>141447.85658316882</v>
      </c>
    </row>
    <row r="24" spans="1:21" x14ac:dyDescent="0.25">
      <c r="A24" s="175" t="s">
        <v>148</v>
      </c>
      <c r="B24" s="175"/>
      <c r="C24" s="69"/>
      <c r="D24" s="69">
        <f>'24-25 ABP Summary'!B6</f>
        <v>0</v>
      </c>
      <c r="E24" s="69">
        <f>'24-25 ABP Summary'!C6</f>
        <v>47393.702399999995</v>
      </c>
      <c r="F24" s="69">
        <f>'24-25 ABP Summary'!D6</f>
        <v>47156.733887999995</v>
      </c>
      <c r="G24" s="69">
        <f>'24-25 ABP Summary'!E6</f>
        <v>46920.950218559999</v>
      </c>
      <c r="H24" s="69">
        <f>'24-25 ABP Summary'!F6</f>
        <v>46686.345467467196</v>
      </c>
      <c r="I24" s="69">
        <f>'24-25 ABP Summary'!G6</f>
        <v>46452.913740129858</v>
      </c>
      <c r="J24" s="69">
        <f>'24-25 ABP Summary'!H6</f>
        <v>46220.649171429206</v>
      </c>
      <c r="K24" s="69">
        <f>'24-25 ABP Summary'!I6</f>
        <v>45989.545925572063</v>
      </c>
      <c r="L24" s="69">
        <f>'24-25 ABP Summary'!J6</f>
        <v>45759.5981959442</v>
      </c>
      <c r="M24" s="69">
        <f>'24-25 ABP Summary'!K6</f>
        <v>45530.800204964478</v>
      </c>
      <c r="N24" s="69">
        <f>'24-25 ABP Summary'!L6</f>
        <v>45303.146203939657</v>
      </c>
      <c r="O24" s="69">
        <f>'24-25 ABP Summary'!M6</f>
        <v>45076.630472919962</v>
      </c>
      <c r="P24" s="69">
        <f>'24-25 ABP Summary'!N6</f>
        <v>44851.247320555362</v>
      </c>
      <c r="Q24" s="69">
        <f>'24-25 ABP Summary'!O6</f>
        <v>44626.991083952584</v>
      </c>
      <c r="R24" s="69">
        <f>'24-25 ABP Summary'!P6</f>
        <v>44403.856128532818</v>
      </c>
      <c r="S24" s="69">
        <f>'24-25 ABP Summary'!Q6</f>
        <v>44181.836847890154</v>
      </c>
      <c r="T24" s="69">
        <f>'24-25 ABP Summary'!R6</f>
        <v>0</v>
      </c>
      <c r="U24" s="69">
        <f>'24-25 ABP Summary'!S6</f>
        <v>0</v>
      </c>
    </row>
    <row r="25" spans="1:21" x14ac:dyDescent="0.25">
      <c r="A25" s="10" t="s">
        <v>151</v>
      </c>
      <c r="B25" s="10"/>
      <c r="C25" s="69"/>
      <c r="D25" s="69">
        <f>'24-25 ABP Summary'!B7</f>
        <v>207019.60983669932</v>
      </c>
      <c r="E25" s="69">
        <f>'24-25 ABP Summary'!C7</f>
        <v>205984.51178751586</v>
      </c>
      <c r="F25" s="69">
        <f>'24-25 ABP Summary'!D7</f>
        <v>204954.58922857829</v>
      </c>
      <c r="G25" s="69">
        <f>'24-25 ABP Summary'!E7</f>
        <v>203929.81628243538</v>
      </c>
      <c r="H25" s="69">
        <f>'24-25 ABP Summary'!F7</f>
        <v>202910.1672010232</v>
      </c>
      <c r="I25" s="69">
        <f>'24-25 ABP Summary'!G7</f>
        <v>201895.6163650181</v>
      </c>
      <c r="J25" s="69">
        <f>'24-25 ABP Summary'!H7</f>
        <v>200886.138283193</v>
      </c>
      <c r="K25" s="69">
        <f>'24-25 ABP Summary'!I7</f>
        <v>199881.70759177703</v>
      </c>
      <c r="L25" s="69">
        <f>'24-25 ABP Summary'!J7</f>
        <v>198882.29905381816</v>
      </c>
      <c r="M25" s="69">
        <f>'24-25 ABP Summary'!K7</f>
        <v>197887.88755854906</v>
      </c>
      <c r="N25" s="69">
        <f>'24-25 ABP Summary'!L7</f>
        <v>196898.44812075631</v>
      </c>
      <c r="O25" s="69">
        <f>'24-25 ABP Summary'!M7</f>
        <v>195913.95588015253</v>
      </c>
      <c r="P25" s="69">
        <f>'24-25 ABP Summary'!N7</f>
        <v>194934.38610075176</v>
      </c>
      <c r="Q25" s="69">
        <f>'24-25 ABP Summary'!O7</f>
        <v>193959.71417024801</v>
      </c>
      <c r="R25" s="69">
        <f>'24-25 ABP Summary'!P7</f>
        <v>192989.91559939677</v>
      </c>
      <c r="S25" s="69">
        <f>'24-25 ABP Summary'!Q7</f>
        <v>0</v>
      </c>
      <c r="T25" s="69">
        <f>'24-25 ABP Summary'!R7</f>
        <v>0</v>
      </c>
      <c r="U25" s="69">
        <f>'24-25 ABP Summary'!S7</f>
        <v>0</v>
      </c>
    </row>
    <row r="26" spans="1:21" x14ac:dyDescent="0.25">
      <c r="A26" s="12" t="s">
        <v>84</v>
      </c>
      <c r="B26" s="12"/>
      <c r="C26" s="70">
        <f t="shared" ref="C26:U26" si="11">SUM(C20:C25)</f>
        <v>0</v>
      </c>
      <c r="D26" s="70">
        <f t="shared" si="11"/>
        <v>722367.5232145288</v>
      </c>
      <c r="E26" s="70">
        <f t="shared" si="11"/>
        <v>1086056.879198456</v>
      </c>
      <c r="F26" s="70">
        <f t="shared" si="11"/>
        <v>1080626.5948024639</v>
      </c>
      <c r="G26" s="70">
        <f t="shared" si="11"/>
        <v>1075223.4618284514</v>
      </c>
      <c r="H26" s="70">
        <f t="shared" si="11"/>
        <v>1069847.3445193092</v>
      </c>
      <c r="I26" s="70">
        <f t="shared" si="11"/>
        <v>1064498.1077967128</v>
      </c>
      <c r="J26" s="70">
        <f t="shared" si="11"/>
        <v>1059175.6172577292</v>
      </c>
      <c r="K26" s="70">
        <f t="shared" si="11"/>
        <v>1053879.7391714405</v>
      </c>
      <c r="L26" s="70">
        <f t="shared" si="11"/>
        <v>1048610.3404755834</v>
      </c>
      <c r="M26" s="70">
        <f t="shared" si="11"/>
        <v>1043367.2887732052</v>
      </c>
      <c r="N26" s="70">
        <f t="shared" si="11"/>
        <v>1038150.4523293393</v>
      </c>
      <c r="O26" s="70">
        <f t="shared" si="11"/>
        <v>1032959.7000676927</v>
      </c>
      <c r="P26" s="70">
        <f t="shared" si="11"/>
        <v>1027794.9015673541</v>
      </c>
      <c r="Q26" s="70">
        <f t="shared" si="11"/>
        <v>1022655.9270595174</v>
      </c>
      <c r="R26" s="70">
        <f t="shared" si="11"/>
        <v>1017542.6474242198</v>
      </c>
      <c r="S26" s="70">
        <f t="shared" si="11"/>
        <v>485282.25047801348</v>
      </c>
      <c r="T26" s="70">
        <f t="shared" si="11"/>
        <v>438894.91156197281</v>
      </c>
      <c r="U26" s="70">
        <f t="shared" si="11"/>
        <v>436700.43700416293</v>
      </c>
    </row>
    <row r="28" spans="1:21" ht="15.75" x14ac:dyDescent="0.25">
      <c r="A28" s="68">
        <v>2026</v>
      </c>
      <c r="B28" s="208">
        <v>2024</v>
      </c>
      <c r="C28" s="208">
        <f>C19</f>
        <v>2025</v>
      </c>
      <c r="D28" s="208">
        <f t="shared" ref="D28:U28" si="12">D19</f>
        <v>2026</v>
      </c>
      <c r="E28" s="208">
        <f t="shared" si="12"/>
        <v>2027</v>
      </c>
      <c r="F28" s="208">
        <f t="shared" si="12"/>
        <v>2028</v>
      </c>
      <c r="G28" s="208">
        <f t="shared" si="12"/>
        <v>2029</v>
      </c>
      <c r="H28" s="208">
        <f t="shared" si="12"/>
        <v>2030</v>
      </c>
      <c r="I28" s="208">
        <f t="shared" si="12"/>
        <v>2031</v>
      </c>
      <c r="J28" s="208">
        <f t="shared" si="12"/>
        <v>2032</v>
      </c>
      <c r="K28" s="208">
        <f t="shared" si="12"/>
        <v>2033</v>
      </c>
      <c r="L28" s="208">
        <f t="shared" si="12"/>
        <v>2034</v>
      </c>
      <c r="M28" s="208">
        <f t="shared" si="12"/>
        <v>2035</v>
      </c>
      <c r="N28" s="208">
        <f t="shared" si="12"/>
        <v>2036</v>
      </c>
      <c r="O28" s="208">
        <f t="shared" si="12"/>
        <v>2037</v>
      </c>
      <c r="P28" s="208">
        <f t="shared" si="12"/>
        <v>2038</v>
      </c>
      <c r="Q28" s="208">
        <f t="shared" si="12"/>
        <v>2039</v>
      </c>
      <c r="R28" s="208">
        <f t="shared" si="12"/>
        <v>2040</v>
      </c>
      <c r="S28" s="208">
        <f t="shared" si="12"/>
        <v>2041</v>
      </c>
      <c r="T28" s="208">
        <f t="shared" si="12"/>
        <v>2042</v>
      </c>
      <c r="U28" s="208">
        <f t="shared" si="12"/>
        <v>2043</v>
      </c>
    </row>
    <row r="29" spans="1:21" x14ac:dyDescent="0.25">
      <c r="A29" s="175" t="s">
        <v>124</v>
      </c>
      <c r="B29" s="175"/>
      <c r="C29" s="69"/>
      <c r="D29" s="69"/>
      <c r="E29" s="69">
        <f>D20*(IF('Indexed REC Activities'!$A$86="Yes",0,1))</f>
        <v>175000.73172480002</v>
      </c>
      <c r="F29" s="69">
        <f>E20*(IF('Indexed REC Activities'!$A$86="Yes",0,1))</f>
        <v>174125.728066176</v>
      </c>
      <c r="G29" s="69">
        <f>F20*(IF('Indexed REC Activities'!$A$86="Yes",0,1))</f>
        <v>173255.09942584514</v>
      </c>
      <c r="H29" s="69">
        <f>G20*(IF('Indexed REC Activities'!$A$86="Yes",0,1))</f>
        <v>172388.82392871589</v>
      </c>
      <c r="I29" s="69">
        <f>H20*(IF('Indexed REC Activities'!$A$86="Yes",0,1))</f>
        <v>171526.87980907233</v>
      </c>
      <c r="J29" s="69">
        <f>I20*(IF('Indexed REC Activities'!$A$86="Yes",0,1))</f>
        <v>170669.24541002695</v>
      </c>
      <c r="K29" s="69">
        <f>J20*(IF('Indexed REC Activities'!$A$86="Yes",0,1))</f>
        <v>169815.89918297681</v>
      </c>
      <c r="L29" s="69">
        <f>K20*(IF('Indexed REC Activities'!$A$86="Yes",0,1))</f>
        <v>168966.81968706194</v>
      </c>
      <c r="M29" s="69">
        <f>L20*(IF('Indexed REC Activities'!$A$86="Yes",0,1))</f>
        <v>168121.98558862665</v>
      </c>
      <c r="N29" s="69">
        <f>M20*(IF('Indexed REC Activities'!$A$86="Yes",0,1))</f>
        <v>167281.37566068349</v>
      </c>
      <c r="O29" s="69">
        <f>N20*(IF('Indexed REC Activities'!$A$86="Yes",0,1))</f>
        <v>166444.96878238008</v>
      </c>
      <c r="P29" s="69">
        <f>O20*(IF('Indexed REC Activities'!$A$86="Yes",0,1))</f>
        <v>165612.74393846816</v>
      </c>
      <c r="Q29" s="69">
        <f>P20*(IF('Indexed REC Activities'!$A$86="Yes",0,1))</f>
        <v>164784.68021877581</v>
      </c>
      <c r="R29" s="69">
        <f>Q20*(IF('Indexed REC Activities'!$A$86="Yes",0,1))</f>
        <v>163960.75681768195</v>
      </c>
      <c r="S29" s="69">
        <f>R20*(IF('Indexed REC Activities'!$A$86="Yes",0,1))</f>
        <v>163140.95303359354</v>
      </c>
      <c r="T29" s="69">
        <f>S20*(IF('Indexed REC Activities'!$A$86="Yes",0,1))</f>
        <v>0</v>
      </c>
      <c r="U29" s="69">
        <f>T20*(IF('Indexed REC Activities'!$A$86="Yes",0,1))</f>
        <v>0</v>
      </c>
    </row>
    <row r="30" spans="1:21" x14ac:dyDescent="0.25">
      <c r="A30" s="175" t="s">
        <v>130</v>
      </c>
      <c r="B30" s="175"/>
      <c r="C30" s="69"/>
      <c r="D30" s="69"/>
      <c r="E30" s="69">
        <f>D21*(IF('Indexed REC Activities'!$A$86="Yes",0,1))</f>
        <v>186317.64885302942</v>
      </c>
      <c r="F30" s="69">
        <f>E21*(IF('Indexed REC Activities'!$A$86="Yes",0,1))</f>
        <v>185386.06060876427</v>
      </c>
      <c r="G30" s="69">
        <f>F21*(IF('Indexed REC Activities'!$A$86="Yes",0,1))</f>
        <v>184459.13030572043</v>
      </c>
      <c r="H30" s="69">
        <f>G21*(IF('Indexed REC Activities'!$A$86="Yes",0,1))</f>
        <v>183536.83465419186</v>
      </c>
      <c r="I30" s="69">
        <f>H21*(IF('Indexed REC Activities'!$A$86="Yes",0,1))</f>
        <v>182619.15048092086</v>
      </c>
      <c r="J30" s="69">
        <f>I21*(IF('Indexed REC Activities'!$A$86="Yes",0,1))</f>
        <v>181706.05472851626</v>
      </c>
      <c r="K30" s="69">
        <f>J21*(IF('Indexed REC Activities'!$A$86="Yes",0,1))</f>
        <v>180797.5244548737</v>
      </c>
      <c r="L30" s="69">
        <f>K21*(IF('Indexed REC Activities'!$A$86="Yes",0,1))</f>
        <v>179893.53683259932</v>
      </c>
      <c r="M30" s="69">
        <f>L21*(IF('Indexed REC Activities'!$A$86="Yes",0,1))</f>
        <v>178994.06914843631</v>
      </c>
      <c r="N30" s="69">
        <f>M21*(IF('Indexed REC Activities'!$A$86="Yes",0,1))</f>
        <v>178099.09880269412</v>
      </c>
      <c r="O30" s="69">
        <f>N21*(IF('Indexed REC Activities'!$A$86="Yes",0,1))</f>
        <v>177208.60330868064</v>
      </c>
      <c r="P30" s="69">
        <f>O21*(IF('Indexed REC Activities'!$A$86="Yes",0,1))</f>
        <v>176322.56029213726</v>
      </c>
      <c r="Q30" s="69">
        <f>P21*(IF('Indexed REC Activities'!$A$86="Yes",0,1))</f>
        <v>175440.9474906766</v>
      </c>
      <c r="R30" s="69">
        <f>Q21*(IF('Indexed REC Activities'!$A$86="Yes",0,1))</f>
        <v>174563.7427532232</v>
      </c>
      <c r="S30" s="69">
        <f>R21*(IF('Indexed REC Activities'!$A$86="Yes",0,1))</f>
        <v>173690.92403945705</v>
      </c>
      <c r="T30" s="69">
        <f>S21*(IF('Indexed REC Activities'!$A$86="Yes",0,1))</f>
        <v>0</v>
      </c>
      <c r="U30" s="69">
        <f>T21*(IF('Indexed REC Activities'!$A$86="Yes",0,1))</f>
        <v>0</v>
      </c>
    </row>
    <row r="31" spans="1:21" x14ac:dyDescent="0.25">
      <c r="A31" s="175" t="s">
        <v>139</v>
      </c>
      <c r="B31" s="175"/>
      <c r="C31" s="69"/>
      <c r="D31" s="69"/>
      <c r="E31" s="69">
        <f>D22*(IF('Indexed REC Activities'!$A$86="Yes",0,1))</f>
        <v>0</v>
      </c>
      <c r="F31" s="69">
        <f>E22*(IF('Indexed REC Activities'!$A$86="Yes",0,1))</f>
        <v>319907.49119999993</v>
      </c>
      <c r="G31" s="69">
        <f>F22*(IF('Indexed REC Activities'!$A$86="Yes",0,1))</f>
        <v>318307.95374399994</v>
      </c>
      <c r="H31" s="69">
        <f>G22*(IF('Indexed REC Activities'!$A$86="Yes",0,1))</f>
        <v>316716.41397527995</v>
      </c>
      <c r="I31" s="69">
        <f>H22*(IF('Indexed REC Activities'!$A$86="Yes",0,1))</f>
        <v>315132.83190540358</v>
      </c>
      <c r="J31" s="69">
        <f>I22*(IF('Indexed REC Activities'!$A$86="Yes",0,1))</f>
        <v>313557.16774587653</v>
      </c>
      <c r="K31" s="69">
        <f>J22*(IF('Indexed REC Activities'!$A$86="Yes",0,1))</f>
        <v>311989.38190714718</v>
      </c>
      <c r="L31" s="69">
        <f>K22*(IF('Indexed REC Activities'!$A$86="Yes",0,1))</f>
        <v>310429.43499761145</v>
      </c>
      <c r="M31" s="69">
        <f>L22*(IF('Indexed REC Activities'!$A$86="Yes",0,1))</f>
        <v>308877.28782262339</v>
      </c>
      <c r="N31" s="69">
        <f>M22*(IF('Indexed REC Activities'!$A$86="Yes",0,1))</f>
        <v>307332.90138351021</v>
      </c>
      <c r="O31" s="69">
        <f>N22*(IF('Indexed REC Activities'!$A$86="Yes",0,1))</f>
        <v>305796.23687659268</v>
      </c>
      <c r="P31" s="69">
        <f>O22*(IF('Indexed REC Activities'!$A$86="Yes",0,1))</f>
        <v>304267.25569220976</v>
      </c>
      <c r="Q31" s="69">
        <f>P22*(IF('Indexed REC Activities'!$A$86="Yes",0,1))</f>
        <v>302745.91941374866</v>
      </c>
      <c r="R31" s="69">
        <f>Q22*(IF('Indexed REC Activities'!$A$86="Yes",0,1))</f>
        <v>301232.18981667992</v>
      </c>
      <c r="S31" s="69">
        <f>R22*(IF('Indexed REC Activities'!$A$86="Yes",0,1))</f>
        <v>299726.02886759653</v>
      </c>
      <c r="T31" s="69">
        <f>S22*(IF('Indexed REC Activities'!$A$86="Yes",0,1))</f>
        <v>298227.39872325852</v>
      </c>
      <c r="U31" s="69">
        <f>T22*(IF('Indexed REC Activities'!$A$86="Yes",0,1))</f>
        <v>296736.26172964228</v>
      </c>
    </row>
    <row r="32" spans="1:21" x14ac:dyDescent="0.25">
      <c r="A32" s="175" t="s">
        <v>144</v>
      </c>
      <c r="B32" s="175"/>
      <c r="C32" s="69"/>
      <c r="D32" s="69"/>
      <c r="E32" s="69">
        <f>D23*(IF('Indexed REC Activities'!$A$86="Yes",0,1))</f>
        <v>154029.53279999999</v>
      </c>
      <c r="F32" s="69">
        <f>E23*(IF('Indexed REC Activities'!$A$86="Yes",0,1))</f>
        <v>153259.385136</v>
      </c>
      <c r="G32" s="69">
        <f>F23*(IF('Indexed REC Activities'!$A$86="Yes",0,1))</f>
        <v>152493.08821031998</v>
      </c>
      <c r="H32" s="69">
        <f>G23*(IF('Indexed REC Activities'!$A$86="Yes",0,1))</f>
        <v>151730.6227692684</v>
      </c>
      <c r="I32" s="69">
        <f>H23*(IF('Indexed REC Activities'!$A$86="Yes",0,1))</f>
        <v>150971.96965542206</v>
      </c>
      <c r="J32" s="69">
        <f>I23*(IF('Indexed REC Activities'!$A$86="Yes",0,1))</f>
        <v>150217.10980714494</v>
      </c>
      <c r="K32" s="69">
        <f>J23*(IF('Indexed REC Activities'!$A$86="Yes",0,1))</f>
        <v>149466.02425810922</v>
      </c>
      <c r="L32" s="69">
        <f>K23*(IF('Indexed REC Activities'!$A$86="Yes",0,1))</f>
        <v>148718.6941368187</v>
      </c>
      <c r="M32" s="69">
        <f>L23*(IF('Indexed REC Activities'!$A$86="Yes",0,1))</f>
        <v>147975.10066613456</v>
      </c>
      <c r="N32" s="69">
        <f>M23*(IF('Indexed REC Activities'!$A$86="Yes",0,1))</f>
        <v>147235.22516280392</v>
      </c>
      <c r="O32" s="69">
        <f>N23*(IF('Indexed REC Activities'!$A$86="Yes",0,1))</f>
        <v>146499.04903698989</v>
      </c>
      <c r="P32" s="69">
        <f>O23*(IF('Indexed REC Activities'!$A$86="Yes",0,1))</f>
        <v>145766.55379180494</v>
      </c>
      <c r="Q32" s="69">
        <f>P23*(IF('Indexed REC Activities'!$A$86="Yes",0,1))</f>
        <v>145037.72102284592</v>
      </c>
      <c r="R32" s="69">
        <f>Q23*(IF('Indexed REC Activities'!$A$86="Yes",0,1))</f>
        <v>144312.53241773168</v>
      </c>
      <c r="S32" s="69">
        <f>R23*(IF('Indexed REC Activities'!$A$86="Yes",0,1))</f>
        <v>143590.96975564302</v>
      </c>
      <c r="T32" s="69">
        <f>S23*(IF('Indexed REC Activities'!$A$86="Yes",0,1))</f>
        <v>142873.01490686479</v>
      </c>
      <c r="U32" s="69">
        <f>T23*(IF('Indexed REC Activities'!$A$86="Yes",0,1))</f>
        <v>142158.6498323305</v>
      </c>
    </row>
    <row r="33" spans="1:21" x14ac:dyDescent="0.25">
      <c r="A33" s="175" t="s">
        <v>148</v>
      </c>
      <c r="B33" s="175"/>
      <c r="C33" s="69"/>
      <c r="D33" s="69"/>
      <c r="E33" s="69">
        <f>D24*(IF('Indexed REC Activities'!$A$86="Yes",0,1))</f>
        <v>0</v>
      </c>
      <c r="F33" s="69">
        <f>E24*(IF('Indexed REC Activities'!$A$86="Yes",0,1))</f>
        <v>47393.702399999995</v>
      </c>
      <c r="G33" s="69">
        <f>F24*(IF('Indexed REC Activities'!$A$86="Yes",0,1))</f>
        <v>47156.733887999995</v>
      </c>
      <c r="H33" s="69">
        <f>G24*(IF('Indexed REC Activities'!$A$86="Yes",0,1))</f>
        <v>46920.950218559999</v>
      </c>
      <c r="I33" s="69">
        <f>H24*(IF('Indexed REC Activities'!$A$86="Yes",0,1))</f>
        <v>46686.345467467196</v>
      </c>
      <c r="J33" s="69">
        <f>I24*(IF('Indexed REC Activities'!$A$86="Yes",0,1))</f>
        <v>46452.913740129858</v>
      </c>
      <c r="K33" s="69">
        <f>J24*(IF('Indexed REC Activities'!$A$86="Yes",0,1))</f>
        <v>46220.649171429206</v>
      </c>
      <c r="L33" s="69">
        <f>K24*(IF('Indexed REC Activities'!$A$86="Yes",0,1))</f>
        <v>45989.545925572063</v>
      </c>
      <c r="M33" s="69">
        <f>L24*(IF('Indexed REC Activities'!$A$86="Yes",0,1))</f>
        <v>45759.5981959442</v>
      </c>
      <c r="N33" s="69">
        <f>M24*(IF('Indexed REC Activities'!$A$86="Yes",0,1))</f>
        <v>45530.800204964478</v>
      </c>
      <c r="O33" s="69">
        <f>N24*(IF('Indexed REC Activities'!$A$86="Yes",0,1))</f>
        <v>45303.146203939657</v>
      </c>
      <c r="P33" s="69">
        <f>O24*(IF('Indexed REC Activities'!$A$86="Yes",0,1))</f>
        <v>45076.630472919962</v>
      </c>
      <c r="Q33" s="69">
        <f>P24*(IF('Indexed REC Activities'!$A$86="Yes",0,1))</f>
        <v>44851.247320555362</v>
      </c>
      <c r="R33" s="69">
        <f>Q24*(IF('Indexed REC Activities'!$A$86="Yes",0,1))</f>
        <v>44626.991083952584</v>
      </c>
      <c r="S33" s="69">
        <f>R24*(IF('Indexed REC Activities'!$A$86="Yes",0,1))</f>
        <v>44403.856128532818</v>
      </c>
      <c r="T33" s="69">
        <f>S24*(IF('Indexed REC Activities'!$A$86="Yes",0,1))</f>
        <v>44181.836847890154</v>
      </c>
      <c r="U33" s="69">
        <f>T24*(IF('Indexed REC Activities'!$A$86="Yes",0,1))</f>
        <v>0</v>
      </c>
    </row>
    <row r="34" spans="1:21" x14ac:dyDescent="0.25">
      <c r="A34" s="10" t="s">
        <v>151</v>
      </c>
      <c r="B34" s="10"/>
      <c r="C34" s="69"/>
      <c r="D34" s="69"/>
      <c r="E34" s="69">
        <f>D25*(IF('Indexed REC Activities'!$A$86="Yes",0,1))</f>
        <v>207019.60983669932</v>
      </c>
      <c r="F34" s="69">
        <f>E25*(IF('Indexed REC Activities'!$A$86="Yes",0,1))</f>
        <v>205984.51178751586</v>
      </c>
      <c r="G34" s="69">
        <f>F25*(IF('Indexed REC Activities'!$A$86="Yes",0,1))</f>
        <v>204954.58922857829</v>
      </c>
      <c r="H34" s="69">
        <f>G25*(IF('Indexed REC Activities'!$A$86="Yes",0,1))</f>
        <v>203929.81628243538</v>
      </c>
      <c r="I34" s="69">
        <f>H25*(IF('Indexed REC Activities'!$A$86="Yes",0,1))</f>
        <v>202910.1672010232</v>
      </c>
      <c r="J34" s="69">
        <f>I25*(IF('Indexed REC Activities'!$A$86="Yes",0,1))</f>
        <v>201895.6163650181</v>
      </c>
      <c r="K34" s="69">
        <f>J25*(IF('Indexed REC Activities'!$A$86="Yes",0,1))</f>
        <v>200886.138283193</v>
      </c>
      <c r="L34" s="69">
        <f>K25*(IF('Indexed REC Activities'!$A$86="Yes",0,1))</f>
        <v>199881.70759177703</v>
      </c>
      <c r="M34" s="69">
        <f>L25*(IF('Indexed REC Activities'!$A$86="Yes",0,1))</f>
        <v>198882.29905381816</v>
      </c>
      <c r="N34" s="69">
        <f>M25*(IF('Indexed REC Activities'!$A$86="Yes",0,1))</f>
        <v>197887.88755854906</v>
      </c>
      <c r="O34" s="69">
        <f>N25*(IF('Indexed REC Activities'!$A$86="Yes",0,1))</f>
        <v>196898.44812075631</v>
      </c>
      <c r="P34" s="69">
        <f>O25*(IF('Indexed REC Activities'!$A$86="Yes",0,1))</f>
        <v>195913.95588015253</v>
      </c>
      <c r="Q34" s="69">
        <f>P25*(IF('Indexed REC Activities'!$A$86="Yes",0,1))</f>
        <v>194934.38610075176</v>
      </c>
      <c r="R34" s="69">
        <f>Q25*(IF('Indexed REC Activities'!$A$86="Yes",0,1))</f>
        <v>193959.71417024801</v>
      </c>
      <c r="S34" s="69">
        <f>R25*(IF('Indexed REC Activities'!$A$86="Yes",0,1))</f>
        <v>192989.91559939677</v>
      </c>
      <c r="T34" s="69">
        <f>S25*(IF('Indexed REC Activities'!$A$86="Yes",0,1))</f>
        <v>0</v>
      </c>
      <c r="U34" s="69">
        <f>T25*(IF('Indexed REC Activities'!$A$86="Yes",0,1))</f>
        <v>0</v>
      </c>
    </row>
    <row r="35" spans="1:21" x14ac:dyDescent="0.25">
      <c r="A35" s="12" t="s">
        <v>84</v>
      </c>
      <c r="B35" s="12"/>
      <c r="C35" s="70">
        <f t="shared" ref="C35:U35" si="13">SUM(C29:C34)</f>
        <v>0</v>
      </c>
      <c r="D35" s="70">
        <f t="shared" si="13"/>
        <v>0</v>
      </c>
      <c r="E35" s="70">
        <f t="shared" si="13"/>
        <v>722367.5232145288</v>
      </c>
      <c r="F35" s="70">
        <f t="shared" si="13"/>
        <v>1086056.879198456</v>
      </c>
      <c r="G35" s="70">
        <f t="shared" si="13"/>
        <v>1080626.5948024639</v>
      </c>
      <c r="H35" s="70">
        <f t="shared" si="13"/>
        <v>1075223.4618284514</v>
      </c>
      <c r="I35" s="70">
        <f t="shared" si="13"/>
        <v>1069847.3445193092</v>
      </c>
      <c r="J35" s="70">
        <f t="shared" si="13"/>
        <v>1064498.1077967128</v>
      </c>
      <c r="K35" s="70">
        <f t="shared" si="13"/>
        <v>1059175.6172577292</v>
      </c>
      <c r="L35" s="70">
        <f t="shared" si="13"/>
        <v>1053879.7391714405</v>
      </c>
      <c r="M35" s="70">
        <f t="shared" si="13"/>
        <v>1048610.3404755834</v>
      </c>
      <c r="N35" s="70">
        <f t="shared" si="13"/>
        <v>1043367.2887732052</v>
      </c>
      <c r="O35" s="70">
        <f t="shared" si="13"/>
        <v>1038150.4523293393</v>
      </c>
      <c r="P35" s="70">
        <f t="shared" si="13"/>
        <v>1032959.7000676927</v>
      </c>
      <c r="Q35" s="70">
        <f t="shared" si="13"/>
        <v>1027794.9015673541</v>
      </c>
      <c r="R35" s="70">
        <f t="shared" si="13"/>
        <v>1022655.9270595174</v>
      </c>
      <c r="S35" s="70">
        <f t="shared" si="13"/>
        <v>1017542.6474242198</v>
      </c>
      <c r="T35" s="70">
        <f t="shared" si="13"/>
        <v>485282.25047801348</v>
      </c>
      <c r="U35" s="70">
        <f t="shared" si="13"/>
        <v>438894.91156197281</v>
      </c>
    </row>
    <row r="37" spans="1:21" ht="15.75" x14ac:dyDescent="0.25">
      <c r="A37" s="68">
        <v>2027</v>
      </c>
      <c r="B37" s="208">
        <v>2024</v>
      </c>
      <c r="C37" s="208">
        <f>C28</f>
        <v>2025</v>
      </c>
      <c r="D37" s="208">
        <f t="shared" ref="D37:U37" si="14">D28</f>
        <v>2026</v>
      </c>
      <c r="E37" s="208">
        <f t="shared" si="14"/>
        <v>2027</v>
      </c>
      <c r="F37" s="208">
        <f t="shared" si="14"/>
        <v>2028</v>
      </c>
      <c r="G37" s="208">
        <f t="shared" si="14"/>
        <v>2029</v>
      </c>
      <c r="H37" s="208">
        <f t="shared" si="14"/>
        <v>2030</v>
      </c>
      <c r="I37" s="208">
        <f t="shared" si="14"/>
        <v>2031</v>
      </c>
      <c r="J37" s="208">
        <f t="shared" si="14"/>
        <v>2032</v>
      </c>
      <c r="K37" s="208">
        <f t="shared" si="14"/>
        <v>2033</v>
      </c>
      <c r="L37" s="208">
        <f t="shared" si="14"/>
        <v>2034</v>
      </c>
      <c r="M37" s="208">
        <f t="shared" si="14"/>
        <v>2035</v>
      </c>
      <c r="N37" s="208">
        <f t="shared" si="14"/>
        <v>2036</v>
      </c>
      <c r="O37" s="208">
        <f t="shared" si="14"/>
        <v>2037</v>
      </c>
      <c r="P37" s="208">
        <f t="shared" si="14"/>
        <v>2038</v>
      </c>
      <c r="Q37" s="208">
        <f t="shared" si="14"/>
        <v>2039</v>
      </c>
      <c r="R37" s="208">
        <f t="shared" si="14"/>
        <v>2040</v>
      </c>
      <c r="S37" s="208">
        <f t="shared" si="14"/>
        <v>2041</v>
      </c>
      <c r="T37" s="208">
        <f t="shared" si="14"/>
        <v>2042</v>
      </c>
      <c r="U37" s="208">
        <f t="shared" si="14"/>
        <v>2043</v>
      </c>
    </row>
    <row r="38" spans="1:21" x14ac:dyDescent="0.25">
      <c r="A38" s="175" t="s">
        <v>124</v>
      </c>
      <c r="B38" s="175"/>
      <c r="C38" s="69"/>
      <c r="D38" s="69"/>
      <c r="E38" s="69"/>
      <c r="F38" s="69">
        <f>E29</f>
        <v>175000.73172480002</v>
      </c>
      <c r="G38" s="69">
        <f>F29</f>
        <v>174125.728066176</v>
      </c>
      <c r="H38" s="69">
        <f t="shared" ref="H38:U38" si="15">G29</f>
        <v>173255.09942584514</v>
      </c>
      <c r="I38" s="69">
        <f t="shared" si="15"/>
        <v>172388.82392871589</v>
      </c>
      <c r="J38" s="69">
        <f t="shared" si="15"/>
        <v>171526.87980907233</v>
      </c>
      <c r="K38" s="69">
        <f t="shared" si="15"/>
        <v>170669.24541002695</v>
      </c>
      <c r="L38" s="69">
        <f t="shared" si="15"/>
        <v>169815.89918297681</v>
      </c>
      <c r="M38" s="69">
        <f t="shared" si="15"/>
        <v>168966.81968706194</v>
      </c>
      <c r="N38" s="69">
        <f t="shared" si="15"/>
        <v>168121.98558862665</v>
      </c>
      <c r="O38" s="69">
        <f t="shared" si="15"/>
        <v>167281.37566068349</v>
      </c>
      <c r="P38" s="69">
        <f t="shared" si="15"/>
        <v>166444.96878238008</v>
      </c>
      <c r="Q38" s="69">
        <f t="shared" si="15"/>
        <v>165612.74393846816</v>
      </c>
      <c r="R38" s="69">
        <f t="shared" si="15"/>
        <v>164784.68021877581</v>
      </c>
      <c r="S38" s="69">
        <f t="shared" si="15"/>
        <v>163960.75681768195</v>
      </c>
      <c r="T38" s="69">
        <f t="shared" si="15"/>
        <v>163140.95303359354</v>
      </c>
      <c r="U38" s="69">
        <f t="shared" si="15"/>
        <v>0</v>
      </c>
    </row>
    <row r="39" spans="1:21" x14ac:dyDescent="0.25">
      <c r="A39" s="175" t="s">
        <v>130</v>
      </c>
      <c r="B39" s="175"/>
      <c r="C39" s="69"/>
      <c r="D39" s="69"/>
      <c r="E39" s="69"/>
      <c r="F39" s="69">
        <f>E30</f>
        <v>186317.64885302942</v>
      </c>
      <c r="G39" s="69">
        <f t="shared" ref="G39:U39" si="16">F30</f>
        <v>185386.06060876427</v>
      </c>
      <c r="H39" s="69">
        <f t="shared" si="16"/>
        <v>184459.13030572043</v>
      </c>
      <c r="I39" s="69">
        <f t="shared" si="16"/>
        <v>183536.83465419186</v>
      </c>
      <c r="J39" s="69">
        <f t="shared" si="16"/>
        <v>182619.15048092086</v>
      </c>
      <c r="K39" s="69">
        <f t="shared" si="16"/>
        <v>181706.05472851626</v>
      </c>
      <c r="L39" s="69">
        <f t="shared" si="16"/>
        <v>180797.5244548737</v>
      </c>
      <c r="M39" s="69">
        <f t="shared" si="16"/>
        <v>179893.53683259932</v>
      </c>
      <c r="N39" s="69">
        <f t="shared" si="16"/>
        <v>178994.06914843631</v>
      </c>
      <c r="O39" s="69">
        <f t="shared" si="16"/>
        <v>178099.09880269412</v>
      </c>
      <c r="P39" s="69">
        <f t="shared" si="16"/>
        <v>177208.60330868064</v>
      </c>
      <c r="Q39" s="69">
        <f t="shared" si="16"/>
        <v>176322.56029213726</v>
      </c>
      <c r="R39" s="69">
        <f t="shared" si="16"/>
        <v>175440.9474906766</v>
      </c>
      <c r="S39" s="69">
        <f t="shared" si="16"/>
        <v>174563.7427532232</v>
      </c>
      <c r="T39" s="69">
        <f t="shared" si="16"/>
        <v>173690.92403945705</v>
      </c>
      <c r="U39" s="69">
        <f t="shared" si="16"/>
        <v>0</v>
      </c>
    </row>
    <row r="40" spans="1:21" x14ac:dyDescent="0.25">
      <c r="A40" s="175" t="s">
        <v>139</v>
      </c>
      <c r="B40" s="175"/>
      <c r="C40" s="69"/>
      <c r="D40" s="69"/>
      <c r="E40" s="69"/>
      <c r="F40" s="69">
        <f t="shared" ref="F40:U40" si="17">E31</f>
        <v>0</v>
      </c>
      <c r="G40" s="69">
        <f t="shared" si="17"/>
        <v>319907.49119999993</v>
      </c>
      <c r="H40" s="69">
        <f t="shared" si="17"/>
        <v>318307.95374399994</v>
      </c>
      <c r="I40" s="69">
        <f t="shared" si="17"/>
        <v>316716.41397527995</v>
      </c>
      <c r="J40" s="69">
        <f t="shared" si="17"/>
        <v>315132.83190540358</v>
      </c>
      <c r="K40" s="69">
        <f t="shared" si="17"/>
        <v>313557.16774587653</v>
      </c>
      <c r="L40" s="69">
        <f t="shared" si="17"/>
        <v>311989.38190714718</v>
      </c>
      <c r="M40" s="69">
        <f t="shared" si="17"/>
        <v>310429.43499761145</v>
      </c>
      <c r="N40" s="69">
        <f t="shared" si="17"/>
        <v>308877.28782262339</v>
      </c>
      <c r="O40" s="69">
        <f t="shared" si="17"/>
        <v>307332.90138351021</v>
      </c>
      <c r="P40" s="69">
        <f t="shared" si="17"/>
        <v>305796.23687659268</v>
      </c>
      <c r="Q40" s="69">
        <f t="shared" si="17"/>
        <v>304267.25569220976</v>
      </c>
      <c r="R40" s="69">
        <f t="shared" si="17"/>
        <v>302745.91941374866</v>
      </c>
      <c r="S40" s="69">
        <f t="shared" si="17"/>
        <v>301232.18981667992</v>
      </c>
      <c r="T40" s="69">
        <f t="shared" si="17"/>
        <v>299726.02886759653</v>
      </c>
      <c r="U40" s="69">
        <f t="shared" si="17"/>
        <v>298227.39872325852</v>
      </c>
    </row>
    <row r="41" spans="1:21" x14ac:dyDescent="0.25">
      <c r="A41" s="175" t="s">
        <v>144</v>
      </c>
      <c r="B41" s="175"/>
      <c r="C41" s="69"/>
      <c r="D41" s="69"/>
      <c r="E41" s="69"/>
      <c r="F41" s="69">
        <f t="shared" ref="F41:U41" si="18">E32</f>
        <v>154029.53279999999</v>
      </c>
      <c r="G41" s="69">
        <f t="shared" si="18"/>
        <v>153259.385136</v>
      </c>
      <c r="H41" s="69">
        <f t="shared" si="18"/>
        <v>152493.08821031998</v>
      </c>
      <c r="I41" s="69">
        <f t="shared" si="18"/>
        <v>151730.6227692684</v>
      </c>
      <c r="J41" s="69">
        <f t="shared" si="18"/>
        <v>150971.96965542206</v>
      </c>
      <c r="K41" s="69">
        <f t="shared" si="18"/>
        <v>150217.10980714494</v>
      </c>
      <c r="L41" s="69">
        <f t="shared" si="18"/>
        <v>149466.02425810922</v>
      </c>
      <c r="M41" s="69">
        <f t="shared" si="18"/>
        <v>148718.6941368187</v>
      </c>
      <c r="N41" s="69">
        <f t="shared" si="18"/>
        <v>147975.10066613456</v>
      </c>
      <c r="O41" s="69">
        <f t="shared" si="18"/>
        <v>147235.22516280392</v>
      </c>
      <c r="P41" s="69">
        <f t="shared" si="18"/>
        <v>146499.04903698989</v>
      </c>
      <c r="Q41" s="69">
        <f t="shared" si="18"/>
        <v>145766.55379180494</v>
      </c>
      <c r="R41" s="69">
        <f t="shared" si="18"/>
        <v>145037.72102284592</v>
      </c>
      <c r="S41" s="69">
        <f t="shared" si="18"/>
        <v>144312.53241773168</v>
      </c>
      <c r="T41" s="69">
        <f t="shared" si="18"/>
        <v>143590.96975564302</v>
      </c>
      <c r="U41" s="69">
        <f t="shared" si="18"/>
        <v>142873.01490686479</v>
      </c>
    </row>
    <row r="42" spans="1:21" x14ac:dyDescent="0.25">
      <c r="A42" s="175" t="s">
        <v>148</v>
      </c>
      <c r="B42" s="175"/>
      <c r="C42" s="69"/>
      <c r="D42" s="69"/>
      <c r="E42" s="69"/>
      <c r="F42" s="69">
        <f t="shared" ref="F42:U42" si="19">E33</f>
        <v>0</v>
      </c>
      <c r="G42" s="69">
        <f t="shared" si="19"/>
        <v>47393.702399999995</v>
      </c>
      <c r="H42" s="69">
        <f t="shared" si="19"/>
        <v>47156.733887999995</v>
      </c>
      <c r="I42" s="69">
        <f t="shared" si="19"/>
        <v>46920.950218559999</v>
      </c>
      <c r="J42" s="69">
        <f t="shared" si="19"/>
        <v>46686.345467467196</v>
      </c>
      <c r="K42" s="69">
        <f t="shared" si="19"/>
        <v>46452.913740129858</v>
      </c>
      <c r="L42" s="69">
        <f t="shared" si="19"/>
        <v>46220.649171429206</v>
      </c>
      <c r="M42" s="69">
        <f t="shared" si="19"/>
        <v>45989.545925572063</v>
      </c>
      <c r="N42" s="69">
        <f t="shared" si="19"/>
        <v>45759.5981959442</v>
      </c>
      <c r="O42" s="69">
        <f t="shared" si="19"/>
        <v>45530.800204964478</v>
      </c>
      <c r="P42" s="69">
        <f t="shared" si="19"/>
        <v>45303.146203939657</v>
      </c>
      <c r="Q42" s="69">
        <f t="shared" si="19"/>
        <v>45076.630472919962</v>
      </c>
      <c r="R42" s="69">
        <f t="shared" si="19"/>
        <v>44851.247320555362</v>
      </c>
      <c r="S42" s="69">
        <f t="shared" si="19"/>
        <v>44626.991083952584</v>
      </c>
      <c r="T42" s="69">
        <f t="shared" si="19"/>
        <v>44403.856128532818</v>
      </c>
      <c r="U42" s="69">
        <f t="shared" si="19"/>
        <v>44181.836847890154</v>
      </c>
    </row>
    <row r="43" spans="1:21" x14ac:dyDescent="0.25">
      <c r="A43" s="10" t="s">
        <v>151</v>
      </c>
      <c r="B43" s="10"/>
      <c r="C43" s="69"/>
      <c r="D43" s="69"/>
      <c r="E43" s="69"/>
      <c r="F43" s="69">
        <f t="shared" ref="F43:U43" si="20">E34</f>
        <v>207019.60983669932</v>
      </c>
      <c r="G43" s="69">
        <f t="shared" si="20"/>
        <v>205984.51178751586</v>
      </c>
      <c r="H43" s="69">
        <f t="shared" si="20"/>
        <v>204954.58922857829</v>
      </c>
      <c r="I43" s="69">
        <f t="shared" si="20"/>
        <v>203929.81628243538</v>
      </c>
      <c r="J43" s="69">
        <f t="shared" si="20"/>
        <v>202910.1672010232</v>
      </c>
      <c r="K43" s="69">
        <f t="shared" si="20"/>
        <v>201895.6163650181</v>
      </c>
      <c r="L43" s="69">
        <f t="shared" si="20"/>
        <v>200886.138283193</v>
      </c>
      <c r="M43" s="69">
        <f t="shared" si="20"/>
        <v>199881.70759177703</v>
      </c>
      <c r="N43" s="69">
        <f t="shared" si="20"/>
        <v>198882.29905381816</v>
      </c>
      <c r="O43" s="69">
        <f t="shared" si="20"/>
        <v>197887.88755854906</v>
      </c>
      <c r="P43" s="69">
        <f t="shared" si="20"/>
        <v>196898.44812075631</v>
      </c>
      <c r="Q43" s="69">
        <f t="shared" si="20"/>
        <v>195913.95588015253</v>
      </c>
      <c r="R43" s="69">
        <f t="shared" si="20"/>
        <v>194934.38610075176</v>
      </c>
      <c r="S43" s="69">
        <f t="shared" si="20"/>
        <v>193959.71417024801</v>
      </c>
      <c r="T43" s="69">
        <f t="shared" si="20"/>
        <v>192989.91559939677</v>
      </c>
      <c r="U43" s="69">
        <f t="shared" si="20"/>
        <v>0</v>
      </c>
    </row>
    <row r="44" spans="1:21" x14ac:dyDescent="0.25">
      <c r="A44" s="12" t="s">
        <v>84</v>
      </c>
      <c r="B44" s="12"/>
      <c r="C44" s="70">
        <f t="shared" ref="C44:U44" si="21">SUM(C38:C43)</f>
        <v>0</v>
      </c>
      <c r="D44" s="70">
        <f t="shared" si="21"/>
        <v>0</v>
      </c>
      <c r="E44" s="70">
        <f t="shared" si="21"/>
        <v>0</v>
      </c>
      <c r="F44" s="70">
        <f t="shared" si="21"/>
        <v>722367.5232145288</v>
      </c>
      <c r="G44" s="70">
        <f t="shared" si="21"/>
        <v>1086056.879198456</v>
      </c>
      <c r="H44" s="70">
        <f t="shared" si="21"/>
        <v>1080626.5948024639</v>
      </c>
      <c r="I44" s="70">
        <f t="shared" si="21"/>
        <v>1075223.4618284514</v>
      </c>
      <c r="J44" s="70">
        <f t="shared" si="21"/>
        <v>1069847.3445193092</v>
      </c>
      <c r="K44" s="70">
        <f t="shared" si="21"/>
        <v>1064498.1077967128</v>
      </c>
      <c r="L44" s="70">
        <f t="shared" si="21"/>
        <v>1059175.6172577292</v>
      </c>
      <c r="M44" s="70">
        <f t="shared" si="21"/>
        <v>1053879.7391714405</v>
      </c>
      <c r="N44" s="70">
        <f t="shared" si="21"/>
        <v>1048610.3404755834</v>
      </c>
      <c r="O44" s="70">
        <f t="shared" si="21"/>
        <v>1043367.2887732052</v>
      </c>
      <c r="P44" s="70">
        <f t="shared" si="21"/>
        <v>1038150.4523293393</v>
      </c>
      <c r="Q44" s="70">
        <f t="shared" si="21"/>
        <v>1032959.7000676927</v>
      </c>
      <c r="R44" s="70">
        <f t="shared" si="21"/>
        <v>1027794.9015673541</v>
      </c>
      <c r="S44" s="70">
        <f t="shared" si="21"/>
        <v>1022655.9270595174</v>
      </c>
      <c r="T44" s="70">
        <f t="shared" si="21"/>
        <v>1017542.6474242198</v>
      </c>
      <c r="U44" s="70">
        <f t="shared" si="21"/>
        <v>485282.25047801348</v>
      </c>
    </row>
    <row r="46" spans="1:21" ht="15.75" x14ac:dyDescent="0.25">
      <c r="A46" s="68">
        <v>2028</v>
      </c>
      <c r="B46" s="208">
        <v>2024</v>
      </c>
      <c r="C46" s="208">
        <f>C37</f>
        <v>2025</v>
      </c>
      <c r="D46" s="208">
        <f t="shared" ref="D46:U46" si="22">D37</f>
        <v>2026</v>
      </c>
      <c r="E46" s="208">
        <f t="shared" si="22"/>
        <v>2027</v>
      </c>
      <c r="F46" s="208">
        <f t="shared" si="22"/>
        <v>2028</v>
      </c>
      <c r="G46" s="208">
        <f t="shared" si="22"/>
        <v>2029</v>
      </c>
      <c r="H46" s="208">
        <f t="shared" si="22"/>
        <v>2030</v>
      </c>
      <c r="I46" s="208">
        <f t="shared" si="22"/>
        <v>2031</v>
      </c>
      <c r="J46" s="208">
        <f t="shared" si="22"/>
        <v>2032</v>
      </c>
      <c r="K46" s="208">
        <f t="shared" si="22"/>
        <v>2033</v>
      </c>
      <c r="L46" s="208">
        <f t="shared" si="22"/>
        <v>2034</v>
      </c>
      <c r="M46" s="208">
        <f t="shared" si="22"/>
        <v>2035</v>
      </c>
      <c r="N46" s="208">
        <f t="shared" si="22"/>
        <v>2036</v>
      </c>
      <c r="O46" s="208">
        <f t="shared" si="22"/>
        <v>2037</v>
      </c>
      <c r="P46" s="208">
        <f t="shared" si="22"/>
        <v>2038</v>
      </c>
      <c r="Q46" s="208">
        <f t="shared" si="22"/>
        <v>2039</v>
      </c>
      <c r="R46" s="208">
        <f t="shared" si="22"/>
        <v>2040</v>
      </c>
      <c r="S46" s="208">
        <f t="shared" si="22"/>
        <v>2041</v>
      </c>
      <c r="T46" s="208">
        <f t="shared" si="22"/>
        <v>2042</v>
      </c>
      <c r="U46" s="208">
        <f t="shared" si="22"/>
        <v>2043</v>
      </c>
    </row>
    <row r="47" spans="1:21" x14ac:dyDescent="0.25">
      <c r="A47" s="175" t="s">
        <v>124</v>
      </c>
      <c r="B47" s="175"/>
      <c r="C47" s="69"/>
      <c r="D47" s="69"/>
      <c r="E47" s="69"/>
      <c r="F47" s="69"/>
      <c r="G47" s="69">
        <f>F38</f>
        <v>175000.73172480002</v>
      </c>
      <c r="H47" s="69">
        <f t="shared" ref="H47:U47" si="23">G38</f>
        <v>174125.728066176</v>
      </c>
      <c r="I47" s="69">
        <f t="shared" si="23"/>
        <v>173255.09942584514</v>
      </c>
      <c r="J47" s="69">
        <f t="shared" si="23"/>
        <v>172388.82392871589</v>
      </c>
      <c r="K47" s="69">
        <f t="shared" si="23"/>
        <v>171526.87980907233</v>
      </c>
      <c r="L47" s="69">
        <f t="shared" si="23"/>
        <v>170669.24541002695</v>
      </c>
      <c r="M47" s="69">
        <f t="shared" si="23"/>
        <v>169815.89918297681</v>
      </c>
      <c r="N47" s="69">
        <f t="shared" si="23"/>
        <v>168966.81968706194</v>
      </c>
      <c r="O47" s="69">
        <f t="shared" si="23"/>
        <v>168121.98558862665</v>
      </c>
      <c r="P47" s="69">
        <f t="shared" si="23"/>
        <v>167281.37566068349</v>
      </c>
      <c r="Q47" s="69">
        <f t="shared" si="23"/>
        <v>166444.96878238008</v>
      </c>
      <c r="R47" s="69">
        <f t="shared" si="23"/>
        <v>165612.74393846816</v>
      </c>
      <c r="S47" s="69">
        <f t="shared" si="23"/>
        <v>164784.68021877581</v>
      </c>
      <c r="T47" s="69">
        <f t="shared" si="23"/>
        <v>163960.75681768195</v>
      </c>
      <c r="U47" s="69">
        <f t="shared" si="23"/>
        <v>163140.95303359354</v>
      </c>
    </row>
    <row r="48" spans="1:21" x14ac:dyDescent="0.25">
      <c r="A48" s="175" t="s">
        <v>130</v>
      </c>
      <c r="B48" s="175"/>
      <c r="C48" s="69"/>
      <c r="D48" s="69"/>
      <c r="E48" s="69"/>
      <c r="F48" s="69"/>
      <c r="G48" s="69">
        <f t="shared" ref="G48:U48" si="24">F39</f>
        <v>186317.64885302942</v>
      </c>
      <c r="H48" s="69">
        <f t="shared" si="24"/>
        <v>185386.06060876427</v>
      </c>
      <c r="I48" s="69">
        <f t="shared" si="24"/>
        <v>184459.13030572043</v>
      </c>
      <c r="J48" s="69">
        <f t="shared" si="24"/>
        <v>183536.83465419186</v>
      </c>
      <c r="K48" s="69">
        <f t="shared" si="24"/>
        <v>182619.15048092086</v>
      </c>
      <c r="L48" s="69">
        <f t="shared" si="24"/>
        <v>181706.05472851626</v>
      </c>
      <c r="M48" s="69">
        <f t="shared" si="24"/>
        <v>180797.5244548737</v>
      </c>
      <c r="N48" s="69">
        <f t="shared" si="24"/>
        <v>179893.53683259932</v>
      </c>
      <c r="O48" s="69">
        <f t="shared" si="24"/>
        <v>178994.06914843631</v>
      </c>
      <c r="P48" s="69">
        <f t="shared" si="24"/>
        <v>178099.09880269412</v>
      </c>
      <c r="Q48" s="69">
        <f t="shared" si="24"/>
        <v>177208.60330868064</v>
      </c>
      <c r="R48" s="69">
        <f t="shared" si="24"/>
        <v>176322.56029213726</v>
      </c>
      <c r="S48" s="69">
        <f t="shared" si="24"/>
        <v>175440.9474906766</v>
      </c>
      <c r="T48" s="69">
        <f t="shared" si="24"/>
        <v>174563.7427532232</v>
      </c>
      <c r="U48" s="69">
        <f t="shared" si="24"/>
        <v>173690.92403945705</v>
      </c>
    </row>
    <row r="49" spans="1:21" x14ac:dyDescent="0.25">
      <c r="A49" s="175" t="s">
        <v>139</v>
      </c>
      <c r="B49" s="175"/>
      <c r="C49" s="69"/>
      <c r="D49" s="69"/>
      <c r="E49" s="69"/>
      <c r="F49" s="69"/>
      <c r="G49" s="69">
        <f t="shared" ref="G49:U49" si="25">F40</f>
        <v>0</v>
      </c>
      <c r="H49" s="69">
        <f t="shared" si="25"/>
        <v>319907.49119999993</v>
      </c>
      <c r="I49" s="69">
        <f t="shared" si="25"/>
        <v>318307.95374399994</v>
      </c>
      <c r="J49" s="69">
        <f t="shared" si="25"/>
        <v>316716.41397527995</v>
      </c>
      <c r="K49" s="69">
        <f t="shared" si="25"/>
        <v>315132.83190540358</v>
      </c>
      <c r="L49" s="69">
        <f t="shared" si="25"/>
        <v>313557.16774587653</v>
      </c>
      <c r="M49" s="69">
        <f t="shared" si="25"/>
        <v>311989.38190714718</v>
      </c>
      <c r="N49" s="69">
        <f t="shared" si="25"/>
        <v>310429.43499761145</v>
      </c>
      <c r="O49" s="69">
        <f t="shared" si="25"/>
        <v>308877.28782262339</v>
      </c>
      <c r="P49" s="69">
        <f t="shared" si="25"/>
        <v>307332.90138351021</v>
      </c>
      <c r="Q49" s="69">
        <f t="shared" si="25"/>
        <v>305796.23687659268</v>
      </c>
      <c r="R49" s="69">
        <f t="shared" si="25"/>
        <v>304267.25569220976</v>
      </c>
      <c r="S49" s="69">
        <f t="shared" si="25"/>
        <v>302745.91941374866</v>
      </c>
      <c r="T49" s="69">
        <f t="shared" si="25"/>
        <v>301232.18981667992</v>
      </c>
      <c r="U49" s="69">
        <f t="shared" si="25"/>
        <v>299726.02886759653</v>
      </c>
    </row>
    <row r="50" spans="1:21" x14ac:dyDescent="0.25">
      <c r="A50" s="175" t="s">
        <v>144</v>
      </c>
      <c r="B50" s="175"/>
      <c r="C50" s="69"/>
      <c r="D50" s="69"/>
      <c r="E50" s="69"/>
      <c r="F50" s="69"/>
      <c r="G50" s="69">
        <f t="shared" ref="G50:U50" si="26">F41</f>
        <v>154029.53279999999</v>
      </c>
      <c r="H50" s="69">
        <f t="shared" si="26"/>
        <v>153259.385136</v>
      </c>
      <c r="I50" s="69">
        <f t="shared" si="26"/>
        <v>152493.08821031998</v>
      </c>
      <c r="J50" s="69">
        <f t="shared" si="26"/>
        <v>151730.6227692684</v>
      </c>
      <c r="K50" s="69">
        <f t="shared" si="26"/>
        <v>150971.96965542206</v>
      </c>
      <c r="L50" s="69">
        <f t="shared" si="26"/>
        <v>150217.10980714494</v>
      </c>
      <c r="M50" s="69">
        <f t="shared" si="26"/>
        <v>149466.02425810922</v>
      </c>
      <c r="N50" s="69">
        <f t="shared" si="26"/>
        <v>148718.6941368187</v>
      </c>
      <c r="O50" s="69">
        <f t="shared" si="26"/>
        <v>147975.10066613456</v>
      </c>
      <c r="P50" s="69">
        <f t="shared" si="26"/>
        <v>147235.22516280392</v>
      </c>
      <c r="Q50" s="69">
        <f t="shared" si="26"/>
        <v>146499.04903698989</v>
      </c>
      <c r="R50" s="69">
        <f t="shared" si="26"/>
        <v>145766.55379180494</v>
      </c>
      <c r="S50" s="69">
        <f t="shared" si="26"/>
        <v>145037.72102284592</v>
      </c>
      <c r="T50" s="69">
        <f t="shared" si="26"/>
        <v>144312.53241773168</v>
      </c>
      <c r="U50" s="69">
        <f t="shared" si="26"/>
        <v>143590.96975564302</v>
      </c>
    </row>
    <row r="51" spans="1:21" x14ac:dyDescent="0.25">
      <c r="A51" s="175" t="s">
        <v>148</v>
      </c>
      <c r="B51" s="175"/>
      <c r="C51" s="69"/>
      <c r="D51" s="69"/>
      <c r="E51" s="69"/>
      <c r="F51" s="69"/>
      <c r="G51" s="69">
        <f t="shared" ref="G51:U51" si="27">F42</f>
        <v>0</v>
      </c>
      <c r="H51" s="69">
        <f t="shared" si="27"/>
        <v>47393.702399999995</v>
      </c>
      <c r="I51" s="69">
        <f t="shared" si="27"/>
        <v>47156.733887999995</v>
      </c>
      <c r="J51" s="69">
        <f t="shared" si="27"/>
        <v>46920.950218559999</v>
      </c>
      <c r="K51" s="69">
        <f t="shared" si="27"/>
        <v>46686.345467467196</v>
      </c>
      <c r="L51" s="69">
        <f t="shared" si="27"/>
        <v>46452.913740129858</v>
      </c>
      <c r="M51" s="69">
        <f t="shared" si="27"/>
        <v>46220.649171429206</v>
      </c>
      <c r="N51" s="69">
        <f t="shared" si="27"/>
        <v>45989.545925572063</v>
      </c>
      <c r="O51" s="69">
        <f t="shared" si="27"/>
        <v>45759.5981959442</v>
      </c>
      <c r="P51" s="69">
        <f t="shared" si="27"/>
        <v>45530.800204964478</v>
      </c>
      <c r="Q51" s="69">
        <f t="shared" si="27"/>
        <v>45303.146203939657</v>
      </c>
      <c r="R51" s="69">
        <f t="shared" si="27"/>
        <v>45076.630472919962</v>
      </c>
      <c r="S51" s="69">
        <f t="shared" si="27"/>
        <v>44851.247320555362</v>
      </c>
      <c r="T51" s="69">
        <f t="shared" si="27"/>
        <v>44626.991083952584</v>
      </c>
      <c r="U51" s="69">
        <f t="shared" si="27"/>
        <v>44403.856128532818</v>
      </c>
    </row>
    <row r="52" spans="1:21" x14ac:dyDescent="0.25">
      <c r="A52" s="10" t="s">
        <v>151</v>
      </c>
      <c r="B52" s="10"/>
      <c r="C52" s="69"/>
      <c r="D52" s="69"/>
      <c r="E52" s="69"/>
      <c r="F52" s="69"/>
      <c r="G52" s="69">
        <f t="shared" ref="G52:U52" si="28">F43</f>
        <v>207019.60983669932</v>
      </c>
      <c r="H52" s="69">
        <f t="shared" si="28"/>
        <v>205984.51178751586</v>
      </c>
      <c r="I52" s="69">
        <f t="shared" si="28"/>
        <v>204954.58922857829</v>
      </c>
      <c r="J52" s="69">
        <f t="shared" si="28"/>
        <v>203929.81628243538</v>
      </c>
      <c r="K52" s="69">
        <f t="shared" si="28"/>
        <v>202910.1672010232</v>
      </c>
      <c r="L52" s="69">
        <f t="shared" si="28"/>
        <v>201895.6163650181</v>
      </c>
      <c r="M52" s="69">
        <f t="shared" si="28"/>
        <v>200886.138283193</v>
      </c>
      <c r="N52" s="69">
        <f t="shared" si="28"/>
        <v>199881.70759177703</v>
      </c>
      <c r="O52" s="69">
        <f t="shared" si="28"/>
        <v>198882.29905381816</v>
      </c>
      <c r="P52" s="69">
        <f t="shared" si="28"/>
        <v>197887.88755854906</v>
      </c>
      <c r="Q52" s="69">
        <f t="shared" si="28"/>
        <v>196898.44812075631</v>
      </c>
      <c r="R52" s="69">
        <f t="shared" si="28"/>
        <v>195913.95588015253</v>
      </c>
      <c r="S52" s="69">
        <f t="shared" si="28"/>
        <v>194934.38610075176</v>
      </c>
      <c r="T52" s="69">
        <f t="shared" si="28"/>
        <v>193959.71417024801</v>
      </c>
      <c r="U52" s="69">
        <f t="shared" si="28"/>
        <v>192989.91559939677</v>
      </c>
    </row>
    <row r="53" spans="1:21" x14ac:dyDescent="0.25">
      <c r="A53" s="12" t="s">
        <v>84</v>
      </c>
      <c r="B53" s="12"/>
      <c r="C53" s="70">
        <f t="shared" ref="C53:U53" si="29">SUM(C47:C52)</f>
        <v>0</v>
      </c>
      <c r="D53" s="70">
        <f t="shared" si="29"/>
        <v>0</v>
      </c>
      <c r="E53" s="70">
        <f t="shared" si="29"/>
        <v>0</v>
      </c>
      <c r="F53" s="70">
        <f t="shared" si="29"/>
        <v>0</v>
      </c>
      <c r="G53" s="70">
        <f t="shared" si="29"/>
        <v>722367.5232145288</v>
      </c>
      <c r="H53" s="70">
        <f t="shared" si="29"/>
        <v>1086056.879198456</v>
      </c>
      <c r="I53" s="70">
        <f t="shared" si="29"/>
        <v>1080626.5948024639</v>
      </c>
      <c r="J53" s="70">
        <f t="shared" si="29"/>
        <v>1075223.4618284514</v>
      </c>
      <c r="K53" s="70">
        <f t="shared" si="29"/>
        <v>1069847.3445193092</v>
      </c>
      <c r="L53" s="70">
        <f t="shared" si="29"/>
        <v>1064498.1077967128</v>
      </c>
      <c r="M53" s="70">
        <f t="shared" si="29"/>
        <v>1059175.6172577292</v>
      </c>
      <c r="N53" s="70">
        <f t="shared" si="29"/>
        <v>1053879.7391714405</v>
      </c>
      <c r="O53" s="70">
        <f t="shared" si="29"/>
        <v>1048610.3404755834</v>
      </c>
      <c r="P53" s="70">
        <f t="shared" si="29"/>
        <v>1043367.2887732052</v>
      </c>
      <c r="Q53" s="70">
        <f t="shared" si="29"/>
        <v>1038150.4523293393</v>
      </c>
      <c r="R53" s="70">
        <f t="shared" si="29"/>
        <v>1032959.7000676927</v>
      </c>
      <c r="S53" s="70">
        <f t="shared" si="29"/>
        <v>1027794.9015673541</v>
      </c>
      <c r="T53" s="70">
        <f t="shared" si="29"/>
        <v>1022655.9270595174</v>
      </c>
      <c r="U53" s="70">
        <f t="shared" si="29"/>
        <v>1017542.6474242198</v>
      </c>
    </row>
    <row r="55" spans="1:21" ht="15.75" x14ac:dyDescent="0.25">
      <c r="A55" s="68">
        <v>2029</v>
      </c>
      <c r="B55" s="208">
        <v>2024</v>
      </c>
      <c r="C55" s="208">
        <f>C46</f>
        <v>2025</v>
      </c>
      <c r="D55" s="208">
        <f t="shared" ref="D55:U55" si="30">D46</f>
        <v>2026</v>
      </c>
      <c r="E55" s="208">
        <f t="shared" si="30"/>
        <v>2027</v>
      </c>
      <c r="F55" s="208">
        <f t="shared" si="30"/>
        <v>2028</v>
      </c>
      <c r="G55" s="208">
        <f t="shared" si="30"/>
        <v>2029</v>
      </c>
      <c r="H55" s="208">
        <f t="shared" si="30"/>
        <v>2030</v>
      </c>
      <c r="I55" s="208">
        <f t="shared" si="30"/>
        <v>2031</v>
      </c>
      <c r="J55" s="208">
        <f t="shared" si="30"/>
        <v>2032</v>
      </c>
      <c r="K55" s="208">
        <f t="shared" si="30"/>
        <v>2033</v>
      </c>
      <c r="L55" s="208">
        <f t="shared" si="30"/>
        <v>2034</v>
      </c>
      <c r="M55" s="208">
        <f t="shared" si="30"/>
        <v>2035</v>
      </c>
      <c r="N55" s="208">
        <f t="shared" si="30"/>
        <v>2036</v>
      </c>
      <c r="O55" s="208">
        <f t="shared" si="30"/>
        <v>2037</v>
      </c>
      <c r="P55" s="208">
        <f t="shared" si="30"/>
        <v>2038</v>
      </c>
      <c r="Q55" s="208">
        <f t="shared" si="30"/>
        <v>2039</v>
      </c>
      <c r="R55" s="208">
        <f t="shared" si="30"/>
        <v>2040</v>
      </c>
      <c r="S55" s="208">
        <f t="shared" si="30"/>
        <v>2041</v>
      </c>
      <c r="T55" s="208">
        <f t="shared" si="30"/>
        <v>2042</v>
      </c>
      <c r="U55" s="208">
        <f t="shared" si="30"/>
        <v>2043</v>
      </c>
    </row>
    <row r="56" spans="1:21" x14ac:dyDescent="0.25">
      <c r="A56" s="175" t="s">
        <v>124</v>
      </c>
      <c r="B56" s="175"/>
      <c r="C56" s="69"/>
      <c r="D56" s="69"/>
      <c r="E56" s="69"/>
      <c r="F56" s="69"/>
      <c r="G56" s="69"/>
      <c r="H56" s="69">
        <f>G47</f>
        <v>175000.73172480002</v>
      </c>
      <c r="I56" s="69">
        <f t="shared" ref="I56:U56" si="31">H47</f>
        <v>174125.728066176</v>
      </c>
      <c r="J56" s="69">
        <f t="shared" si="31"/>
        <v>173255.09942584514</v>
      </c>
      <c r="K56" s="69">
        <f t="shared" si="31"/>
        <v>172388.82392871589</v>
      </c>
      <c r="L56" s="69">
        <f t="shared" si="31"/>
        <v>171526.87980907233</v>
      </c>
      <c r="M56" s="69">
        <f t="shared" si="31"/>
        <v>170669.24541002695</v>
      </c>
      <c r="N56" s="69">
        <f t="shared" si="31"/>
        <v>169815.89918297681</v>
      </c>
      <c r="O56" s="69">
        <f t="shared" si="31"/>
        <v>168966.81968706194</v>
      </c>
      <c r="P56" s="69">
        <f t="shared" si="31"/>
        <v>168121.98558862665</v>
      </c>
      <c r="Q56" s="69">
        <f t="shared" si="31"/>
        <v>167281.37566068349</v>
      </c>
      <c r="R56" s="69">
        <f t="shared" si="31"/>
        <v>166444.96878238008</v>
      </c>
      <c r="S56" s="69">
        <f t="shared" si="31"/>
        <v>165612.74393846816</v>
      </c>
      <c r="T56" s="69">
        <f t="shared" si="31"/>
        <v>164784.68021877581</v>
      </c>
      <c r="U56" s="69">
        <f t="shared" si="31"/>
        <v>163960.75681768195</v>
      </c>
    </row>
    <row r="57" spans="1:21" x14ac:dyDescent="0.25">
      <c r="A57" s="175" t="s">
        <v>130</v>
      </c>
      <c r="B57" s="175"/>
      <c r="C57" s="69"/>
      <c r="D57" s="69"/>
      <c r="E57" s="69"/>
      <c r="F57" s="69"/>
      <c r="G57" s="69"/>
      <c r="H57" s="69">
        <f t="shared" ref="H57:U57" si="32">G48</f>
        <v>186317.64885302942</v>
      </c>
      <c r="I57" s="69">
        <f t="shared" si="32"/>
        <v>185386.06060876427</v>
      </c>
      <c r="J57" s="69">
        <f t="shared" si="32"/>
        <v>184459.13030572043</v>
      </c>
      <c r="K57" s="69">
        <f t="shared" si="32"/>
        <v>183536.83465419186</v>
      </c>
      <c r="L57" s="69">
        <f t="shared" si="32"/>
        <v>182619.15048092086</v>
      </c>
      <c r="M57" s="69">
        <f t="shared" si="32"/>
        <v>181706.05472851626</v>
      </c>
      <c r="N57" s="69">
        <f t="shared" si="32"/>
        <v>180797.5244548737</v>
      </c>
      <c r="O57" s="69">
        <f t="shared" si="32"/>
        <v>179893.53683259932</v>
      </c>
      <c r="P57" s="69">
        <f t="shared" si="32"/>
        <v>178994.06914843631</v>
      </c>
      <c r="Q57" s="69">
        <f t="shared" si="32"/>
        <v>178099.09880269412</v>
      </c>
      <c r="R57" s="69">
        <f t="shared" si="32"/>
        <v>177208.60330868064</v>
      </c>
      <c r="S57" s="69">
        <f t="shared" si="32"/>
        <v>176322.56029213726</v>
      </c>
      <c r="T57" s="69">
        <f t="shared" si="32"/>
        <v>175440.9474906766</v>
      </c>
      <c r="U57" s="69">
        <f t="shared" si="32"/>
        <v>174563.7427532232</v>
      </c>
    </row>
    <row r="58" spans="1:21" x14ac:dyDescent="0.25">
      <c r="A58" s="175" t="s">
        <v>139</v>
      </c>
      <c r="B58" s="175"/>
      <c r="C58" s="69"/>
      <c r="D58" s="69"/>
      <c r="E58" s="69"/>
      <c r="F58" s="69"/>
      <c r="G58" s="69"/>
      <c r="H58" s="69">
        <f t="shared" ref="H58:U58" si="33">G49</f>
        <v>0</v>
      </c>
      <c r="I58" s="69">
        <f t="shared" si="33"/>
        <v>319907.49119999993</v>
      </c>
      <c r="J58" s="69">
        <f t="shared" si="33"/>
        <v>318307.95374399994</v>
      </c>
      <c r="K58" s="69">
        <f t="shared" si="33"/>
        <v>316716.41397527995</v>
      </c>
      <c r="L58" s="69">
        <f t="shared" si="33"/>
        <v>315132.83190540358</v>
      </c>
      <c r="M58" s="69">
        <f t="shared" si="33"/>
        <v>313557.16774587653</v>
      </c>
      <c r="N58" s="69">
        <f t="shared" si="33"/>
        <v>311989.38190714718</v>
      </c>
      <c r="O58" s="69">
        <f t="shared" si="33"/>
        <v>310429.43499761145</v>
      </c>
      <c r="P58" s="69">
        <f t="shared" si="33"/>
        <v>308877.28782262339</v>
      </c>
      <c r="Q58" s="69">
        <f t="shared" si="33"/>
        <v>307332.90138351021</v>
      </c>
      <c r="R58" s="69">
        <f t="shared" si="33"/>
        <v>305796.23687659268</v>
      </c>
      <c r="S58" s="69">
        <f t="shared" si="33"/>
        <v>304267.25569220976</v>
      </c>
      <c r="T58" s="69">
        <f t="shared" si="33"/>
        <v>302745.91941374866</v>
      </c>
      <c r="U58" s="69">
        <f t="shared" si="33"/>
        <v>301232.18981667992</v>
      </c>
    </row>
    <row r="59" spans="1:21" x14ac:dyDescent="0.25">
      <c r="A59" s="175" t="s">
        <v>144</v>
      </c>
      <c r="B59" s="175"/>
      <c r="C59" s="69"/>
      <c r="D59" s="69"/>
      <c r="E59" s="69"/>
      <c r="F59" s="69"/>
      <c r="G59" s="69"/>
      <c r="H59" s="69">
        <f t="shared" ref="H59:U59" si="34">G50</f>
        <v>154029.53279999999</v>
      </c>
      <c r="I59" s="69">
        <f t="shared" si="34"/>
        <v>153259.385136</v>
      </c>
      <c r="J59" s="69">
        <f t="shared" si="34"/>
        <v>152493.08821031998</v>
      </c>
      <c r="K59" s="69">
        <f t="shared" si="34"/>
        <v>151730.6227692684</v>
      </c>
      <c r="L59" s="69">
        <f t="shared" si="34"/>
        <v>150971.96965542206</v>
      </c>
      <c r="M59" s="69">
        <f t="shared" si="34"/>
        <v>150217.10980714494</v>
      </c>
      <c r="N59" s="69">
        <f t="shared" si="34"/>
        <v>149466.02425810922</v>
      </c>
      <c r="O59" s="69">
        <f t="shared" si="34"/>
        <v>148718.6941368187</v>
      </c>
      <c r="P59" s="69">
        <f t="shared" si="34"/>
        <v>147975.10066613456</v>
      </c>
      <c r="Q59" s="69">
        <f t="shared" si="34"/>
        <v>147235.22516280392</v>
      </c>
      <c r="R59" s="69">
        <f t="shared" si="34"/>
        <v>146499.04903698989</v>
      </c>
      <c r="S59" s="69">
        <f t="shared" si="34"/>
        <v>145766.55379180494</v>
      </c>
      <c r="T59" s="69">
        <f t="shared" si="34"/>
        <v>145037.72102284592</v>
      </c>
      <c r="U59" s="69">
        <f t="shared" si="34"/>
        <v>144312.53241773168</v>
      </c>
    </row>
    <row r="60" spans="1:21" x14ac:dyDescent="0.25">
      <c r="A60" s="175" t="s">
        <v>148</v>
      </c>
      <c r="B60" s="175"/>
      <c r="C60" s="69"/>
      <c r="D60" s="69"/>
      <c r="E60" s="69"/>
      <c r="F60" s="69"/>
      <c r="G60" s="69"/>
      <c r="H60" s="69">
        <f t="shared" ref="H60:U60" si="35">G51</f>
        <v>0</v>
      </c>
      <c r="I60" s="69">
        <f t="shared" si="35"/>
        <v>47393.702399999995</v>
      </c>
      <c r="J60" s="69">
        <f t="shared" si="35"/>
        <v>47156.733887999995</v>
      </c>
      <c r="K60" s="69">
        <f t="shared" si="35"/>
        <v>46920.950218559999</v>
      </c>
      <c r="L60" s="69">
        <f t="shared" si="35"/>
        <v>46686.345467467196</v>
      </c>
      <c r="M60" s="69">
        <f t="shared" si="35"/>
        <v>46452.913740129858</v>
      </c>
      <c r="N60" s="69">
        <f t="shared" si="35"/>
        <v>46220.649171429206</v>
      </c>
      <c r="O60" s="69">
        <f t="shared" si="35"/>
        <v>45989.545925572063</v>
      </c>
      <c r="P60" s="69">
        <f t="shared" si="35"/>
        <v>45759.5981959442</v>
      </c>
      <c r="Q60" s="69">
        <f t="shared" si="35"/>
        <v>45530.800204964478</v>
      </c>
      <c r="R60" s="69">
        <f t="shared" si="35"/>
        <v>45303.146203939657</v>
      </c>
      <c r="S60" s="69">
        <f t="shared" si="35"/>
        <v>45076.630472919962</v>
      </c>
      <c r="T60" s="69">
        <f t="shared" si="35"/>
        <v>44851.247320555362</v>
      </c>
      <c r="U60" s="69">
        <f t="shared" si="35"/>
        <v>44626.991083952584</v>
      </c>
    </row>
    <row r="61" spans="1:21" x14ac:dyDescent="0.25">
      <c r="A61" s="10" t="s">
        <v>151</v>
      </c>
      <c r="B61" s="10"/>
      <c r="C61" s="69"/>
      <c r="D61" s="69"/>
      <c r="E61" s="69"/>
      <c r="F61" s="69"/>
      <c r="G61" s="69"/>
      <c r="H61" s="69">
        <f t="shared" ref="H61:U61" si="36">G52</f>
        <v>207019.60983669932</v>
      </c>
      <c r="I61" s="69">
        <f t="shared" si="36"/>
        <v>205984.51178751586</v>
      </c>
      <c r="J61" s="69">
        <f t="shared" si="36"/>
        <v>204954.58922857829</v>
      </c>
      <c r="K61" s="69">
        <f t="shared" si="36"/>
        <v>203929.81628243538</v>
      </c>
      <c r="L61" s="69">
        <f t="shared" si="36"/>
        <v>202910.1672010232</v>
      </c>
      <c r="M61" s="69">
        <f t="shared" si="36"/>
        <v>201895.6163650181</v>
      </c>
      <c r="N61" s="69">
        <f t="shared" si="36"/>
        <v>200886.138283193</v>
      </c>
      <c r="O61" s="69">
        <f t="shared" si="36"/>
        <v>199881.70759177703</v>
      </c>
      <c r="P61" s="69">
        <f t="shared" si="36"/>
        <v>198882.29905381816</v>
      </c>
      <c r="Q61" s="69">
        <f t="shared" si="36"/>
        <v>197887.88755854906</v>
      </c>
      <c r="R61" s="69">
        <f t="shared" si="36"/>
        <v>196898.44812075631</v>
      </c>
      <c r="S61" s="69">
        <f t="shared" si="36"/>
        <v>195913.95588015253</v>
      </c>
      <c r="T61" s="69">
        <f t="shared" si="36"/>
        <v>194934.38610075176</v>
      </c>
      <c r="U61" s="69">
        <f t="shared" si="36"/>
        <v>193959.71417024801</v>
      </c>
    </row>
    <row r="62" spans="1:21" x14ac:dyDescent="0.25">
      <c r="A62" s="12" t="s">
        <v>84</v>
      </c>
      <c r="B62" s="12"/>
      <c r="C62" s="70">
        <f t="shared" ref="C62:U62" si="37">SUM(C56:C61)</f>
        <v>0</v>
      </c>
      <c r="D62" s="70">
        <f t="shared" si="37"/>
        <v>0</v>
      </c>
      <c r="E62" s="70">
        <f t="shared" si="37"/>
        <v>0</v>
      </c>
      <c r="F62" s="70">
        <f t="shared" si="37"/>
        <v>0</v>
      </c>
      <c r="G62" s="70">
        <f t="shared" si="37"/>
        <v>0</v>
      </c>
      <c r="H62" s="70">
        <f t="shared" si="37"/>
        <v>722367.5232145288</v>
      </c>
      <c r="I62" s="70">
        <f t="shared" si="37"/>
        <v>1086056.879198456</v>
      </c>
      <c r="J62" s="70">
        <f t="shared" si="37"/>
        <v>1080626.5948024639</v>
      </c>
      <c r="K62" s="70">
        <f t="shared" si="37"/>
        <v>1075223.4618284514</v>
      </c>
      <c r="L62" s="70">
        <f t="shared" si="37"/>
        <v>1069847.3445193092</v>
      </c>
      <c r="M62" s="70">
        <f t="shared" si="37"/>
        <v>1064498.1077967128</v>
      </c>
      <c r="N62" s="70">
        <f t="shared" si="37"/>
        <v>1059175.6172577292</v>
      </c>
      <c r="O62" s="70">
        <f t="shared" si="37"/>
        <v>1053879.7391714405</v>
      </c>
      <c r="P62" s="70">
        <f t="shared" si="37"/>
        <v>1048610.3404755834</v>
      </c>
      <c r="Q62" s="70">
        <f t="shared" si="37"/>
        <v>1043367.2887732052</v>
      </c>
      <c r="R62" s="70">
        <f t="shared" si="37"/>
        <v>1038150.4523293393</v>
      </c>
      <c r="S62" s="70">
        <f t="shared" si="37"/>
        <v>1032959.7000676927</v>
      </c>
      <c r="T62" s="70">
        <f t="shared" si="37"/>
        <v>1027794.9015673541</v>
      </c>
      <c r="U62" s="70">
        <f t="shared" si="37"/>
        <v>1022655.9270595174</v>
      </c>
    </row>
    <row r="64" spans="1:21" ht="15.75" x14ac:dyDescent="0.25">
      <c r="A64" s="68">
        <v>2030</v>
      </c>
      <c r="B64" s="208">
        <v>2024</v>
      </c>
      <c r="C64" s="208">
        <f>C55</f>
        <v>2025</v>
      </c>
      <c r="D64" s="208">
        <f t="shared" ref="D64:U64" si="38">D55</f>
        <v>2026</v>
      </c>
      <c r="E64" s="208">
        <f t="shared" si="38"/>
        <v>2027</v>
      </c>
      <c r="F64" s="208">
        <f t="shared" si="38"/>
        <v>2028</v>
      </c>
      <c r="G64" s="208">
        <f t="shared" si="38"/>
        <v>2029</v>
      </c>
      <c r="H64" s="208">
        <f t="shared" si="38"/>
        <v>2030</v>
      </c>
      <c r="I64" s="208">
        <f t="shared" si="38"/>
        <v>2031</v>
      </c>
      <c r="J64" s="208">
        <f t="shared" si="38"/>
        <v>2032</v>
      </c>
      <c r="K64" s="208">
        <f t="shared" si="38"/>
        <v>2033</v>
      </c>
      <c r="L64" s="208">
        <f t="shared" si="38"/>
        <v>2034</v>
      </c>
      <c r="M64" s="208">
        <f t="shared" si="38"/>
        <v>2035</v>
      </c>
      <c r="N64" s="208">
        <f t="shared" si="38"/>
        <v>2036</v>
      </c>
      <c r="O64" s="208">
        <f t="shared" si="38"/>
        <v>2037</v>
      </c>
      <c r="P64" s="208">
        <f t="shared" si="38"/>
        <v>2038</v>
      </c>
      <c r="Q64" s="208">
        <f t="shared" si="38"/>
        <v>2039</v>
      </c>
      <c r="R64" s="208">
        <f t="shared" si="38"/>
        <v>2040</v>
      </c>
      <c r="S64" s="208">
        <f t="shared" si="38"/>
        <v>2041</v>
      </c>
      <c r="T64" s="208">
        <f t="shared" si="38"/>
        <v>2042</v>
      </c>
      <c r="U64" s="208">
        <f t="shared" si="38"/>
        <v>2043</v>
      </c>
    </row>
    <row r="65" spans="1:41" x14ac:dyDescent="0.25">
      <c r="A65" s="175" t="s">
        <v>124</v>
      </c>
      <c r="B65" s="175"/>
      <c r="C65" s="69"/>
      <c r="D65" s="69"/>
      <c r="E65" s="69"/>
      <c r="F65" s="69"/>
      <c r="G65" s="69"/>
      <c r="H65" s="69"/>
      <c r="I65" s="69">
        <f>H56</f>
        <v>175000.73172480002</v>
      </c>
      <c r="J65" s="69">
        <f t="shared" ref="J65:U65" si="39">I56</f>
        <v>174125.728066176</v>
      </c>
      <c r="K65" s="69">
        <f t="shared" si="39"/>
        <v>173255.09942584514</v>
      </c>
      <c r="L65" s="69">
        <f t="shared" si="39"/>
        <v>172388.82392871589</v>
      </c>
      <c r="M65" s="69">
        <f t="shared" si="39"/>
        <v>171526.87980907233</v>
      </c>
      <c r="N65" s="69">
        <f t="shared" si="39"/>
        <v>170669.24541002695</v>
      </c>
      <c r="O65" s="69">
        <f t="shared" si="39"/>
        <v>169815.89918297681</v>
      </c>
      <c r="P65" s="69">
        <f t="shared" si="39"/>
        <v>168966.81968706194</v>
      </c>
      <c r="Q65" s="69">
        <f t="shared" si="39"/>
        <v>168121.98558862665</v>
      </c>
      <c r="R65" s="69">
        <f t="shared" si="39"/>
        <v>167281.37566068349</v>
      </c>
      <c r="S65" s="69">
        <f t="shared" si="39"/>
        <v>166444.96878238008</v>
      </c>
      <c r="T65" s="69">
        <f t="shared" si="39"/>
        <v>165612.74393846816</v>
      </c>
      <c r="U65" s="69">
        <f t="shared" si="39"/>
        <v>164784.68021877581</v>
      </c>
      <c r="W65" s="29"/>
      <c r="X65" s="29"/>
      <c r="Y65" s="29"/>
      <c r="Z65" s="29"/>
      <c r="AA65" s="29"/>
      <c r="AB65" s="29"/>
      <c r="AC65" s="29"/>
      <c r="AD65" s="29"/>
      <c r="AE65" s="29"/>
      <c r="AF65" s="29"/>
      <c r="AG65" s="29"/>
      <c r="AH65" s="29"/>
      <c r="AI65" s="29"/>
      <c r="AJ65" s="29"/>
      <c r="AK65" s="29"/>
      <c r="AL65" s="29"/>
      <c r="AM65" s="29"/>
      <c r="AN65" s="29"/>
      <c r="AO65" s="29"/>
    </row>
    <row r="66" spans="1:41" x14ac:dyDescent="0.25">
      <c r="A66" s="175" t="s">
        <v>130</v>
      </c>
      <c r="B66" s="175"/>
      <c r="C66" s="69"/>
      <c r="D66" s="69"/>
      <c r="E66" s="69"/>
      <c r="F66" s="69"/>
      <c r="G66" s="69"/>
      <c r="H66" s="69"/>
      <c r="I66" s="69">
        <f t="shared" ref="I66:U70" si="40">H57</f>
        <v>186317.64885302942</v>
      </c>
      <c r="J66" s="69">
        <f t="shared" si="40"/>
        <v>185386.06060876427</v>
      </c>
      <c r="K66" s="69">
        <f t="shared" si="40"/>
        <v>184459.13030572043</v>
      </c>
      <c r="L66" s="69">
        <f t="shared" si="40"/>
        <v>183536.83465419186</v>
      </c>
      <c r="M66" s="69">
        <f t="shared" si="40"/>
        <v>182619.15048092086</v>
      </c>
      <c r="N66" s="69">
        <f t="shared" si="40"/>
        <v>181706.05472851626</v>
      </c>
      <c r="O66" s="69">
        <f t="shared" si="40"/>
        <v>180797.5244548737</v>
      </c>
      <c r="P66" s="69">
        <f t="shared" si="40"/>
        <v>179893.53683259932</v>
      </c>
      <c r="Q66" s="69">
        <f t="shared" si="40"/>
        <v>178994.06914843631</v>
      </c>
      <c r="R66" s="69">
        <f t="shared" si="40"/>
        <v>178099.09880269412</v>
      </c>
      <c r="S66" s="69">
        <f t="shared" si="40"/>
        <v>177208.60330868064</v>
      </c>
      <c r="T66" s="69">
        <f t="shared" si="40"/>
        <v>176322.56029213726</v>
      </c>
      <c r="U66" s="69">
        <f t="shared" si="40"/>
        <v>175440.9474906766</v>
      </c>
      <c r="W66" s="29"/>
      <c r="X66" s="29"/>
      <c r="Y66" s="29"/>
      <c r="Z66" s="29"/>
      <c r="AA66" s="29"/>
      <c r="AB66" s="29"/>
      <c r="AC66" s="29"/>
      <c r="AD66" s="29"/>
      <c r="AE66" s="29"/>
      <c r="AF66" s="29"/>
      <c r="AG66" s="29"/>
      <c r="AH66" s="29"/>
      <c r="AI66" s="29"/>
      <c r="AJ66" s="29"/>
      <c r="AK66" s="29"/>
      <c r="AL66" s="29"/>
      <c r="AM66" s="29"/>
      <c r="AN66" s="29"/>
      <c r="AO66" s="29"/>
    </row>
    <row r="67" spans="1:41" x14ac:dyDescent="0.25">
      <c r="A67" s="175" t="s">
        <v>139</v>
      </c>
      <c r="B67" s="175"/>
      <c r="C67" s="69"/>
      <c r="D67" s="69"/>
      <c r="E67" s="69"/>
      <c r="F67" s="69"/>
      <c r="G67" s="69"/>
      <c r="H67" s="69"/>
      <c r="I67" s="69">
        <f t="shared" si="40"/>
        <v>0</v>
      </c>
      <c r="J67" s="69">
        <f t="shared" si="40"/>
        <v>319907.49119999993</v>
      </c>
      <c r="K67" s="69">
        <f t="shared" si="40"/>
        <v>318307.95374399994</v>
      </c>
      <c r="L67" s="69">
        <f t="shared" si="40"/>
        <v>316716.41397527995</v>
      </c>
      <c r="M67" s="69">
        <f t="shared" si="40"/>
        <v>315132.83190540358</v>
      </c>
      <c r="N67" s="69">
        <f t="shared" si="40"/>
        <v>313557.16774587653</v>
      </c>
      <c r="O67" s="69">
        <f t="shared" si="40"/>
        <v>311989.38190714718</v>
      </c>
      <c r="P67" s="69">
        <f t="shared" si="40"/>
        <v>310429.43499761145</v>
      </c>
      <c r="Q67" s="69">
        <f t="shared" si="40"/>
        <v>308877.28782262339</v>
      </c>
      <c r="R67" s="69">
        <f t="shared" si="40"/>
        <v>307332.90138351021</v>
      </c>
      <c r="S67" s="69">
        <f t="shared" si="40"/>
        <v>305796.23687659268</v>
      </c>
      <c r="T67" s="69">
        <f t="shared" si="40"/>
        <v>304267.25569220976</v>
      </c>
      <c r="U67" s="69">
        <f t="shared" si="40"/>
        <v>302745.91941374866</v>
      </c>
      <c r="W67" s="29"/>
      <c r="X67" s="29"/>
      <c r="Y67" s="29"/>
      <c r="Z67" s="29"/>
      <c r="AA67" s="29"/>
      <c r="AB67" s="29"/>
      <c r="AC67" s="29"/>
      <c r="AD67" s="29"/>
      <c r="AE67" s="29"/>
      <c r="AF67" s="29"/>
      <c r="AG67" s="29"/>
      <c r="AH67" s="29"/>
      <c r="AI67" s="29"/>
      <c r="AJ67" s="29"/>
      <c r="AK67" s="29"/>
      <c r="AL67" s="29"/>
      <c r="AM67" s="29"/>
      <c r="AN67" s="29"/>
      <c r="AO67" s="29"/>
    </row>
    <row r="68" spans="1:41" x14ac:dyDescent="0.25">
      <c r="A68" s="175" t="s">
        <v>144</v>
      </c>
      <c r="B68" s="175"/>
      <c r="C68" s="69"/>
      <c r="D68" s="69"/>
      <c r="E68" s="69"/>
      <c r="F68" s="69"/>
      <c r="G68" s="69"/>
      <c r="H68" s="69"/>
      <c r="I68" s="69">
        <f t="shared" si="40"/>
        <v>154029.53279999999</v>
      </c>
      <c r="J68" s="69">
        <f t="shared" si="40"/>
        <v>153259.385136</v>
      </c>
      <c r="K68" s="69">
        <f t="shared" si="40"/>
        <v>152493.08821031998</v>
      </c>
      <c r="L68" s="69">
        <f t="shared" si="40"/>
        <v>151730.6227692684</v>
      </c>
      <c r="M68" s="69">
        <f t="shared" si="40"/>
        <v>150971.96965542206</v>
      </c>
      <c r="N68" s="69">
        <f t="shared" si="40"/>
        <v>150217.10980714494</v>
      </c>
      <c r="O68" s="69">
        <f t="shared" si="40"/>
        <v>149466.02425810922</v>
      </c>
      <c r="P68" s="69">
        <f t="shared" si="40"/>
        <v>148718.6941368187</v>
      </c>
      <c r="Q68" s="69">
        <f t="shared" si="40"/>
        <v>147975.10066613456</v>
      </c>
      <c r="R68" s="69">
        <f t="shared" si="40"/>
        <v>147235.22516280392</v>
      </c>
      <c r="S68" s="69">
        <f t="shared" si="40"/>
        <v>146499.04903698989</v>
      </c>
      <c r="T68" s="69">
        <f t="shared" si="40"/>
        <v>145766.55379180494</v>
      </c>
      <c r="U68" s="69">
        <f t="shared" si="40"/>
        <v>145037.72102284592</v>
      </c>
      <c r="W68" s="29"/>
      <c r="X68" s="29"/>
      <c r="Y68" s="29"/>
      <c r="Z68" s="29"/>
      <c r="AA68" s="29"/>
      <c r="AB68" s="29"/>
      <c r="AC68" s="29"/>
      <c r="AD68" s="29"/>
      <c r="AE68" s="29"/>
      <c r="AF68" s="29"/>
      <c r="AG68" s="29"/>
      <c r="AH68" s="29"/>
      <c r="AI68" s="29"/>
      <c r="AJ68" s="29"/>
      <c r="AK68" s="29"/>
      <c r="AL68" s="29"/>
      <c r="AM68" s="29"/>
      <c r="AN68" s="29"/>
      <c r="AO68" s="29"/>
    </row>
    <row r="69" spans="1:41" x14ac:dyDescent="0.25">
      <c r="A69" s="175" t="s">
        <v>148</v>
      </c>
      <c r="B69" s="175"/>
      <c r="C69" s="69"/>
      <c r="D69" s="69"/>
      <c r="E69" s="69"/>
      <c r="F69" s="69"/>
      <c r="G69" s="69"/>
      <c r="H69" s="69"/>
      <c r="I69" s="69">
        <f t="shared" si="40"/>
        <v>0</v>
      </c>
      <c r="J69" s="69">
        <f t="shared" si="40"/>
        <v>47393.702399999995</v>
      </c>
      <c r="K69" s="69">
        <f t="shared" si="40"/>
        <v>47156.733887999995</v>
      </c>
      <c r="L69" s="69">
        <f t="shared" si="40"/>
        <v>46920.950218559999</v>
      </c>
      <c r="M69" s="69">
        <f t="shared" si="40"/>
        <v>46686.345467467196</v>
      </c>
      <c r="N69" s="69">
        <f t="shared" si="40"/>
        <v>46452.913740129858</v>
      </c>
      <c r="O69" s="69">
        <f t="shared" si="40"/>
        <v>46220.649171429206</v>
      </c>
      <c r="P69" s="69">
        <f t="shared" si="40"/>
        <v>45989.545925572063</v>
      </c>
      <c r="Q69" s="69">
        <f t="shared" si="40"/>
        <v>45759.5981959442</v>
      </c>
      <c r="R69" s="69">
        <f t="shared" si="40"/>
        <v>45530.800204964478</v>
      </c>
      <c r="S69" s="69">
        <f t="shared" si="40"/>
        <v>45303.146203939657</v>
      </c>
      <c r="T69" s="69">
        <f t="shared" si="40"/>
        <v>45076.630472919962</v>
      </c>
      <c r="U69" s="69">
        <f t="shared" si="40"/>
        <v>44851.247320555362</v>
      </c>
      <c r="W69" s="29"/>
      <c r="X69" s="29"/>
      <c r="Y69" s="29"/>
      <c r="Z69" s="29"/>
      <c r="AA69" s="29"/>
      <c r="AB69" s="29"/>
      <c r="AC69" s="29"/>
      <c r="AD69" s="29"/>
      <c r="AE69" s="29"/>
      <c r="AF69" s="29"/>
      <c r="AG69" s="29"/>
      <c r="AH69" s="29"/>
      <c r="AI69" s="29"/>
      <c r="AJ69" s="29"/>
      <c r="AK69" s="29"/>
      <c r="AL69" s="29"/>
      <c r="AM69" s="29"/>
      <c r="AN69" s="29"/>
      <c r="AO69" s="29"/>
    </row>
    <row r="70" spans="1:41" x14ac:dyDescent="0.25">
      <c r="A70" s="10" t="s">
        <v>151</v>
      </c>
      <c r="B70" s="10"/>
      <c r="C70" s="69"/>
      <c r="D70" s="69"/>
      <c r="E70" s="69"/>
      <c r="F70" s="69"/>
      <c r="G70" s="69"/>
      <c r="H70" s="69"/>
      <c r="I70" s="69">
        <f t="shared" si="40"/>
        <v>207019.60983669932</v>
      </c>
      <c r="J70" s="69">
        <f t="shared" si="40"/>
        <v>205984.51178751586</v>
      </c>
      <c r="K70" s="69">
        <f t="shared" si="40"/>
        <v>204954.58922857829</v>
      </c>
      <c r="L70" s="69">
        <f t="shared" si="40"/>
        <v>203929.81628243538</v>
      </c>
      <c r="M70" s="69">
        <f t="shared" si="40"/>
        <v>202910.1672010232</v>
      </c>
      <c r="N70" s="69">
        <f t="shared" si="40"/>
        <v>201895.6163650181</v>
      </c>
      <c r="O70" s="69">
        <f t="shared" si="40"/>
        <v>200886.138283193</v>
      </c>
      <c r="P70" s="69">
        <f t="shared" si="40"/>
        <v>199881.70759177703</v>
      </c>
      <c r="Q70" s="69">
        <f t="shared" si="40"/>
        <v>198882.29905381816</v>
      </c>
      <c r="R70" s="69">
        <f t="shared" si="40"/>
        <v>197887.88755854906</v>
      </c>
      <c r="S70" s="69">
        <f t="shared" si="40"/>
        <v>196898.44812075631</v>
      </c>
      <c r="T70" s="69">
        <f t="shared" si="40"/>
        <v>195913.95588015253</v>
      </c>
      <c r="U70" s="69">
        <f t="shared" si="40"/>
        <v>194934.38610075176</v>
      </c>
      <c r="W70" s="29"/>
      <c r="X70" s="29"/>
      <c r="Y70" s="29"/>
      <c r="Z70" s="29"/>
      <c r="AA70" s="29"/>
      <c r="AB70" s="29"/>
      <c r="AC70" s="29"/>
      <c r="AD70" s="29"/>
      <c r="AE70" s="29"/>
      <c r="AF70" s="29"/>
      <c r="AG70" s="29"/>
      <c r="AH70" s="29"/>
      <c r="AI70" s="29"/>
      <c r="AJ70" s="29"/>
      <c r="AK70" s="29"/>
      <c r="AL70" s="29"/>
      <c r="AM70" s="29"/>
      <c r="AN70" s="29"/>
      <c r="AO70" s="29"/>
    </row>
    <row r="71" spans="1:41" x14ac:dyDescent="0.25">
      <c r="A71" s="12" t="s">
        <v>84</v>
      </c>
      <c r="B71" s="12"/>
      <c r="C71" s="70">
        <f t="shared" ref="C71:U71" si="41">SUM(C65:C70)</f>
        <v>0</v>
      </c>
      <c r="D71" s="70">
        <f t="shared" si="41"/>
        <v>0</v>
      </c>
      <c r="E71" s="70">
        <f t="shared" si="41"/>
        <v>0</v>
      </c>
      <c r="F71" s="70">
        <f t="shared" si="41"/>
        <v>0</v>
      </c>
      <c r="G71" s="70">
        <f t="shared" si="41"/>
        <v>0</v>
      </c>
      <c r="H71" s="70">
        <f t="shared" si="41"/>
        <v>0</v>
      </c>
      <c r="I71" s="70">
        <f t="shared" si="41"/>
        <v>722367.5232145288</v>
      </c>
      <c r="J71" s="70">
        <f t="shared" si="41"/>
        <v>1086056.879198456</v>
      </c>
      <c r="K71" s="70">
        <f t="shared" si="41"/>
        <v>1080626.5948024639</v>
      </c>
      <c r="L71" s="70">
        <f t="shared" si="41"/>
        <v>1075223.4618284514</v>
      </c>
      <c r="M71" s="70">
        <f t="shared" si="41"/>
        <v>1069847.3445193092</v>
      </c>
      <c r="N71" s="70">
        <f t="shared" si="41"/>
        <v>1064498.1077967128</v>
      </c>
      <c r="O71" s="70">
        <f t="shared" si="41"/>
        <v>1059175.6172577292</v>
      </c>
      <c r="P71" s="70">
        <f t="shared" si="41"/>
        <v>1053879.7391714405</v>
      </c>
      <c r="Q71" s="70">
        <f t="shared" si="41"/>
        <v>1048610.3404755834</v>
      </c>
      <c r="R71" s="70">
        <f t="shared" si="41"/>
        <v>1043367.2887732052</v>
      </c>
      <c r="S71" s="70">
        <f t="shared" si="41"/>
        <v>1038150.4523293393</v>
      </c>
      <c r="T71" s="70">
        <f t="shared" si="41"/>
        <v>1032959.7000676927</v>
      </c>
      <c r="U71" s="70">
        <f t="shared" si="41"/>
        <v>1027794.9015673541</v>
      </c>
    </row>
    <row r="73" spans="1:41" ht="15.75" x14ac:dyDescent="0.25">
      <c r="A73" s="68">
        <v>2031</v>
      </c>
      <c r="B73" s="208">
        <v>2024</v>
      </c>
      <c r="C73" s="208">
        <f>C64</f>
        <v>2025</v>
      </c>
      <c r="D73" s="208">
        <f t="shared" ref="D73:U73" si="42">D64</f>
        <v>2026</v>
      </c>
      <c r="E73" s="208">
        <f t="shared" si="42"/>
        <v>2027</v>
      </c>
      <c r="F73" s="208">
        <f t="shared" si="42"/>
        <v>2028</v>
      </c>
      <c r="G73" s="208">
        <f t="shared" si="42"/>
        <v>2029</v>
      </c>
      <c r="H73" s="208">
        <f t="shared" si="42"/>
        <v>2030</v>
      </c>
      <c r="I73" s="208">
        <f t="shared" si="42"/>
        <v>2031</v>
      </c>
      <c r="J73" s="208">
        <f t="shared" si="42"/>
        <v>2032</v>
      </c>
      <c r="K73" s="208">
        <f t="shared" si="42"/>
        <v>2033</v>
      </c>
      <c r="L73" s="208">
        <f t="shared" si="42"/>
        <v>2034</v>
      </c>
      <c r="M73" s="208">
        <f t="shared" si="42"/>
        <v>2035</v>
      </c>
      <c r="N73" s="208">
        <f t="shared" si="42"/>
        <v>2036</v>
      </c>
      <c r="O73" s="208">
        <f t="shared" si="42"/>
        <v>2037</v>
      </c>
      <c r="P73" s="208">
        <f t="shared" si="42"/>
        <v>2038</v>
      </c>
      <c r="Q73" s="208">
        <f t="shared" si="42"/>
        <v>2039</v>
      </c>
      <c r="R73" s="208">
        <f t="shared" si="42"/>
        <v>2040</v>
      </c>
      <c r="S73" s="208">
        <f t="shared" si="42"/>
        <v>2041</v>
      </c>
      <c r="T73" s="208">
        <f t="shared" si="42"/>
        <v>2042</v>
      </c>
      <c r="U73" s="208">
        <f t="shared" si="42"/>
        <v>2043</v>
      </c>
    </row>
    <row r="74" spans="1:41" x14ac:dyDescent="0.25">
      <c r="A74" s="175" t="s">
        <v>124</v>
      </c>
      <c r="B74" s="175"/>
      <c r="C74" s="69"/>
      <c r="D74" s="69"/>
      <c r="E74" s="69"/>
      <c r="F74" s="69"/>
      <c r="G74" s="69"/>
      <c r="H74" s="69"/>
      <c r="I74" s="69"/>
      <c r="J74" s="69">
        <f>I65</f>
        <v>175000.73172480002</v>
      </c>
      <c r="K74" s="69">
        <f t="shared" ref="K74:U74" si="43">J65</f>
        <v>174125.728066176</v>
      </c>
      <c r="L74" s="69">
        <f t="shared" si="43"/>
        <v>173255.09942584514</v>
      </c>
      <c r="M74" s="69">
        <f t="shared" si="43"/>
        <v>172388.82392871589</v>
      </c>
      <c r="N74" s="69">
        <f t="shared" si="43"/>
        <v>171526.87980907233</v>
      </c>
      <c r="O74" s="69">
        <f t="shared" si="43"/>
        <v>170669.24541002695</v>
      </c>
      <c r="P74" s="69">
        <f t="shared" si="43"/>
        <v>169815.89918297681</v>
      </c>
      <c r="Q74" s="69">
        <f t="shared" si="43"/>
        <v>168966.81968706194</v>
      </c>
      <c r="R74" s="69">
        <f t="shared" si="43"/>
        <v>168121.98558862665</v>
      </c>
      <c r="S74" s="69">
        <f t="shared" si="43"/>
        <v>167281.37566068349</v>
      </c>
      <c r="T74" s="69">
        <f t="shared" si="43"/>
        <v>166444.96878238008</v>
      </c>
      <c r="U74" s="69">
        <f t="shared" si="43"/>
        <v>165612.74393846816</v>
      </c>
    </row>
    <row r="75" spans="1:41" x14ac:dyDescent="0.25">
      <c r="A75" s="175" t="s">
        <v>130</v>
      </c>
      <c r="B75" s="175"/>
      <c r="C75" s="69"/>
      <c r="D75" s="69"/>
      <c r="E75" s="69"/>
      <c r="F75" s="69"/>
      <c r="G75" s="69"/>
      <c r="H75" s="69"/>
      <c r="I75" s="69"/>
      <c r="J75" s="69">
        <f t="shared" ref="J75:U75" si="44">I66</f>
        <v>186317.64885302942</v>
      </c>
      <c r="K75" s="69">
        <f t="shared" si="44"/>
        <v>185386.06060876427</v>
      </c>
      <c r="L75" s="69">
        <f t="shared" si="44"/>
        <v>184459.13030572043</v>
      </c>
      <c r="M75" s="69">
        <f t="shared" si="44"/>
        <v>183536.83465419186</v>
      </c>
      <c r="N75" s="69">
        <f t="shared" si="44"/>
        <v>182619.15048092086</v>
      </c>
      <c r="O75" s="69">
        <f t="shared" si="44"/>
        <v>181706.05472851626</v>
      </c>
      <c r="P75" s="69">
        <f t="shared" si="44"/>
        <v>180797.5244548737</v>
      </c>
      <c r="Q75" s="69">
        <f t="shared" si="44"/>
        <v>179893.53683259932</v>
      </c>
      <c r="R75" s="69">
        <f t="shared" si="44"/>
        <v>178994.06914843631</v>
      </c>
      <c r="S75" s="69">
        <f t="shared" si="44"/>
        <v>178099.09880269412</v>
      </c>
      <c r="T75" s="69">
        <f t="shared" si="44"/>
        <v>177208.60330868064</v>
      </c>
      <c r="U75" s="69">
        <f t="shared" si="44"/>
        <v>176322.56029213726</v>
      </c>
    </row>
    <row r="76" spans="1:41" x14ac:dyDescent="0.25">
      <c r="A76" s="175" t="s">
        <v>139</v>
      </c>
      <c r="B76" s="175"/>
      <c r="C76" s="69"/>
      <c r="D76" s="69"/>
      <c r="E76" s="69"/>
      <c r="F76" s="69"/>
      <c r="G76" s="69"/>
      <c r="H76" s="69"/>
      <c r="I76" s="69"/>
      <c r="J76" s="69">
        <f t="shared" ref="J76:U76" si="45">I67</f>
        <v>0</v>
      </c>
      <c r="K76" s="69">
        <f t="shared" si="45"/>
        <v>319907.49119999993</v>
      </c>
      <c r="L76" s="69">
        <f t="shared" si="45"/>
        <v>318307.95374399994</v>
      </c>
      <c r="M76" s="69">
        <f t="shared" si="45"/>
        <v>316716.41397527995</v>
      </c>
      <c r="N76" s="69">
        <f t="shared" si="45"/>
        <v>315132.83190540358</v>
      </c>
      <c r="O76" s="69">
        <f t="shared" si="45"/>
        <v>313557.16774587653</v>
      </c>
      <c r="P76" s="69">
        <f t="shared" si="45"/>
        <v>311989.38190714718</v>
      </c>
      <c r="Q76" s="69">
        <f t="shared" si="45"/>
        <v>310429.43499761145</v>
      </c>
      <c r="R76" s="69">
        <f t="shared" si="45"/>
        <v>308877.28782262339</v>
      </c>
      <c r="S76" s="69">
        <f t="shared" si="45"/>
        <v>307332.90138351021</v>
      </c>
      <c r="T76" s="69">
        <f t="shared" si="45"/>
        <v>305796.23687659268</v>
      </c>
      <c r="U76" s="69">
        <f t="shared" si="45"/>
        <v>304267.25569220976</v>
      </c>
    </row>
    <row r="77" spans="1:41" x14ac:dyDescent="0.25">
      <c r="A77" s="175" t="s">
        <v>144</v>
      </c>
      <c r="B77" s="175"/>
      <c r="C77" s="69"/>
      <c r="D77" s="69"/>
      <c r="E77" s="69"/>
      <c r="F77" s="69"/>
      <c r="G77" s="69"/>
      <c r="H77" s="69"/>
      <c r="I77" s="69"/>
      <c r="J77" s="69">
        <f t="shared" ref="J77:U77" si="46">I68</f>
        <v>154029.53279999999</v>
      </c>
      <c r="K77" s="69">
        <f t="shared" si="46"/>
        <v>153259.385136</v>
      </c>
      <c r="L77" s="69">
        <f t="shared" si="46"/>
        <v>152493.08821031998</v>
      </c>
      <c r="M77" s="69">
        <f t="shared" si="46"/>
        <v>151730.6227692684</v>
      </c>
      <c r="N77" s="69">
        <f t="shared" si="46"/>
        <v>150971.96965542206</v>
      </c>
      <c r="O77" s="69">
        <f t="shared" si="46"/>
        <v>150217.10980714494</v>
      </c>
      <c r="P77" s="69">
        <f t="shared" si="46"/>
        <v>149466.02425810922</v>
      </c>
      <c r="Q77" s="69">
        <f t="shared" si="46"/>
        <v>148718.6941368187</v>
      </c>
      <c r="R77" s="69">
        <f t="shared" si="46"/>
        <v>147975.10066613456</v>
      </c>
      <c r="S77" s="69">
        <f t="shared" si="46"/>
        <v>147235.22516280392</v>
      </c>
      <c r="T77" s="69">
        <f t="shared" si="46"/>
        <v>146499.04903698989</v>
      </c>
      <c r="U77" s="69">
        <f t="shared" si="46"/>
        <v>145766.55379180494</v>
      </c>
    </row>
    <row r="78" spans="1:41" x14ac:dyDescent="0.25">
      <c r="A78" s="175" t="s">
        <v>148</v>
      </c>
      <c r="B78" s="175"/>
      <c r="C78" s="69"/>
      <c r="D78" s="69"/>
      <c r="E78" s="69"/>
      <c r="F78" s="69"/>
      <c r="G78" s="69"/>
      <c r="H78" s="69"/>
      <c r="I78" s="69"/>
      <c r="J78" s="69">
        <f t="shared" ref="J78:U78" si="47">I69</f>
        <v>0</v>
      </c>
      <c r="K78" s="69">
        <f t="shared" si="47"/>
        <v>47393.702399999995</v>
      </c>
      <c r="L78" s="69">
        <f t="shared" si="47"/>
        <v>47156.733887999995</v>
      </c>
      <c r="M78" s="69">
        <f t="shared" si="47"/>
        <v>46920.950218559999</v>
      </c>
      <c r="N78" s="69">
        <f t="shared" si="47"/>
        <v>46686.345467467196</v>
      </c>
      <c r="O78" s="69">
        <f t="shared" si="47"/>
        <v>46452.913740129858</v>
      </c>
      <c r="P78" s="69">
        <f t="shared" si="47"/>
        <v>46220.649171429206</v>
      </c>
      <c r="Q78" s="69">
        <f t="shared" si="47"/>
        <v>45989.545925572063</v>
      </c>
      <c r="R78" s="69">
        <f t="shared" si="47"/>
        <v>45759.5981959442</v>
      </c>
      <c r="S78" s="69">
        <f t="shared" si="47"/>
        <v>45530.800204964478</v>
      </c>
      <c r="T78" s="69">
        <f t="shared" si="47"/>
        <v>45303.146203939657</v>
      </c>
      <c r="U78" s="69">
        <f t="shared" si="47"/>
        <v>45076.630472919962</v>
      </c>
    </row>
    <row r="79" spans="1:41" x14ac:dyDescent="0.25">
      <c r="A79" s="10" t="s">
        <v>151</v>
      </c>
      <c r="B79" s="10"/>
      <c r="C79" s="69"/>
      <c r="D79" s="69"/>
      <c r="E79" s="69"/>
      <c r="F79" s="69"/>
      <c r="G79" s="69"/>
      <c r="H79" s="69"/>
      <c r="I79" s="69"/>
      <c r="J79" s="69">
        <f t="shared" ref="J79:U79" si="48">I70</f>
        <v>207019.60983669932</v>
      </c>
      <c r="K79" s="69">
        <f t="shared" si="48"/>
        <v>205984.51178751586</v>
      </c>
      <c r="L79" s="69">
        <f t="shared" si="48"/>
        <v>204954.58922857829</v>
      </c>
      <c r="M79" s="69">
        <f t="shared" si="48"/>
        <v>203929.81628243538</v>
      </c>
      <c r="N79" s="69">
        <f t="shared" si="48"/>
        <v>202910.1672010232</v>
      </c>
      <c r="O79" s="69">
        <f t="shared" si="48"/>
        <v>201895.6163650181</v>
      </c>
      <c r="P79" s="69">
        <f t="shared" si="48"/>
        <v>200886.138283193</v>
      </c>
      <c r="Q79" s="69">
        <f t="shared" si="48"/>
        <v>199881.70759177703</v>
      </c>
      <c r="R79" s="69">
        <f t="shared" si="48"/>
        <v>198882.29905381816</v>
      </c>
      <c r="S79" s="69">
        <f t="shared" si="48"/>
        <v>197887.88755854906</v>
      </c>
      <c r="T79" s="69">
        <f t="shared" si="48"/>
        <v>196898.44812075631</v>
      </c>
      <c r="U79" s="69">
        <f t="shared" si="48"/>
        <v>195913.95588015253</v>
      </c>
    </row>
    <row r="80" spans="1:41" x14ac:dyDescent="0.25">
      <c r="A80" s="12" t="s">
        <v>84</v>
      </c>
      <c r="B80" s="12"/>
      <c r="C80" s="70">
        <f t="shared" ref="C80:U80" si="49">SUM(C74:C79)</f>
        <v>0</v>
      </c>
      <c r="D80" s="70">
        <f t="shared" si="49"/>
        <v>0</v>
      </c>
      <c r="E80" s="70">
        <f t="shared" si="49"/>
        <v>0</v>
      </c>
      <c r="F80" s="70">
        <f t="shared" si="49"/>
        <v>0</v>
      </c>
      <c r="G80" s="70">
        <f t="shared" si="49"/>
        <v>0</v>
      </c>
      <c r="H80" s="70">
        <f t="shared" si="49"/>
        <v>0</v>
      </c>
      <c r="I80" s="70">
        <f t="shared" si="49"/>
        <v>0</v>
      </c>
      <c r="J80" s="70">
        <f t="shared" si="49"/>
        <v>722367.5232145288</v>
      </c>
      <c r="K80" s="70">
        <f t="shared" si="49"/>
        <v>1086056.879198456</v>
      </c>
      <c r="L80" s="70">
        <f t="shared" si="49"/>
        <v>1080626.5948024639</v>
      </c>
      <c r="M80" s="70">
        <f t="shared" si="49"/>
        <v>1075223.4618284514</v>
      </c>
      <c r="N80" s="70">
        <f t="shared" si="49"/>
        <v>1069847.3445193092</v>
      </c>
      <c r="O80" s="70">
        <f t="shared" si="49"/>
        <v>1064498.1077967128</v>
      </c>
      <c r="P80" s="70">
        <f t="shared" si="49"/>
        <v>1059175.6172577292</v>
      </c>
      <c r="Q80" s="70">
        <f t="shared" si="49"/>
        <v>1053879.7391714405</v>
      </c>
      <c r="R80" s="70">
        <f t="shared" si="49"/>
        <v>1048610.3404755834</v>
      </c>
      <c r="S80" s="70">
        <f t="shared" si="49"/>
        <v>1043367.2887732052</v>
      </c>
      <c r="T80" s="70">
        <f t="shared" si="49"/>
        <v>1038150.4523293393</v>
      </c>
      <c r="U80" s="70">
        <f t="shared" si="49"/>
        <v>1032959.7000676927</v>
      </c>
    </row>
    <row r="82" spans="1:21" ht="15.75" x14ac:dyDescent="0.25">
      <c r="A82" s="68">
        <v>2032</v>
      </c>
      <c r="B82" s="208">
        <v>2024</v>
      </c>
      <c r="C82" s="208">
        <f>C73</f>
        <v>2025</v>
      </c>
      <c r="D82" s="208">
        <f t="shared" ref="D82:U82" si="50">D73</f>
        <v>2026</v>
      </c>
      <c r="E82" s="208">
        <f t="shared" si="50"/>
        <v>2027</v>
      </c>
      <c r="F82" s="208">
        <f t="shared" si="50"/>
        <v>2028</v>
      </c>
      <c r="G82" s="208">
        <f t="shared" si="50"/>
        <v>2029</v>
      </c>
      <c r="H82" s="208">
        <f t="shared" si="50"/>
        <v>2030</v>
      </c>
      <c r="I82" s="208">
        <f t="shared" si="50"/>
        <v>2031</v>
      </c>
      <c r="J82" s="208">
        <f t="shared" si="50"/>
        <v>2032</v>
      </c>
      <c r="K82" s="208">
        <f t="shared" si="50"/>
        <v>2033</v>
      </c>
      <c r="L82" s="208">
        <f t="shared" si="50"/>
        <v>2034</v>
      </c>
      <c r="M82" s="208">
        <f t="shared" si="50"/>
        <v>2035</v>
      </c>
      <c r="N82" s="208">
        <f t="shared" si="50"/>
        <v>2036</v>
      </c>
      <c r="O82" s="208">
        <f t="shared" si="50"/>
        <v>2037</v>
      </c>
      <c r="P82" s="208">
        <f t="shared" si="50"/>
        <v>2038</v>
      </c>
      <c r="Q82" s="208">
        <f t="shared" si="50"/>
        <v>2039</v>
      </c>
      <c r="R82" s="208">
        <f t="shared" si="50"/>
        <v>2040</v>
      </c>
      <c r="S82" s="208">
        <f t="shared" si="50"/>
        <v>2041</v>
      </c>
      <c r="T82" s="208">
        <f t="shared" si="50"/>
        <v>2042</v>
      </c>
      <c r="U82" s="208">
        <f t="shared" si="50"/>
        <v>2043</v>
      </c>
    </row>
    <row r="83" spans="1:21" x14ac:dyDescent="0.25">
      <c r="A83" s="175" t="s">
        <v>124</v>
      </c>
      <c r="B83" s="175"/>
      <c r="C83" s="69"/>
      <c r="D83" s="69"/>
      <c r="E83" s="69"/>
      <c r="F83" s="69"/>
      <c r="G83" s="69"/>
      <c r="H83" s="69"/>
      <c r="I83" s="69"/>
      <c r="J83" s="69"/>
      <c r="K83" s="69">
        <f t="shared" ref="K83:U83" si="51">J74</f>
        <v>175000.73172480002</v>
      </c>
      <c r="L83" s="69">
        <f t="shared" si="51"/>
        <v>174125.728066176</v>
      </c>
      <c r="M83" s="69">
        <f t="shared" si="51"/>
        <v>173255.09942584514</v>
      </c>
      <c r="N83" s="69">
        <f t="shared" si="51"/>
        <v>172388.82392871589</v>
      </c>
      <c r="O83" s="69">
        <f t="shared" si="51"/>
        <v>171526.87980907233</v>
      </c>
      <c r="P83" s="69">
        <f t="shared" si="51"/>
        <v>170669.24541002695</v>
      </c>
      <c r="Q83" s="69">
        <f t="shared" si="51"/>
        <v>169815.89918297681</v>
      </c>
      <c r="R83" s="69">
        <f t="shared" si="51"/>
        <v>168966.81968706194</v>
      </c>
      <c r="S83" s="69">
        <f t="shared" si="51"/>
        <v>168121.98558862665</v>
      </c>
      <c r="T83" s="69">
        <f t="shared" si="51"/>
        <v>167281.37566068349</v>
      </c>
      <c r="U83" s="69">
        <f t="shared" si="51"/>
        <v>166444.96878238008</v>
      </c>
    </row>
    <row r="84" spans="1:21" x14ac:dyDescent="0.25">
      <c r="A84" s="175" t="s">
        <v>130</v>
      </c>
      <c r="B84" s="175"/>
      <c r="C84" s="69"/>
      <c r="D84" s="69"/>
      <c r="E84" s="69"/>
      <c r="F84" s="69"/>
      <c r="G84" s="69"/>
      <c r="H84" s="69"/>
      <c r="I84" s="69"/>
      <c r="J84" s="69"/>
      <c r="K84" s="69">
        <f t="shared" ref="K84:U84" si="52">J75</f>
        <v>186317.64885302942</v>
      </c>
      <c r="L84" s="69">
        <f t="shared" si="52"/>
        <v>185386.06060876427</v>
      </c>
      <c r="M84" s="69">
        <f t="shared" si="52"/>
        <v>184459.13030572043</v>
      </c>
      <c r="N84" s="69">
        <f t="shared" si="52"/>
        <v>183536.83465419186</v>
      </c>
      <c r="O84" s="69">
        <f t="shared" si="52"/>
        <v>182619.15048092086</v>
      </c>
      <c r="P84" s="69">
        <f t="shared" si="52"/>
        <v>181706.05472851626</v>
      </c>
      <c r="Q84" s="69">
        <f t="shared" si="52"/>
        <v>180797.5244548737</v>
      </c>
      <c r="R84" s="69">
        <f t="shared" si="52"/>
        <v>179893.53683259932</v>
      </c>
      <c r="S84" s="69">
        <f t="shared" si="52"/>
        <v>178994.06914843631</v>
      </c>
      <c r="T84" s="69">
        <f t="shared" si="52"/>
        <v>178099.09880269412</v>
      </c>
      <c r="U84" s="69">
        <f t="shared" si="52"/>
        <v>177208.60330868064</v>
      </c>
    </row>
    <row r="85" spans="1:21" x14ac:dyDescent="0.25">
      <c r="A85" s="175" t="s">
        <v>139</v>
      </c>
      <c r="B85" s="175"/>
      <c r="C85" s="69"/>
      <c r="D85" s="69"/>
      <c r="E85" s="69"/>
      <c r="F85" s="69"/>
      <c r="G85" s="69"/>
      <c r="H85" s="69"/>
      <c r="I85" s="69"/>
      <c r="J85" s="69"/>
      <c r="K85" s="69">
        <f t="shared" ref="K85:U85" si="53">J76</f>
        <v>0</v>
      </c>
      <c r="L85" s="69">
        <f t="shared" si="53"/>
        <v>319907.49119999993</v>
      </c>
      <c r="M85" s="69">
        <f t="shared" si="53"/>
        <v>318307.95374399994</v>
      </c>
      <c r="N85" s="69">
        <f t="shared" si="53"/>
        <v>316716.41397527995</v>
      </c>
      <c r="O85" s="69">
        <f t="shared" si="53"/>
        <v>315132.83190540358</v>
      </c>
      <c r="P85" s="69">
        <f t="shared" si="53"/>
        <v>313557.16774587653</v>
      </c>
      <c r="Q85" s="69">
        <f t="shared" si="53"/>
        <v>311989.38190714718</v>
      </c>
      <c r="R85" s="69">
        <f t="shared" si="53"/>
        <v>310429.43499761145</v>
      </c>
      <c r="S85" s="69">
        <f t="shared" si="53"/>
        <v>308877.28782262339</v>
      </c>
      <c r="T85" s="69">
        <f t="shared" si="53"/>
        <v>307332.90138351021</v>
      </c>
      <c r="U85" s="69">
        <f t="shared" si="53"/>
        <v>305796.23687659268</v>
      </c>
    </row>
    <row r="86" spans="1:21" x14ac:dyDescent="0.25">
      <c r="A86" s="175" t="s">
        <v>144</v>
      </c>
      <c r="B86" s="175"/>
      <c r="C86" s="69"/>
      <c r="D86" s="69"/>
      <c r="E86" s="69"/>
      <c r="F86" s="69"/>
      <c r="G86" s="69"/>
      <c r="H86" s="69"/>
      <c r="I86" s="69"/>
      <c r="J86" s="69"/>
      <c r="K86" s="69">
        <f t="shared" ref="K86:U86" si="54">J77</f>
        <v>154029.53279999999</v>
      </c>
      <c r="L86" s="69">
        <f t="shared" si="54"/>
        <v>153259.385136</v>
      </c>
      <c r="M86" s="69">
        <f t="shared" si="54"/>
        <v>152493.08821031998</v>
      </c>
      <c r="N86" s="69">
        <f t="shared" si="54"/>
        <v>151730.6227692684</v>
      </c>
      <c r="O86" s="69">
        <f t="shared" si="54"/>
        <v>150971.96965542206</v>
      </c>
      <c r="P86" s="69">
        <f t="shared" si="54"/>
        <v>150217.10980714494</v>
      </c>
      <c r="Q86" s="69">
        <f t="shared" si="54"/>
        <v>149466.02425810922</v>
      </c>
      <c r="R86" s="69">
        <f t="shared" si="54"/>
        <v>148718.6941368187</v>
      </c>
      <c r="S86" s="69">
        <f t="shared" si="54"/>
        <v>147975.10066613456</v>
      </c>
      <c r="T86" s="69">
        <f t="shared" si="54"/>
        <v>147235.22516280392</v>
      </c>
      <c r="U86" s="69">
        <f t="shared" si="54"/>
        <v>146499.04903698989</v>
      </c>
    </row>
    <row r="87" spans="1:21" x14ac:dyDescent="0.25">
      <c r="A87" s="175" t="s">
        <v>148</v>
      </c>
      <c r="B87" s="175"/>
      <c r="C87" s="69"/>
      <c r="D87" s="69"/>
      <c r="E87" s="69"/>
      <c r="F87" s="69"/>
      <c r="G87" s="69"/>
      <c r="H87" s="69"/>
      <c r="I87" s="69"/>
      <c r="J87" s="69"/>
      <c r="K87" s="69">
        <f t="shared" ref="K87:U87" si="55">J78</f>
        <v>0</v>
      </c>
      <c r="L87" s="69">
        <f t="shared" si="55"/>
        <v>47393.702399999995</v>
      </c>
      <c r="M87" s="69">
        <f t="shared" si="55"/>
        <v>47156.733887999995</v>
      </c>
      <c r="N87" s="69">
        <f t="shared" si="55"/>
        <v>46920.950218559999</v>
      </c>
      <c r="O87" s="69">
        <f t="shared" si="55"/>
        <v>46686.345467467196</v>
      </c>
      <c r="P87" s="69">
        <f t="shared" si="55"/>
        <v>46452.913740129858</v>
      </c>
      <c r="Q87" s="69">
        <f t="shared" si="55"/>
        <v>46220.649171429206</v>
      </c>
      <c r="R87" s="69">
        <f t="shared" si="55"/>
        <v>45989.545925572063</v>
      </c>
      <c r="S87" s="69">
        <f t="shared" si="55"/>
        <v>45759.5981959442</v>
      </c>
      <c r="T87" s="69">
        <f t="shared" si="55"/>
        <v>45530.800204964478</v>
      </c>
      <c r="U87" s="69">
        <f t="shared" si="55"/>
        <v>45303.146203939657</v>
      </c>
    </row>
    <row r="88" spans="1:21" x14ac:dyDescent="0.25">
      <c r="A88" s="10" t="s">
        <v>151</v>
      </c>
      <c r="B88" s="10"/>
      <c r="C88" s="69"/>
      <c r="D88" s="69"/>
      <c r="E88" s="69"/>
      <c r="F88" s="69"/>
      <c r="G88" s="69"/>
      <c r="H88" s="69"/>
      <c r="I88" s="69"/>
      <c r="J88" s="69"/>
      <c r="K88" s="69">
        <f t="shared" ref="K88:U88" si="56">J79</f>
        <v>207019.60983669932</v>
      </c>
      <c r="L88" s="69">
        <f t="shared" si="56"/>
        <v>205984.51178751586</v>
      </c>
      <c r="M88" s="69">
        <f t="shared" si="56"/>
        <v>204954.58922857829</v>
      </c>
      <c r="N88" s="69">
        <f t="shared" si="56"/>
        <v>203929.81628243538</v>
      </c>
      <c r="O88" s="69">
        <f t="shared" si="56"/>
        <v>202910.1672010232</v>
      </c>
      <c r="P88" s="69">
        <f t="shared" si="56"/>
        <v>201895.6163650181</v>
      </c>
      <c r="Q88" s="69">
        <f t="shared" si="56"/>
        <v>200886.138283193</v>
      </c>
      <c r="R88" s="69">
        <f t="shared" si="56"/>
        <v>199881.70759177703</v>
      </c>
      <c r="S88" s="69">
        <f t="shared" si="56"/>
        <v>198882.29905381816</v>
      </c>
      <c r="T88" s="69">
        <f t="shared" si="56"/>
        <v>197887.88755854906</v>
      </c>
      <c r="U88" s="69">
        <f t="shared" si="56"/>
        <v>196898.44812075631</v>
      </c>
    </row>
    <row r="89" spans="1:21" x14ac:dyDescent="0.25">
      <c r="A89" s="12" t="s">
        <v>84</v>
      </c>
      <c r="B89" s="12"/>
      <c r="C89" s="70">
        <f t="shared" ref="C89:U89" si="57">SUM(C83:C88)</f>
        <v>0</v>
      </c>
      <c r="D89" s="70">
        <f t="shared" si="57"/>
        <v>0</v>
      </c>
      <c r="E89" s="70">
        <f t="shared" si="57"/>
        <v>0</v>
      </c>
      <c r="F89" s="70">
        <f t="shared" si="57"/>
        <v>0</v>
      </c>
      <c r="G89" s="70">
        <f t="shared" si="57"/>
        <v>0</v>
      </c>
      <c r="H89" s="70">
        <f t="shared" si="57"/>
        <v>0</v>
      </c>
      <c r="I89" s="70">
        <f t="shared" si="57"/>
        <v>0</v>
      </c>
      <c r="J89" s="70">
        <f t="shared" si="57"/>
        <v>0</v>
      </c>
      <c r="K89" s="70">
        <f t="shared" si="57"/>
        <v>722367.5232145288</v>
      </c>
      <c r="L89" s="70">
        <f t="shared" si="57"/>
        <v>1086056.879198456</v>
      </c>
      <c r="M89" s="70">
        <f t="shared" si="57"/>
        <v>1080626.5948024639</v>
      </c>
      <c r="N89" s="70">
        <f t="shared" si="57"/>
        <v>1075223.4618284514</v>
      </c>
      <c r="O89" s="70">
        <f t="shared" si="57"/>
        <v>1069847.3445193092</v>
      </c>
      <c r="P89" s="70">
        <f t="shared" si="57"/>
        <v>1064498.1077967128</v>
      </c>
      <c r="Q89" s="70">
        <f t="shared" si="57"/>
        <v>1059175.6172577292</v>
      </c>
      <c r="R89" s="70">
        <f t="shared" si="57"/>
        <v>1053879.7391714405</v>
      </c>
      <c r="S89" s="70">
        <f t="shared" si="57"/>
        <v>1048610.3404755834</v>
      </c>
      <c r="T89" s="70">
        <f t="shared" si="57"/>
        <v>1043367.2887732052</v>
      </c>
      <c r="U89" s="70">
        <f t="shared" si="57"/>
        <v>1038150.4523293393</v>
      </c>
    </row>
    <row r="91" spans="1:21" ht="15.75" x14ac:dyDescent="0.25">
      <c r="A91" s="68">
        <v>2033</v>
      </c>
      <c r="B91" s="208">
        <v>2024</v>
      </c>
      <c r="C91" s="208">
        <f>C82</f>
        <v>2025</v>
      </c>
      <c r="D91" s="208">
        <f t="shared" ref="D91:U91" si="58">D82</f>
        <v>2026</v>
      </c>
      <c r="E91" s="208">
        <f t="shared" si="58"/>
        <v>2027</v>
      </c>
      <c r="F91" s="208">
        <f t="shared" si="58"/>
        <v>2028</v>
      </c>
      <c r="G91" s="208">
        <f t="shared" si="58"/>
        <v>2029</v>
      </c>
      <c r="H91" s="208">
        <f t="shared" si="58"/>
        <v>2030</v>
      </c>
      <c r="I91" s="208">
        <f t="shared" si="58"/>
        <v>2031</v>
      </c>
      <c r="J91" s="208">
        <f t="shared" si="58"/>
        <v>2032</v>
      </c>
      <c r="K91" s="208">
        <f t="shared" si="58"/>
        <v>2033</v>
      </c>
      <c r="L91" s="208">
        <f t="shared" si="58"/>
        <v>2034</v>
      </c>
      <c r="M91" s="208">
        <f t="shared" si="58"/>
        <v>2035</v>
      </c>
      <c r="N91" s="208">
        <f t="shared" si="58"/>
        <v>2036</v>
      </c>
      <c r="O91" s="208">
        <f t="shared" si="58"/>
        <v>2037</v>
      </c>
      <c r="P91" s="208">
        <f t="shared" si="58"/>
        <v>2038</v>
      </c>
      <c r="Q91" s="208">
        <f t="shared" si="58"/>
        <v>2039</v>
      </c>
      <c r="R91" s="208">
        <f t="shared" si="58"/>
        <v>2040</v>
      </c>
      <c r="S91" s="208">
        <f t="shared" si="58"/>
        <v>2041</v>
      </c>
      <c r="T91" s="208">
        <f t="shared" si="58"/>
        <v>2042</v>
      </c>
      <c r="U91" s="208">
        <f t="shared" si="58"/>
        <v>2043</v>
      </c>
    </row>
    <row r="92" spans="1:21" x14ac:dyDescent="0.25">
      <c r="A92" s="175" t="s">
        <v>124</v>
      </c>
      <c r="B92" s="175"/>
      <c r="C92" s="69"/>
      <c r="D92" s="69"/>
      <c r="E92" s="69"/>
      <c r="F92" s="69"/>
      <c r="G92" s="69"/>
      <c r="H92" s="69"/>
      <c r="I92" s="69"/>
      <c r="J92" s="69"/>
      <c r="K92" s="69"/>
      <c r="L92" s="69">
        <f>K83/2</f>
        <v>87500.365862400009</v>
      </c>
      <c r="M92" s="69">
        <f t="shared" ref="M92:U92" si="59">L83/2</f>
        <v>87062.864033088001</v>
      </c>
      <c r="N92" s="69">
        <f t="shared" si="59"/>
        <v>86627.54971292257</v>
      </c>
      <c r="O92" s="69">
        <f t="shared" si="59"/>
        <v>86194.411964357947</v>
      </c>
      <c r="P92" s="69">
        <f t="shared" si="59"/>
        <v>85763.439904536164</v>
      </c>
      <c r="Q92" s="69">
        <f t="shared" si="59"/>
        <v>85334.622705013477</v>
      </c>
      <c r="R92" s="69">
        <f t="shared" si="59"/>
        <v>84907.949591488403</v>
      </c>
      <c r="S92" s="69">
        <f t="shared" si="59"/>
        <v>84483.409843530972</v>
      </c>
      <c r="T92" s="69">
        <f t="shared" si="59"/>
        <v>84060.992794313323</v>
      </c>
      <c r="U92" s="69">
        <f t="shared" si="59"/>
        <v>83640.687830341747</v>
      </c>
    </row>
    <row r="93" spans="1:21" x14ac:dyDescent="0.25">
      <c r="A93" s="175" t="s">
        <v>130</v>
      </c>
      <c r="B93" s="175"/>
      <c r="C93" s="69"/>
      <c r="D93" s="69"/>
      <c r="E93" s="69"/>
      <c r="F93" s="69"/>
      <c r="G93" s="69"/>
      <c r="H93" s="69"/>
      <c r="I93" s="69"/>
      <c r="J93" s="69"/>
      <c r="K93" s="69"/>
      <c r="L93" s="69">
        <f t="shared" ref="L93:U93" si="60">K84/2</f>
        <v>93158.824426514708</v>
      </c>
      <c r="M93" s="69">
        <f t="shared" si="60"/>
        <v>92693.030304382133</v>
      </c>
      <c r="N93" s="69">
        <f t="shared" si="60"/>
        <v>92229.565152860217</v>
      </c>
      <c r="O93" s="69">
        <f t="shared" si="60"/>
        <v>91768.417327095929</v>
      </c>
      <c r="P93" s="69">
        <f t="shared" si="60"/>
        <v>91309.575240460428</v>
      </c>
      <c r="Q93" s="69">
        <f t="shared" si="60"/>
        <v>90853.027364258131</v>
      </c>
      <c r="R93" s="69">
        <f t="shared" si="60"/>
        <v>90398.762227436848</v>
      </c>
      <c r="S93" s="69">
        <f t="shared" si="60"/>
        <v>89946.768416299659</v>
      </c>
      <c r="T93" s="69">
        <f t="shared" si="60"/>
        <v>89497.034574218153</v>
      </c>
      <c r="U93" s="69">
        <f t="shared" si="60"/>
        <v>89049.54940134706</v>
      </c>
    </row>
    <row r="94" spans="1:21" x14ac:dyDescent="0.25">
      <c r="A94" s="175" t="s">
        <v>139</v>
      </c>
      <c r="B94" s="175"/>
      <c r="C94" s="69"/>
      <c r="D94" s="69"/>
      <c r="E94" s="69"/>
      <c r="F94" s="69"/>
      <c r="G94" s="69"/>
      <c r="H94" s="69"/>
      <c r="I94" s="69"/>
      <c r="J94" s="69"/>
      <c r="K94" s="69"/>
      <c r="L94" s="69">
        <f t="shared" ref="L94:U94" si="61">K85/2</f>
        <v>0</v>
      </c>
      <c r="M94" s="69">
        <f t="shared" si="61"/>
        <v>159953.74559999997</v>
      </c>
      <c r="N94" s="69">
        <f t="shared" si="61"/>
        <v>159153.97687199997</v>
      </c>
      <c r="O94" s="69">
        <f t="shared" si="61"/>
        <v>158358.20698763998</v>
      </c>
      <c r="P94" s="69">
        <f t="shared" si="61"/>
        <v>157566.41595270179</v>
      </c>
      <c r="Q94" s="69">
        <f t="shared" si="61"/>
        <v>156778.58387293827</v>
      </c>
      <c r="R94" s="69">
        <f t="shared" si="61"/>
        <v>155994.69095357359</v>
      </c>
      <c r="S94" s="69">
        <f t="shared" si="61"/>
        <v>155214.71749880572</v>
      </c>
      <c r="T94" s="69">
        <f t="shared" si="61"/>
        <v>154438.64391131169</v>
      </c>
      <c r="U94" s="69">
        <f t="shared" si="61"/>
        <v>153666.4506917551</v>
      </c>
    </row>
    <row r="95" spans="1:21" x14ac:dyDescent="0.25">
      <c r="A95" s="175" t="s">
        <v>144</v>
      </c>
      <c r="B95" s="175"/>
      <c r="C95" s="69"/>
      <c r="D95" s="69"/>
      <c r="E95" s="69"/>
      <c r="F95" s="69"/>
      <c r="G95" s="69"/>
      <c r="H95" s="69"/>
      <c r="I95" s="69"/>
      <c r="J95" s="69"/>
      <c r="K95" s="69"/>
      <c r="L95" s="69">
        <f>K86/2</f>
        <v>77014.766399999993</v>
      </c>
      <c r="M95" s="69">
        <f t="shared" ref="M95:U95" si="62">L86/2</f>
        <v>76629.692567999999</v>
      </c>
      <c r="N95" s="69">
        <f t="shared" si="62"/>
        <v>76246.544105159992</v>
      </c>
      <c r="O95" s="69">
        <f t="shared" si="62"/>
        <v>75865.311384634202</v>
      </c>
      <c r="P95" s="69">
        <f t="shared" si="62"/>
        <v>75485.984827711029</v>
      </c>
      <c r="Q95" s="69">
        <f t="shared" si="62"/>
        <v>75108.554903572469</v>
      </c>
      <c r="R95" s="69">
        <f t="shared" si="62"/>
        <v>74733.012129054609</v>
      </c>
      <c r="S95" s="69">
        <f t="shared" si="62"/>
        <v>74359.347068409348</v>
      </c>
      <c r="T95" s="69">
        <f t="shared" si="62"/>
        <v>73987.55033306728</v>
      </c>
      <c r="U95" s="69">
        <f t="shared" si="62"/>
        <v>73617.612581401962</v>
      </c>
    </row>
    <row r="96" spans="1:21" x14ac:dyDescent="0.25">
      <c r="A96" s="175" t="s">
        <v>148</v>
      </c>
      <c r="B96" s="175"/>
      <c r="C96" s="69"/>
      <c r="D96" s="69"/>
      <c r="E96" s="69"/>
      <c r="F96" s="69"/>
      <c r="G96" s="69"/>
      <c r="H96" s="69"/>
      <c r="I96" s="69"/>
      <c r="J96" s="69"/>
      <c r="K96" s="69"/>
      <c r="L96" s="69">
        <f t="shared" ref="L96:U96" si="63">K87/2</f>
        <v>0</v>
      </c>
      <c r="M96" s="69">
        <f t="shared" si="63"/>
        <v>23696.851199999997</v>
      </c>
      <c r="N96" s="69">
        <f t="shared" si="63"/>
        <v>23578.366943999998</v>
      </c>
      <c r="O96" s="69">
        <f t="shared" si="63"/>
        <v>23460.47510928</v>
      </c>
      <c r="P96" s="69">
        <f t="shared" si="63"/>
        <v>23343.172733733598</v>
      </c>
      <c r="Q96" s="69">
        <f t="shared" si="63"/>
        <v>23226.456870064929</v>
      </c>
      <c r="R96" s="69">
        <f t="shared" si="63"/>
        <v>23110.324585714603</v>
      </c>
      <c r="S96" s="69">
        <f t="shared" si="63"/>
        <v>22994.772962786032</v>
      </c>
      <c r="T96" s="69">
        <f t="shared" si="63"/>
        <v>22879.7990979721</v>
      </c>
      <c r="U96" s="69">
        <f t="shared" si="63"/>
        <v>22765.400102482239</v>
      </c>
    </row>
    <row r="97" spans="1:21" x14ac:dyDescent="0.25">
      <c r="A97" s="10" t="s">
        <v>151</v>
      </c>
      <c r="B97" s="10"/>
      <c r="C97" s="69"/>
      <c r="D97" s="69"/>
      <c r="E97" s="69"/>
      <c r="F97" s="69"/>
      <c r="G97" s="69"/>
      <c r="H97" s="69"/>
      <c r="I97" s="69"/>
      <c r="J97" s="69"/>
      <c r="K97" s="69"/>
      <c r="L97" s="69">
        <f t="shared" ref="L97:U97" si="64">K88/2</f>
        <v>103509.80491834966</v>
      </c>
      <c r="M97" s="69">
        <f t="shared" si="64"/>
        <v>102992.25589375793</v>
      </c>
      <c r="N97" s="69">
        <f t="shared" si="64"/>
        <v>102477.29461428915</v>
      </c>
      <c r="O97" s="69">
        <f t="shared" si="64"/>
        <v>101964.90814121769</v>
      </c>
      <c r="P97" s="69">
        <f t="shared" si="64"/>
        <v>101455.0836005116</v>
      </c>
      <c r="Q97" s="69">
        <f t="shared" si="64"/>
        <v>100947.80818250905</v>
      </c>
      <c r="R97" s="69">
        <f t="shared" si="64"/>
        <v>100443.0691415965</v>
      </c>
      <c r="S97" s="69">
        <f t="shared" si="64"/>
        <v>99940.853795888514</v>
      </c>
      <c r="T97" s="69">
        <f t="shared" si="64"/>
        <v>99441.149526909081</v>
      </c>
      <c r="U97" s="69">
        <f t="shared" si="64"/>
        <v>98943.94377927453</v>
      </c>
    </row>
    <row r="98" spans="1:21" x14ac:dyDescent="0.25">
      <c r="A98" s="12" t="s">
        <v>84</v>
      </c>
      <c r="B98" s="12"/>
      <c r="C98" s="70">
        <f t="shared" ref="C98:U98" si="65">SUM(C92:C97)</f>
        <v>0</v>
      </c>
      <c r="D98" s="70">
        <f t="shared" si="65"/>
        <v>0</v>
      </c>
      <c r="E98" s="70">
        <f t="shared" si="65"/>
        <v>0</v>
      </c>
      <c r="F98" s="70">
        <f t="shared" si="65"/>
        <v>0</v>
      </c>
      <c r="G98" s="70">
        <f t="shared" si="65"/>
        <v>0</v>
      </c>
      <c r="H98" s="70">
        <f t="shared" si="65"/>
        <v>0</v>
      </c>
      <c r="I98" s="70">
        <f t="shared" si="65"/>
        <v>0</v>
      </c>
      <c r="J98" s="70">
        <f t="shared" si="65"/>
        <v>0</v>
      </c>
      <c r="K98" s="70">
        <f t="shared" si="65"/>
        <v>0</v>
      </c>
      <c r="L98" s="70">
        <f t="shared" si="65"/>
        <v>361183.7616072644</v>
      </c>
      <c r="M98" s="70">
        <f t="shared" si="65"/>
        <v>543028.43959922798</v>
      </c>
      <c r="N98" s="70">
        <f t="shared" si="65"/>
        <v>540313.29740123195</v>
      </c>
      <c r="O98" s="70">
        <f t="shared" si="65"/>
        <v>537611.73091422569</v>
      </c>
      <c r="P98" s="70">
        <f t="shared" si="65"/>
        <v>534923.67225965462</v>
      </c>
      <c r="Q98" s="70">
        <f t="shared" si="65"/>
        <v>532249.05389835639</v>
      </c>
      <c r="R98" s="70">
        <f t="shared" si="65"/>
        <v>529587.80862886459</v>
      </c>
      <c r="S98" s="70">
        <f t="shared" si="65"/>
        <v>526939.86958572024</v>
      </c>
      <c r="T98" s="70">
        <f t="shared" si="65"/>
        <v>524305.17023779172</v>
      </c>
      <c r="U98" s="70">
        <f t="shared" si="65"/>
        <v>521683.64438660262</v>
      </c>
    </row>
    <row r="100" spans="1:21" ht="15.75" x14ac:dyDescent="0.25">
      <c r="A100" s="68">
        <v>2034</v>
      </c>
      <c r="B100" s="208">
        <v>2024</v>
      </c>
      <c r="C100" s="208">
        <f>C91</f>
        <v>2025</v>
      </c>
      <c r="D100" s="208">
        <f t="shared" ref="D100:U100" si="66">D91</f>
        <v>2026</v>
      </c>
      <c r="E100" s="208">
        <f t="shared" si="66"/>
        <v>2027</v>
      </c>
      <c r="F100" s="208">
        <f t="shared" si="66"/>
        <v>2028</v>
      </c>
      <c r="G100" s="208">
        <f t="shared" si="66"/>
        <v>2029</v>
      </c>
      <c r="H100" s="208">
        <f t="shared" si="66"/>
        <v>2030</v>
      </c>
      <c r="I100" s="208">
        <f t="shared" si="66"/>
        <v>2031</v>
      </c>
      <c r="J100" s="208">
        <f t="shared" si="66"/>
        <v>2032</v>
      </c>
      <c r="K100" s="208">
        <f t="shared" si="66"/>
        <v>2033</v>
      </c>
      <c r="L100" s="208">
        <f t="shared" si="66"/>
        <v>2034</v>
      </c>
      <c r="M100" s="208">
        <f t="shared" si="66"/>
        <v>2035</v>
      </c>
      <c r="N100" s="208">
        <f t="shared" si="66"/>
        <v>2036</v>
      </c>
      <c r="O100" s="208">
        <f t="shared" si="66"/>
        <v>2037</v>
      </c>
      <c r="P100" s="208">
        <f t="shared" si="66"/>
        <v>2038</v>
      </c>
      <c r="Q100" s="208">
        <f t="shared" si="66"/>
        <v>2039</v>
      </c>
      <c r="R100" s="208">
        <f t="shared" si="66"/>
        <v>2040</v>
      </c>
      <c r="S100" s="208">
        <f t="shared" si="66"/>
        <v>2041</v>
      </c>
      <c r="T100" s="208">
        <f t="shared" si="66"/>
        <v>2042</v>
      </c>
      <c r="U100" s="208">
        <f t="shared" si="66"/>
        <v>2043</v>
      </c>
    </row>
    <row r="101" spans="1:21" x14ac:dyDescent="0.25">
      <c r="A101" s="175" t="s">
        <v>124</v>
      </c>
      <c r="B101" s="175"/>
      <c r="C101" s="69"/>
      <c r="D101" s="69"/>
      <c r="E101" s="69"/>
      <c r="F101" s="69"/>
      <c r="G101" s="69"/>
      <c r="H101" s="69"/>
      <c r="I101" s="69"/>
      <c r="J101" s="69"/>
      <c r="K101" s="69"/>
      <c r="L101" s="69"/>
      <c r="M101" s="69">
        <f t="shared" ref="M101:U101" si="67">L92</f>
        <v>87500.365862400009</v>
      </c>
      <c r="N101" s="69">
        <f t="shared" si="67"/>
        <v>87062.864033088001</v>
      </c>
      <c r="O101" s="69">
        <f t="shared" si="67"/>
        <v>86627.54971292257</v>
      </c>
      <c r="P101" s="69">
        <f t="shared" si="67"/>
        <v>86194.411964357947</v>
      </c>
      <c r="Q101" s="69">
        <f t="shared" si="67"/>
        <v>85763.439904536164</v>
      </c>
      <c r="R101" s="69">
        <f t="shared" si="67"/>
        <v>85334.622705013477</v>
      </c>
      <c r="S101" s="69">
        <f t="shared" si="67"/>
        <v>84907.949591488403</v>
      </c>
      <c r="T101" s="69">
        <f t="shared" si="67"/>
        <v>84483.409843530972</v>
      </c>
      <c r="U101" s="69">
        <f t="shared" si="67"/>
        <v>84060.992794313323</v>
      </c>
    </row>
    <row r="102" spans="1:21" x14ac:dyDescent="0.25">
      <c r="A102" s="175" t="s">
        <v>130</v>
      </c>
      <c r="B102" s="175"/>
      <c r="C102" s="69"/>
      <c r="D102" s="69"/>
      <c r="E102" s="69"/>
      <c r="F102" s="69"/>
      <c r="G102" s="69"/>
      <c r="H102" s="69"/>
      <c r="I102" s="69"/>
      <c r="J102" s="69"/>
      <c r="K102" s="69"/>
      <c r="L102" s="69"/>
      <c r="M102" s="69">
        <f t="shared" ref="M102:U102" si="68">L93</f>
        <v>93158.824426514708</v>
      </c>
      <c r="N102" s="69">
        <f t="shared" si="68"/>
        <v>92693.030304382133</v>
      </c>
      <c r="O102" s="69">
        <f t="shared" si="68"/>
        <v>92229.565152860217</v>
      </c>
      <c r="P102" s="69">
        <f t="shared" si="68"/>
        <v>91768.417327095929</v>
      </c>
      <c r="Q102" s="69">
        <f t="shared" si="68"/>
        <v>91309.575240460428</v>
      </c>
      <c r="R102" s="69">
        <f t="shared" si="68"/>
        <v>90853.027364258131</v>
      </c>
      <c r="S102" s="69">
        <f t="shared" si="68"/>
        <v>90398.762227436848</v>
      </c>
      <c r="T102" s="69">
        <f t="shared" si="68"/>
        <v>89946.768416299659</v>
      </c>
      <c r="U102" s="69">
        <f t="shared" si="68"/>
        <v>89497.034574218153</v>
      </c>
    </row>
    <row r="103" spans="1:21" x14ac:dyDescent="0.25">
      <c r="A103" s="175" t="s">
        <v>139</v>
      </c>
      <c r="B103" s="175"/>
      <c r="C103" s="69"/>
      <c r="D103" s="69"/>
      <c r="E103" s="69"/>
      <c r="F103" s="69"/>
      <c r="G103" s="69"/>
      <c r="H103" s="69"/>
      <c r="I103" s="69"/>
      <c r="J103" s="69"/>
      <c r="K103" s="69"/>
      <c r="L103" s="69"/>
      <c r="M103" s="69">
        <f t="shared" ref="M103:U103" si="69">L94</f>
        <v>0</v>
      </c>
      <c r="N103" s="69">
        <f t="shared" si="69"/>
        <v>159953.74559999997</v>
      </c>
      <c r="O103" s="69">
        <f t="shared" si="69"/>
        <v>159153.97687199997</v>
      </c>
      <c r="P103" s="69">
        <f t="shared" si="69"/>
        <v>158358.20698763998</v>
      </c>
      <c r="Q103" s="69">
        <f t="shared" si="69"/>
        <v>157566.41595270179</v>
      </c>
      <c r="R103" s="69">
        <f t="shared" si="69"/>
        <v>156778.58387293827</v>
      </c>
      <c r="S103" s="69">
        <f t="shared" si="69"/>
        <v>155994.69095357359</v>
      </c>
      <c r="T103" s="69">
        <f t="shared" si="69"/>
        <v>155214.71749880572</v>
      </c>
      <c r="U103" s="69">
        <f t="shared" si="69"/>
        <v>154438.64391131169</v>
      </c>
    </row>
    <row r="104" spans="1:21" x14ac:dyDescent="0.25">
      <c r="A104" s="175" t="s">
        <v>144</v>
      </c>
      <c r="B104" s="175"/>
      <c r="C104" s="69"/>
      <c r="D104" s="69"/>
      <c r="E104" s="69"/>
      <c r="F104" s="69"/>
      <c r="G104" s="69"/>
      <c r="H104" s="69"/>
      <c r="I104" s="69"/>
      <c r="J104" s="69"/>
      <c r="K104" s="69"/>
      <c r="L104" s="69"/>
      <c r="M104" s="69">
        <f t="shared" ref="M104:U104" si="70">L95</f>
        <v>77014.766399999993</v>
      </c>
      <c r="N104" s="69">
        <f t="shared" si="70"/>
        <v>76629.692567999999</v>
      </c>
      <c r="O104" s="69">
        <f t="shared" si="70"/>
        <v>76246.544105159992</v>
      </c>
      <c r="P104" s="69">
        <f t="shared" si="70"/>
        <v>75865.311384634202</v>
      </c>
      <c r="Q104" s="69">
        <f t="shared" si="70"/>
        <v>75485.984827711029</v>
      </c>
      <c r="R104" s="69">
        <f t="shared" si="70"/>
        <v>75108.554903572469</v>
      </c>
      <c r="S104" s="69">
        <f t="shared" si="70"/>
        <v>74733.012129054609</v>
      </c>
      <c r="T104" s="69">
        <f t="shared" si="70"/>
        <v>74359.347068409348</v>
      </c>
      <c r="U104" s="69">
        <f t="shared" si="70"/>
        <v>73987.55033306728</v>
      </c>
    </row>
    <row r="105" spans="1:21" x14ac:dyDescent="0.25">
      <c r="A105" s="175" t="s">
        <v>148</v>
      </c>
      <c r="B105" s="175"/>
      <c r="C105" s="69"/>
      <c r="D105" s="69"/>
      <c r="E105" s="69"/>
      <c r="F105" s="69"/>
      <c r="G105" s="69"/>
      <c r="H105" s="69"/>
      <c r="I105" s="69"/>
      <c r="J105" s="69"/>
      <c r="K105" s="69"/>
      <c r="L105" s="69"/>
      <c r="M105" s="69">
        <f t="shared" ref="M105:U105" si="71">L96</f>
        <v>0</v>
      </c>
      <c r="N105" s="69">
        <f t="shared" si="71"/>
        <v>23696.851199999997</v>
      </c>
      <c r="O105" s="69">
        <f t="shared" si="71"/>
        <v>23578.366943999998</v>
      </c>
      <c r="P105" s="69">
        <f t="shared" si="71"/>
        <v>23460.47510928</v>
      </c>
      <c r="Q105" s="69">
        <f t="shared" si="71"/>
        <v>23343.172733733598</v>
      </c>
      <c r="R105" s="69">
        <f t="shared" si="71"/>
        <v>23226.456870064929</v>
      </c>
      <c r="S105" s="69">
        <f t="shared" si="71"/>
        <v>23110.324585714603</v>
      </c>
      <c r="T105" s="69">
        <f t="shared" si="71"/>
        <v>22994.772962786032</v>
      </c>
      <c r="U105" s="69">
        <f t="shared" si="71"/>
        <v>22879.7990979721</v>
      </c>
    </row>
    <row r="106" spans="1:21" x14ac:dyDescent="0.25">
      <c r="A106" s="10" t="s">
        <v>151</v>
      </c>
      <c r="B106" s="10"/>
      <c r="C106" s="69"/>
      <c r="D106" s="69"/>
      <c r="E106" s="69"/>
      <c r="F106" s="69"/>
      <c r="G106" s="69"/>
      <c r="H106" s="69"/>
      <c r="I106" s="69"/>
      <c r="J106" s="69"/>
      <c r="K106" s="69"/>
      <c r="L106" s="69"/>
      <c r="M106" s="69">
        <f t="shared" ref="M106:U106" si="72">L97</f>
        <v>103509.80491834966</v>
      </c>
      <c r="N106" s="69">
        <f t="shared" si="72"/>
        <v>102992.25589375793</v>
      </c>
      <c r="O106" s="69">
        <f t="shared" si="72"/>
        <v>102477.29461428915</v>
      </c>
      <c r="P106" s="69">
        <f t="shared" si="72"/>
        <v>101964.90814121769</v>
      </c>
      <c r="Q106" s="69">
        <f t="shared" si="72"/>
        <v>101455.0836005116</v>
      </c>
      <c r="R106" s="69">
        <f t="shared" si="72"/>
        <v>100947.80818250905</v>
      </c>
      <c r="S106" s="69">
        <f t="shared" si="72"/>
        <v>100443.0691415965</v>
      </c>
      <c r="T106" s="69">
        <f t="shared" si="72"/>
        <v>99940.853795888514</v>
      </c>
      <c r="U106" s="69">
        <f t="shared" si="72"/>
        <v>99441.149526909081</v>
      </c>
    </row>
    <row r="107" spans="1:21" x14ac:dyDescent="0.25">
      <c r="A107" s="12" t="s">
        <v>84</v>
      </c>
      <c r="B107" s="12"/>
      <c r="C107" s="70">
        <f t="shared" ref="C107:U107" si="73">SUM(C101:C106)</f>
        <v>0</v>
      </c>
      <c r="D107" s="70">
        <f t="shared" si="73"/>
        <v>0</v>
      </c>
      <c r="E107" s="70">
        <f t="shared" si="73"/>
        <v>0</v>
      </c>
      <c r="F107" s="70">
        <f t="shared" si="73"/>
        <v>0</v>
      </c>
      <c r="G107" s="70">
        <f t="shared" si="73"/>
        <v>0</v>
      </c>
      <c r="H107" s="70">
        <f t="shared" si="73"/>
        <v>0</v>
      </c>
      <c r="I107" s="70">
        <f t="shared" si="73"/>
        <v>0</v>
      </c>
      <c r="J107" s="70">
        <f t="shared" si="73"/>
        <v>0</v>
      </c>
      <c r="K107" s="70">
        <f t="shared" si="73"/>
        <v>0</v>
      </c>
      <c r="L107" s="70">
        <f t="shared" si="73"/>
        <v>0</v>
      </c>
      <c r="M107" s="70">
        <f t="shared" si="73"/>
        <v>361183.7616072644</v>
      </c>
      <c r="N107" s="70">
        <f t="shared" si="73"/>
        <v>543028.43959922798</v>
      </c>
      <c r="O107" s="70">
        <f t="shared" si="73"/>
        <v>540313.29740123195</v>
      </c>
      <c r="P107" s="70">
        <f t="shared" si="73"/>
        <v>537611.73091422569</v>
      </c>
      <c r="Q107" s="70">
        <f t="shared" si="73"/>
        <v>534923.67225965462</v>
      </c>
      <c r="R107" s="70">
        <f t="shared" si="73"/>
        <v>532249.05389835639</v>
      </c>
      <c r="S107" s="70">
        <f t="shared" si="73"/>
        <v>529587.80862886459</v>
      </c>
      <c r="T107" s="70">
        <f t="shared" si="73"/>
        <v>526939.86958572024</v>
      </c>
      <c r="U107" s="70">
        <f t="shared" si="73"/>
        <v>524305.17023779172</v>
      </c>
    </row>
    <row r="109" spans="1:21" ht="15.75" x14ac:dyDescent="0.25">
      <c r="A109" s="68">
        <v>2035</v>
      </c>
      <c r="B109" s="208">
        <v>2024</v>
      </c>
      <c r="C109" s="208">
        <f>C100</f>
        <v>2025</v>
      </c>
      <c r="D109" s="208">
        <f t="shared" ref="D109:U109" si="74">D100</f>
        <v>2026</v>
      </c>
      <c r="E109" s="208">
        <f t="shared" si="74"/>
        <v>2027</v>
      </c>
      <c r="F109" s="208">
        <f t="shared" si="74"/>
        <v>2028</v>
      </c>
      <c r="G109" s="208">
        <f t="shared" si="74"/>
        <v>2029</v>
      </c>
      <c r="H109" s="208">
        <f t="shared" si="74"/>
        <v>2030</v>
      </c>
      <c r="I109" s="208">
        <f t="shared" si="74"/>
        <v>2031</v>
      </c>
      <c r="J109" s="208">
        <f t="shared" si="74"/>
        <v>2032</v>
      </c>
      <c r="K109" s="208">
        <f t="shared" si="74"/>
        <v>2033</v>
      </c>
      <c r="L109" s="208">
        <f t="shared" si="74"/>
        <v>2034</v>
      </c>
      <c r="M109" s="208">
        <f t="shared" si="74"/>
        <v>2035</v>
      </c>
      <c r="N109" s="208">
        <f t="shared" si="74"/>
        <v>2036</v>
      </c>
      <c r="O109" s="208">
        <f t="shared" si="74"/>
        <v>2037</v>
      </c>
      <c r="P109" s="208">
        <f t="shared" si="74"/>
        <v>2038</v>
      </c>
      <c r="Q109" s="208">
        <f t="shared" si="74"/>
        <v>2039</v>
      </c>
      <c r="R109" s="208">
        <f t="shared" si="74"/>
        <v>2040</v>
      </c>
      <c r="S109" s="208">
        <f t="shared" si="74"/>
        <v>2041</v>
      </c>
      <c r="T109" s="208">
        <f t="shared" si="74"/>
        <v>2042</v>
      </c>
      <c r="U109" s="208">
        <f t="shared" si="74"/>
        <v>2043</v>
      </c>
    </row>
    <row r="110" spans="1:21" x14ac:dyDescent="0.25">
      <c r="A110" s="175" t="s">
        <v>124</v>
      </c>
      <c r="B110" s="175"/>
      <c r="C110" s="69"/>
      <c r="D110" s="69"/>
      <c r="E110" s="69"/>
      <c r="F110" s="69"/>
      <c r="G110" s="69"/>
      <c r="H110" s="69"/>
      <c r="I110" s="69"/>
      <c r="J110" s="69"/>
      <c r="K110" s="69"/>
      <c r="L110" s="69"/>
      <c r="M110" s="69"/>
      <c r="N110" s="69">
        <f t="shared" ref="N110:U115" si="75">M101</f>
        <v>87500.365862400009</v>
      </c>
      <c r="O110" s="69">
        <f t="shared" si="75"/>
        <v>87062.864033088001</v>
      </c>
      <c r="P110" s="69">
        <f t="shared" si="75"/>
        <v>86627.54971292257</v>
      </c>
      <c r="Q110" s="69">
        <f t="shared" si="75"/>
        <v>86194.411964357947</v>
      </c>
      <c r="R110" s="69">
        <f t="shared" si="75"/>
        <v>85763.439904536164</v>
      </c>
      <c r="S110" s="69">
        <f t="shared" si="75"/>
        <v>85334.622705013477</v>
      </c>
      <c r="T110" s="69">
        <f t="shared" si="75"/>
        <v>84907.949591488403</v>
      </c>
      <c r="U110" s="69">
        <f t="shared" si="75"/>
        <v>84483.409843530972</v>
      </c>
    </row>
    <row r="111" spans="1:21" x14ac:dyDescent="0.25">
      <c r="A111" s="175" t="s">
        <v>130</v>
      </c>
      <c r="B111" s="175"/>
      <c r="C111" s="69"/>
      <c r="D111" s="69"/>
      <c r="E111" s="69"/>
      <c r="F111" s="69"/>
      <c r="G111" s="69"/>
      <c r="H111" s="69"/>
      <c r="I111" s="69"/>
      <c r="J111" s="69"/>
      <c r="K111" s="69"/>
      <c r="L111" s="69"/>
      <c r="M111" s="69"/>
      <c r="N111" s="69">
        <f t="shared" si="75"/>
        <v>93158.824426514708</v>
      </c>
      <c r="O111" s="69">
        <f t="shared" si="75"/>
        <v>92693.030304382133</v>
      </c>
      <c r="P111" s="69">
        <f t="shared" si="75"/>
        <v>92229.565152860217</v>
      </c>
      <c r="Q111" s="69">
        <f t="shared" si="75"/>
        <v>91768.417327095929</v>
      </c>
      <c r="R111" s="69">
        <f t="shared" si="75"/>
        <v>91309.575240460428</v>
      </c>
      <c r="S111" s="69">
        <f t="shared" si="75"/>
        <v>90853.027364258131</v>
      </c>
      <c r="T111" s="69">
        <f t="shared" si="75"/>
        <v>90398.762227436848</v>
      </c>
      <c r="U111" s="69">
        <f t="shared" si="75"/>
        <v>89946.768416299659</v>
      </c>
    </row>
    <row r="112" spans="1:21" x14ac:dyDescent="0.25">
      <c r="A112" s="175" t="s">
        <v>139</v>
      </c>
      <c r="B112" s="175"/>
      <c r="C112" s="69"/>
      <c r="D112" s="69"/>
      <c r="E112" s="69"/>
      <c r="F112" s="69"/>
      <c r="G112" s="69"/>
      <c r="H112" s="69"/>
      <c r="I112" s="69"/>
      <c r="J112" s="69"/>
      <c r="K112" s="69"/>
      <c r="L112" s="69"/>
      <c r="M112" s="69"/>
      <c r="N112" s="69">
        <f t="shared" si="75"/>
        <v>0</v>
      </c>
      <c r="O112" s="69">
        <f t="shared" si="75"/>
        <v>159953.74559999997</v>
      </c>
      <c r="P112" s="69">
        <f t="shared" si="75"/>
        <v>159153.97687199997</v>
      </c>
      <c r="Q112" s="69">
        <f t="shared" si="75"/>
        <v>158358.20698763998</v>
      </c>
      <c r="R112" s="69">
        <f t="shared" si="75"/>
        <v>157566.41595270179</v>
      </c>
      <c r="S112" s="69">
        <f t="shared" si="75"/>
        <v>156778.58387293827</v>
      </c>
      <c r="T112" s="69">
        <f t="shared" si="75"/>
        <v>155994.69095357359</v>
      </c>
      <c r="U112" s="69">
        <f t="shared" si="75"/>
        <v>155214.71749880572</v>
      </c>
    </row>
    <row r="113" spans="1:21" x14ac:dyDescent="0.25">
      <c r="A113" s="175" t="s">
        <v>144</v>
      </c>
      <c r="B113" s="175"/>
      <c r="C113" s="69"/>
      <c r="D113" s="69"/>
      <c r="E113" s="69"/>
      <c r="F113" s="69"/>
      <c r="G113" s="69"/>
      <c r="H113" s="69"/>
      <c r="I113" s="69"/>
      <c r="J113" s="69"/>
      <c r="K113" s="69"/>
      <c r="L113" s="69"/>
      <c r="M113" s="69"/>
      <c r="N113" s="69">
        <f t="shared" si="75"/>
        <v>77014.766399999993</v>
      </c>
      <c r="O113" s="69">
        <f t="shared" si="75"/>
        <v>76629.692567999999</v>
      </c>
      <c r="P113" s="69">
        <f t="shared" si="75"/>
        <v>76246.544105159992</v>
      </c>
      <c r="Q113" s="69">
        <f t="shared" si="75"/>
        <v>75865.311384634202</v>
      </c>
      <c r="R113" s="69">
        <f t="shared" si="75"/>
        <v>75485.984827711029</v>
      </c>
      <c r="S113" s="69">
        <f t="shared" si="75"/>
        <v>75108.554903572469</v>
      </c>
      <c r="T113" s="69">
        <f t="shared" si="75"/>
        <v>74733.012129054609</v>
      </c>
      <c r="U113" s="69">
        <f t="shared" si="75"/>
        <v>74359.347068409348</v>
      </c>
    </row>
    <row r="114" spans="1:21" x14ac:dyDescent="0.25">
      <c r="A114" s="175" t="s">
        <v>148</v>
      </c>
      <c r="B114" s="175"/>
      <c r="C114" s="69"/>
      <c r="D114" s="69"/>
      <c r="E114" s="69"/>
      <c r="F114" s="69"/>
      <c r="G114" s="69"/>
      <c r="H114" s="69"/>
      <c r="I114" s="69"/>
      <c r="J114" s="69"/>
      <c r="K114" s="69"/>
      <c r="L114" s="69"/>
      <c r="M114" s="69"/>
      <c r="N114" s="69">
        <f t="shared" si="75"/>
        <v>0</v>
      </c>
      <c r="O114" s="69">
        <f t="shared" si="75"/>
        <v>23696.851199999997</v>
      </c>
      <c r="P114" s="69">
        <f t="shared" si="75"/>
        <v>23578.366943999998</v>
      </c>
      <c r="Q114" s="69">
        <f t="shared" si="75"/>
        <v>23460.47510928</v>
      </c>
      <c r="R114" s="69">
        <f t="shared" si="75"/>
        <v>23343.172733733598</v>
      </c>
      <c r="S114" s="69">
        <f t="shared" si="75"/>
        <v>23226.456870064929</v>
      </c>
      <c r="T114" s="69">
        <f t="shared" si="75"/>
        <v>23110.324585714603</v>
      </c>
      <c r="U114" s="69">
        <f t="shared" si="75"/>
        <v>22994.772962786032</v>
      </c>
    </row>
    <row r="115" spans="1:21" x14ac:dyDescent="0.25">
      <c r="A115" s="10" t="s">
        <v>151</v>
      </c>
      <c r="B115" s="10"/>
      <c r="C115" s="69"/>
      <c r="D115" s="69"/>
      <c r="E115" s="69"/>
      <c r="F115" s="69"/>
      <c r="G115" s="69"/>
      <c r="H115" s="69"/>
      <c r="I115" s="69"/>
      <c r="J115" s="69"/>
      <c r="K115" s="69"/>
      <c r="L115" s="69"/>
      <c r="M115" s="69"/>
      <c r="N115" s="69">
        <f t="shared" si="75"/>
        <v>103509.80491834966</v>
      </c>
      <c r="O115" s="69">
        <f t="shared" si="75"/>
        <v>102992.25589375793</v>
      </c>
      <c r="P115" s="69">
        <f t="shared" si="75"/>
        <v>102477.29461428915</v>
      </c>
      <c r="Q115" s="69">
        <f t="shared" si="75"/>
        <v>101964.90814121769</v>
      </c>
      <c r="R115" s="69">
        <f t="shared" si="75"/>
        <v>101455.0836005116</v>
      </c>
      <c r="S115" s="69">
        <f t="shared" si="75"/>
        <v>100947.80818250905</v>
      </c>
      <c r="T115" s="69">
        <f t="shared" si="75"/>
        <v>100443.0691415965</v>
      </c>
      <c r="U115" s="69">
        <f t="shared" si="75"/>
        <v>99940.853795888514</v>
      </c>
    </row>
    <row r="116" spans="1:21" x14ac:dyDescent="0.25">
      <c r="A116" s="12" t="s">
        <v>84</v>
      </c>
      <c r="B116" s="12"/>
      <c r="C116" s="70">
        <f t="shared" ref="C116:U116" si="76">SUM(C110:C115)</f>
        <v>0</v>
      </c>
      <c r="D116" s="70">
        <f t="shared" si="76"/>
        <v>0</v>
      </c>
      <c r="E116" s="70">
        <f t="shared" si="76"/>
        <v>0</v>
      </c>
      <c r="F116" s="70">
        <f t="shared" si="76"/>
        <v>0</v>
      </c>
      <c r="G116" s="70">
        <f t="shared" si="76"/>
        <v>0</v>
      </c>
      <c r="H116" s="70">
        <f t="shared" si="76"/>
        <v>0</v>
      </c>
      <c r="I116" s="70">
        <f t="shared" si="76"/>
        <v>0</v>
      </c>
      <c r="J116" s="70">
        <f t="shared" si="76"/>
        <v>0</v>
      </c>
      <c r="K116" s="70">
        <f t="shared" si="76"/>
        <v>0</v>
      </c>
      <c r="L116" s="70">
        <f t="shared" si="76"/>
        <v>0</v>
      </c>
      <c r="M116" s="70">
        <f t="shared" si="76"/>
        <v>0</v>
      </c>
      <c r="N116" s="70">
        <f t="shared" si="76"/>
        <v>361183.7616072644</v>
      </c>
      <c r="O116" s="70">
        <f t="shared" si="76"/>
        <v>543028.43959922798</v>
      </c>
      <c r="P116" s="70">
        <f t="shared" si="76"/>
        <v>540313.29740123195</v>
      </c>
      <c r="Q116" s="70">
        <f t="shared" si="76"/>
        <v>537611.73091422569</v>
      </c>
      <c r="R116" s="70">
        <f t="shared" si="76"/>
        <v>534923.67225965462</v>
      </c>
      <c r="S116" s="70">
        <f t="shared" si="76"/>
        <v>532249.05389835639</v>
      </c>
      <c r="T116" s="70">
        <f t="shared" si="76"/>
        <v>529587.80862886459</v>
      </c>
      <c r="U116" s="70">
        <f t="shared" si="76"/>
        <v>526939.86958572024</v>
      </c>
    </row>
    <row r="118" spans="1:21" ht="15.75" x14ac:dyDescent="0.25">
      <c r="A118" s="68">
        <v>2036</v>
      </c>
      <c r="B118" s="208">
        <v>2024</v>
      </c>
      <c r="C118" s="208">
        <f>C109</f>
        <v>2025</v>
      </c>
      <c r="D118" s="208">
        <f t="shared" ref="D118:U118" si="77">D109</f>
        <v>2026</v>
      </c>
      <c r="E118" s="208">
        <f t="shared" si="77"/>
        <v>2027</v>
      </c>
      <c r="F118" s="208">
        <f t="shared" si="77"/>
        <v>2028</v>
      </c>
      <c r="G118" s="208">
        <f t="shared" si="77"/>
        <v>2029</v>
      </c>
      <c r="H118" s="208">
        <f t="shared" si="77"/>
        <v>2030</v>
      </c>
      <c r="I118" s="208">
        <f t="shared" si="77"/>
        <v>2031</v>
      </c>
      <c r="J118" s="208">
        <f t="shared" si="77"/>
        <v>2032</v>
      </c>
      <c r="K118" s="208">
        <f t="shared" si="77"/>
        <v>2033</v>
      </c>
      <c r="L118" s="208">
        <f t="shared" si="77"/>
        <v>2034</v>
      </c>
      <c r="M118" s="208">
        <f t="shared" si="77"/>
        <v>2035</v>
      </c>
      <c r="N118" s="208">
        <f t="shared" si="77"/>
        <v>2036</v>
      </c>
      <c r="O118" s="208">
        <f t="shared" si="77"/>
        <v>2037</v>
      </c>
      <c r="P118" s="208">
        <f t="shared" si="77"/>
        <v>2038</v>
      </c>
      <c r="Q118" s="208">
        <f t="shared" si="77"/>
        <v>2039</v>
      </c>
      <c r="R118" s="208">
        <f t="shared" si="77"/>
        <v>2040</v>
      </c>
      <c r="S118" s="208">
        <f t="shared" si="77"/>
        <v>2041</v>
      </c>
      <c r="T118" s="208">
        <f t="shared" si="77"/>
        <v>2042</v>
      </c>
      <c r="U118" s="208">
        <f t="shared" si="77"/>
        <v>2043</v>
      </c>
    </row>
    <row r="119" spans="1:21" x14ac:dyDescent="0.25">
      <c r="A119" s="175" t="s">
        <v>124</v>
      </c>
      <c r="C119" s="69"/>
      <c r="D119" s="69"/>
      <c r="E119" s="69"/>
      <c r="F119" s="69"/>
      <c r="G119" s="69"/>
      <c r="H119" s="69"/>
      <c r="I119" s="69"/>
      <c r="J119" s="69"/>
      <c r="K119" s="69"/>
      <c r="L119" s="69"/>
      <c r="M119" s="69"/>
      <c r="N119" s="69"/>
      <c r="O119" s="69">
        <f t="shared" ref="O119:U124" si="78">N110</f>
        <v>87500.365862400009</v>
      </c>
      <c r="P119" s="69">
        <f t="shared" si="78"/>
        <v>87062.864033088001</v>
      </c>
      <c r="Q119" s="69">
        <f t="shared" si="78"/>
        <v>86627.54971292257</v>
      </c>
      <c r="R119" s="69">
        <f t="shared" si="78"/>
        <v>86194.411964357947</v>
      </c>
      <c r="S119" s="69">
        <f t="shared" si="78"/>
        <v>85763.439904536164</v>
      </c>
      <c r="T119" s="69">
        <f t="shared" si="78"/>
        <v>85334.622705013477</v>
      </c>
      <c r="U119" s="69">
        <f t="shared" si="78"/>
        <v>84907.949591488403</v>
      </c>
    </row>
    <row r="120" spans="1:21" x14ac:dyDescent="0.25">
      <c r="A120" s="175" t="s">
        <v>130</v>
      </c>
      <c r="B120" s="175"/>
      <c r="C120" s="69"/>
      <c r="D120" s="69"/>
      <c r="E120" s="69"/>
      <c r="F120" s="69"/>
      <c r="G120" s="69"/>
      <c r="H120" s="69"/>
      <c r="I120" s="69"/>
      <c r="J120" s="69"/>
      <c r="K120" s="69"/>
      <c r="L120" s="69"/>
      <c r="M120" s="69"/>
      <c r="N120" s="69"/>
      <c r="O120" s="69">
        <f t="shared" si="78"/>
        <v>93158.824426514708</v>
      </c>
      <c r="P120" s="69">
        <f t="shared" si="78"/>
        <v>92693.030304382133</v>
      </c>
      <c r="Q120" s="69">
        <f t="shared" si="78"/>
        <v>92229.565152860217</v>
      </c>
      <c r="R120" s="69">
        <f t="shared" si="78"/>
        <v>91768.417327095929</v>
      </c>
      <c r="S120" s="69">
        <f t="shared" si="78"/>
        <v>91309.575240460428</v>
      </c>
      <c r="T120" s="69">
        <f t="shared" si="78"/>
        <v>90853.027364258131</v>
      </c>
      <c r="U120" s="69">
        <f t="shared" si="78"/>
        <v>90398.762227436848</v>
      </c>
    </row>
    <row r="121" spans="1:21" x14ac:dyDescent="0.25">
      <c r="A121" s="175" t="s">
        <v>139</v>
      </c>
      <c r="B121" s="175"/>
      <c r="C121" s="69"/>
      <c r="D121" s="69"/>
      <c r="E121" s="69"/>
      <c r="F121" s="69"/>
      <c r="G121" s="69"/>
      <c r="H121" s="69"/>
      <c r="I121" s="69"/>
      <c r="J121" s="69"/>
      <c r="K121" s="69"/>
      <c r="L121" s="69"/>
      <c r="M121" s="69"/>
      <c r="N121" s="69"/>
      <c r="O121" s="69">
        <f t="shared" si="78"/>
        <v>0</v>
      </c>
      <c r="P121" s="69">
        <f t="shared" si="78"/>
        <v>159953.74559999997</v>
      </c>
      <c r="Q121" s="69">
        <f t="shared" si="78"/>
        <v>159153.97687199997</v>
      </c>
      <c r="R121" s="69">
        <f t="shared" si="78"/>
        <v>158358.20698763998</v>
      </c>
      <c r="S121" s="69">
        <f t="shared" si="78"/>
        <v>157566.41595270179</v>
      </c>
      <c r="T121" s="69">
        <f t="shared" si="78"/>
        <v>156778.58387293827</v>
      </c>
      <c r="U121" s="69">
        <f t="shared" si="78"/>
        <v>155994.69095357359</v>
      </c>
    </row>
    <row r="122" spans="1:21" x14ac:dyDescent="0.25">
      <c r="A122" s="175" t="s">
        <v>144</v>
      </c>
      <c r="B122" s="175"/>
      <c r="C122" s="69"/>
      <c r="D122" s="69"/>
      <c r="E122" s="69"/>
      <c r="F122" s="69"/>
      <c r="G122" s="69"/>
      <c r="H122" s="69"/>
      <c r="I122" s="69"/>
      <c r="J122" s="69"/>
      <c r="K122" s="69"/>
      <c r="L122" s="69"/>
      <c r="M122" s="69"/>
      <c r="N122" s="69"/>
      <c r="O122" s="69">
        <f t="shared" si="78"/>
        <v>77014.766399999993</v>
      </c>
      <c r="P122" s="69">
        <f t="shared" si="78"/>
        <v>76629.692567999999</v>
      </c>
      <c r="Q122" s="69">
        <f t="shared" si="78"/>
        <v>76246.544105159992</v>
      </c>
      <c r="R122" s="69">
        <f t="shared" si="78"/>
        <v>75865.311384634202</v>
      </c>
      <c r="S122" s="69">
        <f t="shared" si="78"/>
        <v>75485.984827711029</v>
      </c>
      <c r="T122" s="69">
        <f t="shared" si="78"/>
        <v>75108.554903572469</v>
      </c>
      <c r="U122" s="69">
        <f t="shared" si="78"/>
        <v>74733.012129054609</v>
      </c>
    </row>
    <row r="123" spans="1:21" x14ac:dyDescent="0.25">
      <c r="A123" s="175" t="s">
        <v>148</v>
      </c>
      <c r="B123" s="175"/>
      <c r="C123" s="69"/>
      <c r="D123" s="69"/>
      <c r="E123" s="69"/>
      <c r="F123" s="69"/>
      <c r="G123" s="69"/>
      <c r="H123" s="69"/>
      <c r="I123" s="69"/>
      <c r="J123" s="69"/>
      <c r="K123" s="69"/>
      <c r="L123" s="69"/>
      <c r="M123" s="69"/>
      <c r="N123" s="69"/>
      <c r="O123" s="69">
        <f t="shared" si="78"/>
        <v>0</v>
      </c>
      <c r="P123" s="69">
        <f t="shared" si="78"/>
        <v>23696.851199999997</v>
      </c>
      <c r="Q123" s="69">
        <f t="shared" si="78"/>
        <v>23578.366943999998</v>
      </c>
      <c r="R123" s="69">
        <f t="shared" si="78"/>
        <v>23460.47510928</v>
      </c>
      <c r="S123" s="69">
        <f t="shared" si="78"/>
        <v>23343.172733733598</v>
      </c>
      <c r="T123" s="69">
        <f t="shared" si="78"/>
        <v>23226.456870064929</v>
      </c>
      <c r="U123" s="69">
        <f t="shared" si="78"/>
        <v>23110.324585714603</v>
      </c>
    </row>
    <row r="124" spans="1:21" x14ac:dyDescent="0.25">
      <c r="A124" s="10" t="s">
        <v>151</v>
      </c>
      <c r="B124" s="10"/>
      <c r="C124" s="69"/>
      <c r="D124" s="69"/>
      <c r="E124" s="69"/>
      <c r="F124" s="69"/>
      <c r="G124" s="69"/>
      <c r="H124" s="69"/>
      <c r="I124" s="69"/>
      <c r="J124" s="69"/>
      <c r="K124" s="69"/>
      <c r="L124" s="69"/>
      <c r="M124" s="69"/>
      <c r="N124" s="69"/>
      <c r="O124" s="69">
        <f t="shared" si="78"/>
        <v>103509.80491834966</v>
      </c>
      <c r="P124" s="69">
        <f t="shared" si="78"/>
        <v>102992.25589375793</v>
      </c>
      <c r="Q124" s="69">
        <f t="shared" si="78"/>
        <v>102477.29461428915</v>
      </c>
      <c r="R124" s="69">
        <f t="shared" si="78"/>
        <v>101964.90814121769</v>
      </c>
      <c r="S124" s="69">
        <f t="shared" si="78"/>
        <v>101455.0836005116</v>
      </c>
      <c r="T124" s="69">
        <f t="shared" si="78"/>
        <v>100947.80818250905</v>
      </c>
      <c r="U124" s="69">
        <f t="shared" si="78"/>
        <v>100443.0691415965</v>
      </c>
    </row>
    <row r="125" spans="1:21" x14ac:dyDescent="0.25">
      <c r="A125" s="12" t="s">
        <v>84</v>
      </c>
      <c r="B125" s="12"/>
      <c r="C125" s="70">
        <f t="shared" ref="C125:U125" si="79">SUM(C119:C124)</f>
        <v>0</v>
      </c>
      <c r="D125" s="70">
        <f t="shared" si="79"/>
        <v>0</v>
      </c>
      <c r="E125" s="70">
        <f t="shared" si="79"/>
        <v>0</v>
      </c>
      <c r="F125" s="70">
        <f t="shared" si="79"/>
        <v>0</v>
      </c>
      <c r="G125" s="70">
        <f t="shared" si="79"/>
        <v>0</v>
      </c>
      <c r="H125" s="70">
        <f t="shared" si="79"/>
        <v>0</v>
      </c>
      <c r="I125" s="70">
        <f t="shared" si="79"/>
        <v>0</v>
      </c>
      <c r="J125" s="70">
        <f t="shared" si="79"/>
        <v>0</v>
      </c>
      <c r="K125" s="70">
        <f t="shared" si="79"/>
        <v>0</v>
      </c>
      <c r="L125" s="70">
        <f t="shared" si="79"/>
        <v>0</v>
      </c>
      <c r="M125" s="70">
        <f t="shared" si="79"/>
        <v>0</v>
      </c>
      <c r="N125" s="70">
        <f t="shared" si="79"/>
        <v>0</v>
      </c>
      <c r="O125" s="70">
        <f t="shared" si="79"/>
        <v>361183.7616072644</v>
      </c>
      <c r="P125" s="70">
        <f t="shared" si="79"/>
        <v>543028.43959922798</v>
      </c>
      <c r="Q125" s="70">
        <f t="shared" si="79"/>
        <v>540313.29740123195</v>
      </c>
      <c r="R125" s="70">
        <f t="shared" si="79"/>
        <v>537611.73091422569</v>
      </c>
      <c r="S125" s="70">
        <f t="shared" si="79"/>
        <v>534923.67225965462</v>
      </c>
      <c r="T125" s="70">
        <f t="shared" si="79"/>
        <v>532249.05389835639</v>
      </c>
      <c r="U125" s="70">
        <f t="shared" si="79"/>
        <v>529587.80862886459</v>
      </c>
    </row>
    <row r="127" spans="1:21" ht="15.75" x14ac:dyDescent="0.25">
      <c r="A127" s="68">
        <v>2037</v>
      </c>
      <c r="B127" s="208">
        <v>2024</v>
      </c>
      <c r="C127" s="208">
        <f>C118</f>
        <v>2025</v>
      </c>
      <c r="D127" s="208">
        <f t="shared" ref="D127:U127" si="80">D118</f>
        <v>2026</v>
      </c>
      <c r="E127" s="208">
        <f t="shared" si="80"/>
        <v>2027</v>
      </c>
      <c r="F127" s="208">
        <f t="shared" si="80"/>
        <v>2028</v>
      </c>
      <c r="G127" s="208">
        <f t="shared" si="80"/>
        <v>2029</v>
      </c>
      <c r="H127" s="208">
        <f t="shared" si="80"/>
        <v>2030</v>
      </c>
      <c r="I127" s="208">
        <f t="shared" si="80"/>
        <v>2031</v>
      </c>
      <c r="J127" s="208">
        <f t="shared" si="80"/>
        <v>2032</v>
      </c>
      <c r="K127" s="208">
        <f t="shared" si="80"/>
        <v>2033</v>
      </c>
      <c r="L127" s="208">
        <f t="shared" si="80"/>
        <v>2034</v>
      </c>
      <c r="M127" s="208">
        <f t="shared" si="80"/>
        <v>2035</v>
      </c>
      <c r="N127" s="208">
        <f t="shared" si="80"/>
        <v>2036</v>
      </c>
      <c r="O127" s="208">
        <f t="shared" si="80"/>
        <v>2037</v>
      </c>
      <c r="P127" s="208">
        <f t="shared" si="80"/>
        <v>2038</v>
      </c>
      <c r="Q127" s="208">
        <f t="shared" si="80"/>
        <v>2039</v>
      </c>
      <c r="R127" s="208">
        <f t="shared" si="80"/>
        <v>2040</v>
      </c>
      <c r="S127" s="208">
        <f t="shared" si="80"/>
        <v>2041</v>
      </c>
      <c r="T127" s="208">
        <f t="shared" si="80"/>
        <v>2042</v>
      </c>
      <c r="U127" s="208">
        <f t="shared" si="80"/>
        <v>2043</v>
      </c>
    </row>
    <row r="128" spans="1:21" x14ac:dyDescent="0.25">
      <c r="A128" s="175" t="s">
        <v>124</v>
      </c>
      <c r="B128" s="175"/>
      <c r="C128" s="69"/>
      <c r="D128" s="69"/>
      <c r="E128" s="69"/>
      <c r="F128" s="69"/>
      <c r="G128" s="69"/>
      <c r="H128" s="69"/>
      <c r="I128" s="69"/>
      <c r="J128" s="69"/>
      <c r="K128" s="69"/>
      <c r="L128" s="69"/>
      <c r="M128" s="69"/>
      <c r="N128" s="69"/>
      <c r="O128" s="69"/>
      <c r="P128" s="69">
        <f t="shared" ref="P128:U133" si="81">O119</f>
        <v>87500.365862400009</v>
      </c>
      <c r="Q128" s="69">
        <f t="shared" si="81"/>
        <v>87062.864033088001</v>
      </c>
      <c r="R128" s="69">
        <f t="shared" si="81"/>
        <v>86627.54971292257</v>
      </c>
      <c r="S128" s="69">
        <f t="shared" si="81"/>
        <v>86194.411964357947</v>
      </c>
      <c r="T128" s="69">
        <f t="shared" si="81"/>
        <v>85763.439904536164</v>
      </c>
      <c r="U128" s="69">
        <f t="shared" si="81"/>
        <v>85334.622705013477</v>
      </c>
    </row>
    <row r="129" spans="1:21" x14ac:dyDescent="0.25">
      <c r="A129" s="175" t="s">
        <v>130</v>
      </c>
      <c r="B129" s="175"/>
      <c r="C129" s="69"/>
      <c r="D129" s="69"/>
      <c r="E129" s="69"/>
      <c r="F129" s="69"/>
      <c r="G129" s="69"/>
      <c r="H129" s="69"/>
      <c r="I129" s="69"/>
      <c r="J129" s="69"/>
      <c r="K129" s="69"/>
      <c r="L129" s="69"/>
      <c r="M129" s="69"/>
      <c r="N129" s="69"/>
      <c r="O129" s="69"/>
      <c r="P129" s="69">
        <f t="shared" si="81"/>
        <v>93158.824426514708</v>
      </c>
      <c r="Q129" s="69">
        <f t="shared" si="81"/>
        <v>92693.030304382133</v>
      </c>
      <c r="R129" s="69">
        <f t="shared" si="81"/>
        <v>92229.565152860217</v>
      </c>
      <c r="S129" s="69">
        <f t="shared" si="81"/>
        <v>91768.417327095929</v>
      </c>
      <c r="T129" s="69">
        <f t="shared" si="81"/>
        <v>91309.575240460428</v>
      </c>
      <c r="U129" s="69">
        <f t="shared" si="81"/>
        <v>90853.027364258131</v>
      </c>
    </row>
    <row r="130" spans="1:21" x14ac:dyDescent="0.25">
      <c r="A130" s="175" t="s">
        <v>139</v>
      </c>
      <c r="B130" s="175"/>
      <c r="C130" s="69"/>
      <c r="D130" s="69"/>
      <c r="E130" s="69"/>
      <c r="F130" s="69"/>
      <c r="G130" s="69"/>
      <c r="H130" s="69"/>
      <c r="I130" s="69"/>
      <c r="J130" s="69"/>
      <c r="K130" s="69"/>
      <c r="L130" s="69"/>
      <c r="M130" s="69"/>
      <c r="N130" s="69"/>
      <c r="O130" s="69"/>
      <c r="P130" s="69">
        <f t="shared" si="81"/>
        <v>0</v>
      </c>
      <c r="Q130" s="69">
        <f t="shared" si="81"/>
        <v>159953.74559999997</v>
      </c>
      <c r="R130" s="69">
        <f t="shared" si="81"/>
        <v>159153.97687199997</v>
      </c>
      <c r="S130" s="69">
        <f t="shared" si="81"/>
        <v>158358.20698763998</v>
      </c>
      <c r="T130" s="69">
        <f t="shared" si="81"/>
        <v>157566.41595270179</v>
      </c>
      <c r="U130" s="69">
        <f t="shared" si="81"/>
        <v>156778.58387293827</v>
      </c>
    </row>
    <row r="131" spans="1:21" x14ac:dyDescent="0.25">
      <c r="A131" s="175" t="s">
        <v>144</v>
      </c>
      <c r="B131" s="175"/>
      <c r="C131" s="69"/>
      <c r="D131" s="69"/>
      <c r="E131" s="69"/>
      <c r="F131" s="69"/>
      <c r="G131" s="69"/>
      <c r="H131" s="69"/>
      <c r="I131" s="69"/>
      <c r="J131" s="69"/>
      <c r="K131" s="69"/>
      <c r="L131" s="69"/>
      <c r="M131" s="69"/>
      <c r="N131" s="69"/>
      <c r="O131" s="69"/>
      <c r="P131" s="69">
        <f t="shared" si="81"/>
        <v>77014.766399999993</v>
      </c>
      <c r="Q131" s="69">
        <f t="shared" si="81"/>
        <v>76629.692567999999</v>
      </c>
      <c r="R131" s="69">
        <f t="shared" si="81"/>
        <v>76246.544105159992</v>
      </c>
      <c r="S131" s="69">
        <f t="shared" si="81"/>
        <v>75865.311384634202</v>
      </c>
      <c r="T131" s="69">
        <f t="shared" si="81"/>
        <v>75485.984827711029</v>
      </c>
      <c r="U131" s="69">
        <f t="shared" si="81"/>
        <v>75108.554903572469</v>
      </c>
    </row>
    <row r="132" spans="1:21" x14ac:dyDescent="0.25">
      <c r="A132" s="175" t="s">
        <v>148</v>
      </c>
      <c r="B132" s="175"/>
      <c r="C132" s="69"/>
      <c r="D132" s="69"/>
      <c r="E132" s="69"/>
      <c r="F132" s="69"/>
      <c r="G132" s="69"/>
      <c r="H132" s="69"/>
      <c r="I132" s="69"/>
      <c r="J132" s="69"/>
      <c r="K132" s="69"/>
      <c r="L132" s="69"/>
      <c r="M132" s="69"/>
      <c r="N132" s="69"/>
      <c r="O132" s="69"/>
      <c r="P132" s="69">
        <f t="shared" si="81"/>
        <v>0</v>
      </c>
      <c r="Q132" s="69">
        <f t="shared" si="81"/>
        <v>23696.851199999997</v>
      </c>
      <c r="R132" s="69">
        <f t="shared" si="81"/>
        <v>23578.366943999998</v>
      </c>
      <c r="S132" s="69">
        <f t="shared" si="81"/>
        <v>23460.47510928</v>
      </c>
      <c r="T132" s="69">
        <f t="shared" si="81"/>
        <v>23343.172733733598</v>
      </c>
      <c r="U132" s="69">
        <f t="shared" si="81"/>
        <v>23226.456870064929</v>
      </c>
    </row>
    <row r="133" spans="1:21" x14ac:dyDescent="0.25">
      <c r="A133" s="10" t="s">
        <v>151</v>
      </c>
      <c r="B133" s="10"/>
      <c r="C133" s="69"/>
      <c r="D133" s="69"/>
      <c r="E133" s="69"/>
      <c r="F133" s="69"/>
      <c r="G133" s="69"/>
      <c r="H133" s="69"/>
      <c r="I133" s="69"/>
      <c r="J133" s="69"/>
      <c r="K133" s="69"/>
      <c r="L133" s="69"/>
      <c r="M133" s="69"/>
      <c r="N133" s="69"/>
      <c r="O133" s="69"/>
      <c r="P133" s="69">
        <f t="shared" si="81"/>
        <v>103509.80491834966</v>
      </c>
      <c r="Q133" s="69">
        <f t="shared" si="81"/>
        <v>102992.25589375793</v>
      </c>
      <c r="R133" s="69">
        <f t="shared" si="81"/>
        <v>102477.29461428915</v>
      </c>
      <c r="S133" s="69">
        <f t="shared" si="81"/>
        <v>101964.90814121769</v>
      </c>
      <c r="T133" s="69">
        <f t="shared" si="81"/>
        <v>101455.0836005116</v>
      </c>
      <c r="U133" s="69">
        <f t="shared" si="81"/>
        <v>100947.80818250905</v>
      </c>
    </row>
    <row r="134" spans="1:21" x14ac:dyDescent="0.25">
      <c r="A134" s="12" t="s">
        <v>84</v>
      </c>
      <c r="B134" s="12"/>
      <c r="C134" s="70">
        <f t="shared" ref="C134:U134" si="82">SUM(C128:C133)</f>
        <v>0</v>
      </c>
      <c r="D134" s="70">
        <f t="shared" si="82"/>
        <v>0</v>
      </c>
      <c r="E134" s="70">
        <f t="shared" si="82"/>
        <v>0</v>
      </c>
      <c r="F134" s="70">
        <f t="shared" si="82"/>
        <v>0</v>
      </c>
      <c r="G134" s="70">
        <f t="shared" si="82"/>
        <v>0</v>
      </c>
      <c r="H134" s="70">
        <f t="shared" si="82"/>
        <v>0</v>
      </c>
      <c r="I134" s="70">
        <f t="shared" si="82"/>
        <v>0</v>
      </c>
      <c r="J134" s="70">
        <f t="shared" si="82"/>
        <v>0</v>
      </c>
      <c r="K134" s="70">
        <f t="shared" si="82"/>
        <v>0</v>
      </c>
      <c r="L134" s="70">
        <f t="shared" si="82"/>
        <v>0</v>
      </c>
      <c r="M134" s="70">
        <f t="shared" si="82"/>
        <v>0</v>
      </c>
      <c r="N134" s="70">
        <f t="shared" si="82"/>
        <v>0</v>
      </c>
      <c r="O134" s="70">
        <f t="shared" si="82"/>
        <v>0</v>
      </c>
      <c r="P134" s="70">
        <f t="shared" si="82"/>
        <v>361183.7616072644</v>
      </c>
      <c r="Q134" s="70">
        <f t="shared" si="82"/>
        <v>543028.43959922798</v>
      </c>
      <c r="R134" s="70">
        <f t="shared" si="82"/>
        <v>540313.29740123195</v>
      </c>
      <c r="S134" s="70">
        <f t="shared" si="82"/>
        <v>537611.73091422569</v>
      </c>
      <c r="T134" s="70">
        <f t="shared" si="82"/>
        <v>534923.67225965462</v>
      </c>
      <c r="U134" s="70">
        <f t="shared" si="82"/>
        <v>532249.05389835639</v>
      </c>
    </row>
    <row r="136" spans="1:21" ht="15.75" x14ac:dyDescent="0.25">
      <c r="A136" s="68">
        <v>2038</v>
      </c>
      <c r="B136" s="208">
        <v>2024</v>
      </c>
      <c r="C136" s="208">
        <f>C127</f>
        <v>2025</v>
      </c>
      <c r="D136" s="208">
        <f t="shared" ref="D136:U136" si="83">D127</f>
        <v>2026</v>
      </c>
      <c r="E136" s="208">
        <f t="shared" si="83"/>
        <v>2027</v>
      </c>
      <c r="F136" s="208">
        <f t="shared" si="83"/>
        <v>2028</v>
      </c>
      <c r="G136" s="208">
        <f t="shared" si="83"/>
        <v>2029</v>
      </c>
      <c r="H136" s="208">
        <f t="shared" si="83"/>
        <v>2030</v>
      </c>
      <c r="I136" s="208">
        <f t="shared" si="83"/>
        <v>2031</v>
      </c>
      <c r="J136" s="208">
        <f t="shared" si="83"/>
        <v>2032</v>
      </c>
      <c r="K136" s="208">
        <f t="shared" si="83"/>
        <v>2033</v>
      </c>
      <c r="L136" s="208">
        <f t="shared" si="83"/>
        <v>2034</v>
      </c>
      <c r="M136" s="208">
        <f t="shared" si="83"/>
        <v>2035</v>
      </c>
      <c r="N136" s="208">
        <f t="shared" si="83"/>
        <v>2036</v>
      </c>
      <c r="O136" s="208">
        <f t="shared" si="83"/>
        <v>2037</v>
      </c>
      <c r="P136" s="208">
        <f t="shared" si="83"/>
        <v>2038</v>
      </c>
      <c r="Q136" s="208">
        <f t="shared" si="83"/>
        <v>2039</v>
      </c>
      <c r="R136" s="208">
        <f t="shared" si="83"/>
        <v>2040</v>
      </c>
      <c r="S136" s="208">
        <f t="shared" si="83"/>
        <v>2041</v>
      </c>
      <c r="T136" s="208">
        <f t="shared" si="83"/>
        <v>2042</v>
      </c>
      <c r="U136" s="208">
        <f t="shared" si="83"/>
        <v>2043</v>
      </c>
    </row>
    <row r="137" spans="1:21" x14ac:dyDescent="0.25">
      <c r="A137" s="175" t="s">
        <v>124</v>
      </c>
      <c r="B137" s="175"/>
      <c r="C137" s="69"/>
      <c r="D137" s="69"/>
      <c r="E137" s="69"/>
      <c r="F137" s="69"/>
      <c r="G137" s="69"/>
      <c r="H137" s="69"/>
      <c r="I137" s="69"/>
      <c r="J137" s="69"/>
      <c r="K137" s="69"/>
      <c r="L137" s="69"/>
      <c r="M137" s="69"/>
      <c r="N137" s="69"/>
      <c r="O137" s="69"/>
      <c r="P137" s="69"/>
      <c r="Q137" s="69">
        <f t="shared" ref="Q137:U142" si="84">P128</f>
        <v>87500.365862400009</v>
      </c>
      <c r="R137" s="69">
        <f t="shared" si="84"/>
        <v>87062.864033088001</v>
      </c>
      <c r="S137" s="69">
        <f t="shared" si="84"/>
        <v>86627.54971292257</v>
      </c>
      <c r="T137" s="69">
        <f t="shared" si="84"/>
        <v>86194.411964357947</v>
      </c>
      <c r="U137" s="69">
        <f t="shared" si="84"/>
        <v>85763.439904536164</v>
      </c>
    </row>
    <row r="138" spans="1:21" x14ac:dyDescent="0.25">
      <c r="A138" s="175" t="s">
        <v>130</v>
      </c>
      <c r="B138" s="175"/>
      <c r="C138" s="69"/>
      <c r="D138" s="69"/>
      <c r="E138" s="69"/>
      <c r="F138" s="69"/>
      <c r="G138" s="69"/>
      <c r="H138" s="69"/>
      <c r="I138" s="69"/>
      <c r="J138" s="69"/>
      <c r="K138" s="69"/>
      <c r="L138" s="69"/>
      <c r="M138" s="69"/>
      <c r="N138" s="69"/>
      <c r="O138" s="69"/>
      <c r="P138" s="69"/>
      <c r="Q138" s="69">
        <f t="shared" si="84"/>
        <v>93158.824426514708</v>
      </c>
      <c r="R138" s="69">
        <f t="shared" si="84"/>
        <v>92693.030304382133</v>
      </c>
      <c r="S138" s="69">
        <f t="shared" si="84"/>
        <v>92229.565152860217</v>
      </c>
      <c r="T138" s="69">
        <f t="shared" si="84"/>
        <v>91768.417327095929</v>
      </c>
      <c r="U138" s="69">
        <f t="shared" si="84"/>
        <v>91309.575240460428</v>
      </c>
    </row>
    <row r="139" spans="1:21" x14ac:dyDescent="0.25">
      <c r="A139" s="175" t="s">
        <v>139</v>
      </c>
      <c r="B139" s="175"/>
      <c r="C139" s="69"/>
      <c r="D139" s="69"/>
      <c r="E139" s="69"/>
      <c r="F139" s="69"/>
      <c r="G139" s="69"/>
      <c r="H139" s="69"/>
      <c r="I139" s="69"/>
      <c r="J139" s="69"/>
      <c r="K139" s="69"/>
      <c r="L139" s="69"/>
      <c r="M139" s="69"/>
      <c r="N139" s="69"/>
      <c r="O139" s="69"/>
      <c r="P139" s="69"/>
      <c r="Q139" s="69">
        <f t="shared" si="84"/>
        <v>0</v>
      </c>
      <c r="R139" s="69">
        <f t="shared" si="84"/>
        <v>159953.74559999997</v>
      </c>
      <c r="S139" s="69">
        <f t="shared" si="84"/>
        <v>159153.97687199997</v>
      </c>
      <c r="T139" s="69">
        <f t="shared" si="84"/>
        <v>158358.20698763998</v>
      </c>
      <c r="U139" s="69">
        <f t="shared" si="84"/>
        <v>157566.41595270179</v>
      </c>
    </row>
    <row r="140" spans="1:21" x14ac:dyDescent="0.25">
      <c r="A140" s="175" t="s">
        <v>144</v>
      </c>
      <c r="B140" s="175"/>
      <c r="C140" s="69"/>
      <c r="D140" s="69"/>
      <c r="E140" s="69"/>
      <c r="F140" s="69"/>
      <c r="G140" s="69"/>
      <c r="H140" s="69"/>
      <c r="I140" s="69"/>
      <c r="J140" s="69"/>
      <c r="K140" s="69"/>
      <c r="L140" s="69"/>
      <c r="M140" s="69"/>
      <c r="N140" s="69"/>
      <c r="O140" s="69"/>
      <c r="P140" s="69"/>
      <c r="Q140" s="69">
        <f t="shared" si="84"/>
        <v>77014.766399999993</v>
      </c>
      <c r="R140" s="69">
        <f t="shared" si="84"/>
        <v>76629.692567999999</v>
      </c>
      <c r="S140" s="69">
        <f t="shared" si="84"/>
        <v>76246.544105159992</v>
      </c>
      <c r="T140" s="69">
        <f t="shared" si="84"/>
        <v>75865.311384634202</v>
      </c>
      <c r="U140" s="69">
        <f t="shared" si="84"/>
        <v>75485.984827711029</v>
      </c>
    </row>
    <row r="141" spans="1:21" x14ac:dyDescent="0.25">
      <c r="A141" s="175" t="s">
        <v>148</v>
      </c>
      <c r="B141" s="175"/>
      <c r="C141" s="69"/>
      <c r="D141" s="69"/>
      <c r="E141" s="69"/>
      <c r="F141" s="69"/>
      <c r="G141" s="69"/>
      <c r="H141" s="69"/>
      <c r="I141" s="69"/>
      <c r="J141" s="69"/>
      <c r="K141" s="69"/>
      <c r="L141" s="69"/>
      <c r="M141" s="69"/>
      <c r="N141" s="69"/>
      <c r="O141" s="69"/>
      <c r="P141" s="69"/>
      <c r="Q141" s="69">
        <f t="shared" si="84"/>
        <v>0</v>
      </c>
      <c r="R141" s="69">
        <f t="shared" si="84"/>
        <v>23696.851199999997</v>
      </c>
      <c r="S141" s="69">
        <f t="shared" si="84"/>
        <v>23578.366943999998</v>
      </c>
      <c r="T141" s="69">
        <f t="shared" si="84"/>
        <v>23460.47510928</v>
      </c>
      <c r="U141" s="69">
        <f t="shared" si="84"/>
        <v>23343.172733733598</v>
      </c>
    </row>
    <row r="142" spans="1:21" x14ac:dyDescent="0.25">
      <c r="A142" s="10" t="s">
        <v>151</v>
      </c>
      <c r="B142" s="10"/>
      <c r="C142" s="69"/>
      <c r="D142" s="69"/>
      <c r="E142" s="69"/>
      <c r="F142" s="69"/>
      <c r="G142" s="69"/>
      <c r="H142" s="69"/>
      <c r="I142" s="69"/>
      <c r="J142" s="69"/>
      <c r="K142" s="69"/>
      <c r="L142" s="69"/>
      <c r="M142" s="69"/>
      <c r="N142" s="69"/>
      <c r="O142" s="69"/>
      <c r="P142" s="69"/>
      <c r="Q142" s="69">
        <f t="shared" si="84"/>
        <v>103509.80491834966</v>
      </c>
      <c r="R142" s="69">
        <f t="shared" si="84"/>
        <v>102992.25589375793</v>
      </c>
      <c r="S142" s="69">
        <f t="shared" si="84"/>
        <v>102477.29461428915</v>
      </c>
      <c r="T142" s="69">
        <f t="shared" si="84"/>
        <v>101964.90814121769</v>
      </c>
      <c r="U142" s="69">
        <f t="shared" si="84"/>
        <v>101455.0836005116</v>
      </c>
    </row>
    <row r="143" spans="1:21" x14ac:dyDescent="0.25">
      <c r="A143" s="12" t="s">
        <v>84</v>
      </c>
      <c r="B143" s="12"/>
      <c r="C143" s="70">
        <f t="shared" ref="C143:U143" si="85">SUM(C137:C142)</f>
        <v>0</v>
      </c>
      <c r="D143" s="70">
        <f t="shared" si="85"/>
        <v>0</v>
      </c>
      <c r="E143" s="70">
        <f t="shared" si="85"/>
        <v>0</v>
      </c>
      <c r="F143" s="70">
        <f t="shared" si="85"/>
        <v>0</v>
      </c>
      <c r="G143" s="70">
        <f t="shared" si="85"/>
        <v>0</v>
      </c>
      <c r="H143" s="70">
        <f t="shared" si="85"/>
        <v>0</v>
      </c>
      <c r="I143" s="70">
        <f t="shared" si="85"/>
        <v>0</v>
      </c>
      <c r="J143" s="70">
        <f t="shared" si="85"/>
        <v>0</v>
      </c>
      <c r="K143" s="70">
        <f t="shared" si="85"/>
        <v>0</v>
      </c>
      <c r="L143" s="70">
        <f t="shared" si="85"/>
        <v>0</v>
      </c>
      <c r="M143" s="70">
        <f t="shared" si="85"/>
        <v>0</v>
      </c>
      <c r="N143" s="70">
        <f t="shared" si="85"/>
        <v>0</v>
      </c>
      <c r="O143" s="70">
        <f t="shared" si="85"/>
        <v>0</v>
      </c>
      <c r="P143" s="70">
        <f t="shared" si="85"/>
        <v>0</v>
      </c>
      <c r="Q143" s="70">
        <f t="shared" si="85"/>
        <v>361183.7616072644</v>
      </c>
      <c r="R143" s="70">
        <f t="shared" si="85"/>
        <v>543028.43959922798</v>
      </c>
      <c r="S143" s="70">
        <f t="shared" si="85"/>
        <v>540313.29740123195</v>
      </c>
      <c r="T143" s="70">
        <f t="shared" si="85"/>
        <v>537611.73091422569</v>
      </c>
      <c r="U143" s="70">
        <f t="shared" si="85"/>
        <v>534923.67225965462</v>
      </c>
    </row>
    <row r="145" spans="1:21" ht="15.75" x14ac:dyDescent="0.25">
      <c r="A145" s="68">
        <v>2039</v>
      </c>
      <c r="B145" s="208">
        <v>2024</v>
      </c>
      <c r="C145" s="208">
        <f>C136</f>
        <v>2025</v>
      </c>
      <c r="D145" s="208">
        <f t="shared" ref="D145:U145" si="86">D136</f>
        <v>2026</v>
      </c>
      <c r="E145" s="208">
        <f t="shared" si="86"/>
        <v>2027</v>
      </c>
      <c r="F145" s="208">
        <f t="shared" si="86"/>
        <v>2028</v>
      </c>
      <c r="G145" s="208">
        <f t="shared" si="86"/>
        <v>2029</v>
      </c>
      <c r="H145" s="208">
        <f t="shared" si="86"/>
        <v>2030</v>
      </c>
      <c r="I145" s="208">
        <f t="shared" si="86"/>
        <v>2031</v>
      </c>
      <c r="J145" s="208">
        <f t="shared" si="86"/>
        <v>2032</v>
      </c>
      <c r="K145" s="208">
        <f t="shared" si="86"/>
        <v>2033</v>
      </c>
      <c r="L145" s="208">
        <f t="shared" si="86"/>
        <v>2034</v>
      </c>
      <c r="M145" s="208">
        <f t="shared" si="86"/>
        <v>2035</v>
      </c>
      <c r="N145" s="208">
        <f t="shared" si="86"/>
        <v>2036</v>
      </c>
      <c r="O145" s="208">
        <f t="shared" si="86"/>
        <v>2037</v>
      </c>
      <c r="P145" s="208">
        <f t="shared" si="86"/>
        <v>2038</v>
      </c>
      <c r="Q145" s="208">
        <f t="shared" si="86"/>
        <v>2039</v>
      </c>
      <c r="R145" s="208">
        <f t="shared" si="86"/>
        <v>2040</v>
      </c>
      <c r="S145" s="208">
        <f t="shared" si="86"/>
        <v>2041</v>
      </c>
      <c r="T145" s="208">
        <f t="shared" si="86"/>
        <v>2042</v>
      </c>
      <c r="U145" s="208">
        <f t="shared" si="86"/>
        <v>2043</v>
      </c>
    </row>
    <row r="146" spans="1:21" x14ac:dyDescent="0.25">
      <c r="A146" s="175" t="s">
        <v>124</v>
      </c>
      <c r="B146" s="175"/>
      <c r="C146" s="69"/>
      <c r="D146" s="69"/>
      <c r="E146" s="69"/>
      <c r="F146" s="69"/>
      <c r="G146" s="69"/>
      <c r="H146" s="69"/>
      <c r="I146" s="69"/>
      <c r="J146" s="69"/>
      <c r="K146" s="69"/>
      <c r="L146" s="69"/>
      <c r="M146" s="69"/>
      <c r="N146" s="69"/>
      <c r="O146" s="69"/>
      <c r="P146" s="69"/>
      <c r="Q146" s="69"/>
      <c r="R146" s="69">
        <f t="shared" ref="R146:U151" si="87">Q137</f>
        <v>87500.365862400009</v>
      </c>
      <c r="S146" s="69">
        <f t="shared" si="87"/>
        <v>87062.864033088001</v>
      </c>
      <c r="T146" s="69">
        <f t="shared" si="87"/>
        <v>86627.54971292257</v>
      </c>
      <c r="U146" s="69">
        <f t="shared" si="87"/>
        <v>86194.411964357947</v>
      </c>
    </row>
    <row r="147" spans="1:21" x14ac:dyDescent="0.25">
      <c r="A147" s="175" t="s">
        <v>130</v>
      </c>
      <c r="B147" s="175"/>
      <c r="C147" s="69"/>
      <c r="D147" s="69"/>
      <c r="E147" s="69"/>
      <c r="F147" s="69"/>
      <c r="G147" s="69"/>
      <c r="H147" s="69"/>
      <c r="I147" s="69"/>
      <c r="J147" s="69"/>
      <c r="K147" s="69"/>
      <c r="L147" s="69"/>
      <c r="M147" s="69"/>
      <c r="N147" s="69"/>
      <c r="O147" s="69"/>
      <c r="P147" s="69"/>
      <c r="Q147" s="69"/>
      <c r="R147" s="69">
        <f t="shared" si="87"/>
        <v>93158.824426514708</v>
      </c>
      <c r="S147" s="69">
        <f t="shared" si="87"/>
        <v>92693.030304382133</v>
      </c>
      <c r="T147" s="69">
        <f t="shared" si="87"/>
        <v>92229.565152860217</v>
      </c>
      <c r="U147" s="69">
        <f t="shared" si="87"/>
        <v>91768.417327095929</v>
      </c>
    </row>
    <row r="148" spans="1:21" x14ac:dyDescent="0.25">
      <c r="A148" s="175" t="s">
        <v>139</v>
      </c>
      <c r="B148" s="175"/>
      <c r="C148" s="69"/>
      <c r="D148" s="69"/>
      <c r="E148" s="69"/>
      <c r="F148" s="69"/>
      <c r="G148" s="69"/>
      <c r="H148" s="69"/>
      <c r="I148" s="69"/>
      <c r="J148" s="69"/>
      <c r="K148" s="69"/>
      <c r="L148" s="69"/>
      <c r="M148" s="69"/>
      <c r="N148" s="69"/>
      <c r="O148" s="69"/>
      <c r="P148" s="69"/>
      <c r="Q148" s="69"/>
      <c r="R148" s="69">
        <f t="shared" si="87"/>
        <v>0</v>
      </c>
      <c r="S148" s="69">
        <f t="shared" si="87"/>
        <v>159953.74559999997</v>
      </c>
      <c r="T148" s="69">
        <f t="shared" si="87"/>
        <v>159153.97687199997</v>
      </c>
      <c r="U148" s="69">
        <f t="shared" si="87"/>
        <v>158358.20698763998</v>
      </c>
    </row>
    <row r="149" spans="1:21" x14ac:dyDescent="0.25">
      <c r="A149" s="175" t="s">
        <v>144</v>
      </c>
      <c r="B149" s="175"/>
      <c r="C149" s="69"/>
      <c r="D149" s="69"/>
      <c r="E149" s="69"/>
      <c r="F149" s="69"/>
      <c r="G149" s="69"/>
      <c r="H149" s="69"/>
      <c r="I149" s="69"/>
      <c r="J149" s="69"/>
      <c r="K149" s="69"/>
      <c r="L149" s="69"/>
      <c r="M149" s="69"/>
      <c r="N149" s="69"/>
      <c r="O149" s="69"/>
      <c r="P149" s="69"/>
      <c r="Q149" s="69"/>
      <c r="R149" s="69">
        <f t="shared" si="87"/>
        <v>77014.766399999993</v>
      </c>
      <c r="S149" s="69">
        <f t="shared" si="87"/>
        <v>76629.692567999999</v>
      </c>
      <c r="T149" s="69">
        <f t="shared" si="87"/>
        <v>76246.544105159992</v>
      </c>
      <c r="U149" s="69">
        <f t="shared" si="87"/>
        <v>75865.311384634202</v>
      </c>
    </row>
    <row r="150" spans="1:21" x14ac:dyDescent="0.25">
      <c r="A150" s="175" t="s">
        <v>148</v>
      </c>
      <c r="B150" s="175"/>
      <c r="C150" s="69"/>
      <c r="D150" s="69"/>
      <c r="E150" s="69"/>
      <c r="F150" s="69"/>
      <c r="G150" s="69"/>
      <c r="H150" s="69"/>
      <c r="I150" s="69"/>
      <c r="J150" s="69"/>
      <c r="K150" s="69"/>
      <c r="L150" s="69"/>
      <c r="M150" s="69"/>
      <c r="N150" s="69"/>
      <c r="O150" s="69"/>
      <c r="P150" s="69"/>
      <c r="Q150" s="69"/>
      <c r="R150" s="69">
        <f t="shared" si="87"/>
        <v>0</v>
      </c>
      <c r="S150" s="69">
        <f t="shared" si="87"/>
        <v>23696.851199999997</v>
      </c>
      <c r="T150" s="69">
        <f t="shared" si="87"/>
        <v>23578.366943999998</v>
      </c>
      <c r="U150" s="69">
        <f t="shared" si="87"/>
        <v>23460.47510928</v>
      </c>
    </row>
    <row r="151" spans="1:21" x14ac:dyDescent="0.25">
      <c r="A151" s="10" t="s">
        <v>151</v>
      </c>
      <c r="B151" s="10"/>
      <c r="C151" s="69"/>
      <c r="D151" s="69"/>
      <c r="E151" s="69"/>
      <c r="F151" s="69"/>
      <c r="G151" s="69"/>
      <c r="H151" s="69"/>
      <c r="I151" s="69"/>
      <c r="J151" s="69"/>
      <c r="K151" s="69"/>
      <c r="L151" s="69"/>
      <c r="M151" s="69"/>
      <c r="N151" s="69"/>
      <c r="O151" s="69"/>
      <c r="P151" s="69"/>
      <c r="Q151" s="69"/>
      <c r="R151" s="69">
        <f t="shared" si="87"/>
        <v>103509.80491834966</v>
      </c>
      <c r="S151" s="69">
        <f t="shared" si="87"/>
        <v>102992.25589375793</v>
      </c>
      <c r="T151" s="69">
        <f t="shared" si="87"/>
        <v>102477.29461428915</v>
      </c>
      <c r="U151" s="69">
        <f t="shared" si="87"/>
        <v>101964.90814121769</v>
      </c>
    </row>
    <row r="152" spans="1:21" x14ac:dyDescent="0.25">
      <c r="A152" s="12" t="s">
        <v>84</v>
      </c>
      <c r="B152" s="12"/>
      <c r="C152" s="70">
        <f t="shared" ref="C152:U152" si="88">SUM(C146:C151)</f>
        <v>0</v>
      </c>
      <c r="D152" s="70">
        <f t="shared" si="88"/>
        <v>0</v>
      </c>
      <c r="E152" s="70">
        <f t="shared" si="88"/>
        <v>0</v>
      </c>
      <c r="F152" s="70">
        <f t="shared" si="88"/>
        <v>0</v>
      </c>
      <c r="G152" s="70">
        <f t="shared" si="88"/>
        <v>0</v>
      </c>
      <c r="H152" s="70">
        <f t="shared" si="88"/>
        <v>0</v>
      </c>
      <c r="I152" s="70">
        <f t="shared" si="88"/>
        <v>0</v>
      </c>
      <c r="J152" s="70">
        <f t="shared" si="88"/>
        <v>0</v>
      </c>
      <c r="K152" s="70">
        <f t="shared" si="88"/>
        <v>0</v>
      </c>
      <c r="L152" s="70">
        <f t="shared" si="88"/>
        <v>0</v>
      </c>
      <c r="M152" s="70">
        <f t="shared" si="88"/>
        <v>0</v>
      </c>
      <c r="N152" s="70">
        <f t="shared" si="88"/>
        <v>0</v>
      </c>
      <c r="O152" s="70">
        <f t="shared" si="88"/>
        <v>0</v>
      </c>
      <c r="P152" s="70">
        <f t="shared" si="88"/>
        <v>0</v>
      </c>
      <c r="Q152" s="70">
        <f t="shared" si="88"/>
        <v>0</v>
      </c>
      <c r="R152" s="70">
        <f t="shared" si="88"/>
        <v>361183.7616072644</v>
      </c>
      <c r="S152" s="70">
        <f t="shared" si="88"/>
        <v>543028.43959922798</v>
      </c>
      <c r="T152" s="70">
        <f t="shared" si="88"/>
        <v>540313.29740123195</v>
      </c>
      <c r="U152" s="70">
        <f t="shared" si="88"/>
        <v>537611.73091422569</v>
      </c>
    </row>
    <row r="154" spans="1:21" ht="15.75" x14ac:dyDescent="0.25">
      <c r="A154" s="68">
        <v>2040</v>
      </c>
      <c r="B154" s="208">
        <v>2024</v>
      </c>
      <c r="C154" s="208">
        <f>C145</f>
        <v>2025</v>
      </c>
      <c r="D154" s="208">
        <f t="shared" ref="D154:U154" si="89">D145</f>
        <v>2026</v>
      </c>
      <c r="E154" s="208">
        <f t="shared" si="89"/>
        <v>2027</v>
      </c>
      <c r="F154" s="208">
        <f t="shared" si="89"/>
        <v>2028</v>
      </c>
      <c r="G154" s="208">
        <f t="shared" si="89"/>
        <v>2029</v>
      </c>
      <c r="H154" s="208">
        <f t="shared" si="89"/>
        <v>2030</v>
      </c>
      <c r="I154" s="208">
        <f t="shared" si="89"/>
        <v>2031</v>
      </c>
      <c r="J154" s="208">
        <f t="shared" si="89"/>
        <v>2032</v>
      </c>
      <c r="K154" s="208">
        <f t="shared" si="89"/>
        <v>2033</v>
      </c>
      <c r="L154" s="208">
        <f t="shared" si="89"/>
        <v>2034</v>
      </c>
      <c r="M154" s="208">
        <f t="shared" si="89"/>
        <v>2035</v>
      </c>
      <c r="N154" s="208">
        <f t="shared" si="89"/>
        <v>2036</v>
      </c>
      <c r="O154" s="208">
        <f t="shared" si="89"/>
        <v>2037</v>
      </c>
      <c r="P154" s="208">
        <f t="shared" si="89"/>
        <v>2038</v>
      </c>
      <c r="Q154" s="208">
        <f t="shared" si="89"/>
        <v>2039</v>
      </c>
      <c r="R154" s="208">
        <f t="shared" si="89"/>
        <v>2040</v>
      </c>
      <c r="S154" s="208">
        <f t="shared" si="89"/>
        <v>2041</v>
      </c>
      <c r="T154" s="208">
        <f t="shared" si="89"/>
        <v>2042</v>
      </c>
      <c r="U154" s="208">
        <f t="shared" si="89"/>
        <v>2043</v>
      </c>
    </row>
    <row r="155" spans="1:21" x14ac:dyDescent="0.25">
      <c r="A155" s="175" t="s">
        <v>124</v>
      </c>
      <c r="B155" s="175"/>
      <c r="C155" s="69"/>
      <c r="D155" s="69"/>
      <c r="E155" s="69"/>
      <c r="F155" s="69"/>
      <c r="G155" s="69"/>
      <c r="H155" s="69"/>
      <c r="I155" s="69"/>
      <c r="J155" s="69"/>
      <c r="K155" s="69"/>
      <c r="L155" s="69"/>
      <c r="M155" s="69"/>
      <c r="N155" s="69"/>
      <c r="O155" s="69"/>
      <c r="P155" s="69"/>
      <c r="Q155" s="69"/>
      <c r="R155" s="69"/>
      <c r="S155" s="69">
        <f t="shared" ref="S155:U160" si="90">R146</f>
        <v>87500.365862400009</v>
      </c>
      <c r="T155" s="69">
        <f t="shared" si="90"/>
        <v>87062.864033088001</v>
      </c>
      <c r="U155" s="69">
        <f t="shared" si="90"/>
        <v>86627.54971292257</v>
      </c>
    </row>
    <row r="156" spans="1:21" x14ac:dyDescent="0.25">
      <c r="A156" s="175" t="s">
        <v>130</v>
      </c>
      <c r="B156" s="175"/>
      <c r="C156" s="69"/>
      <c r="D156" s="69"/>
      <c r="E156" s="69"/>
      <c r="F156" s="69"/>
      <c r="G156" s="69"/>
      <c r="H156" s="69"/>
      <c r="I156" s="69"/>
      <c r="J156" s="69"/>
      <c r="K156" s="69"/>
      <c r="L156" s="69"/>
      <c r="M156" s="69"/>
      <c r="N156" s="69"/>
      <c r="O156" s="69"/>
      <c r="P156" s="69"/>
      <c r="Q156" s="69"/>
      <c r="R156" s="69"/>
      <c r="S156" s="69">
        <f t="shared" si="90"/>
        <v>93158.824426514708</v>
      </c>
      <c r="T156" s="69">
        <f t="shared" si="90"/>
        <v>92693.030304382133</v>
      </c>
      <c r="U156" s="69">
        <f t="shared" si="90"/>
        <v>92229.565152860217</v>
      </c>
    </row>
    <row r="157" spans="1:21" x14ac:dyDescent="0.25">
      <c r="A157" s="175" t="s">
        <v>139</v>
      </c>
      <c r="B157" s="175"/>
      <c r="C157" s="69"/>
      <c r="D157" s="69"/>
      <c r="E157" s="69"/>
      <c r="F157" s="69"/>
      <c r="G157" s="69"/>
      <c r="H157" s="69"/>
      <c r="I157" s="69"/>
      <c r="J157" s="69"/>
      <c r="K157" s="69"/>
      <c r="L157" s="69"/>
      <c r="M157" s="69"/>
      <c r="N157" s="69"/>
      <c r="O157" s="69"/>
      <c r="P157" s="69"/>
      <c r="Q157" s="69"/>
      <c r="R157" s="69"/>
      <c r="S157" s="69">
        <f t="shared" si="90"/>
        <v>0</v>
      </c>
      <c r="T157" s="69">
        <f t="shared" si="90"/>
        <v>159953.74559999997</v>
      </c>
      <c r="U157" s="69">
        <f t="shared" si="90"/>
        <v>159153.97687199997</v>
      </c>
    </row>
    <row r="158" spans="1:21" x14ac:dyDescent="0.25">
      <c r="A158" s="175" t="s">
        <v>144</v>
      </c>
      <c r="B158" s="175"/>
      <c r="C158" s="69"/>
      <c r="D158" s="69"/>
      <c r="E158" s="69"/>
      <c r="F158" s="69"/>
      <c r="G158" s="69"/>
      <c r="H158" s="69"/>
      <c r="I158" s="69"/>
      <c r="J158" s="69"/>
      <c r="K158" s="69"/>
      <c r="L158" s="69"/>
      <c r="M158" s="69"/>
      <c r="N158" s="69"/>
      <c r="O158" s="69"/>
      <c r="P158" s="69"/>
      <c r="Q158" s="69"/>
      <c r="R158" s="69"/>
      <c r="S158" s="69">
        <f t="shared" si="90"/>
        <v>77014.766399999993</v>
      </c>
      <c r="T158" s="69">
        <f t="shared" si="90"/>
        <v>76629.692567999999</v>
      </c>
      <c r="U158" s="69">
        <f t="shared" si="90"/>
        <v>76246.544105159992</v>
      </c>
    </row>
    <row r="159" spans="1:21" x14ac:dyDescent="0.25">
      <c r="A159" s="175" t="s">
        <v>148</v>
      </c>
      <c r="B159" s="175"/>
      <c r="C159" s="69"/>
      <c r="D159" s="69"/>
      <c r="E159" s="69"/>
      <c r="F159" s="69"/>
      <c r="G159" s="69"/>
      <c r="H159" s="69"/>
      <c r="I159" s="69"/>
      <c r="J159" s="69"/>
      <c r="K159" s="69"/>
      <c r="L159" s="69"/>
      <c r="M159" s="69"/>
      <c r="N159" s="69"/>
      <c r="O159" s="69"/>
      <c r="P159" s="69"/>
      <c r="Q159" s="69"/>
      <c r="R159" s="69"/>
      <c r="S159" s="69">
        <f t="shared" si="90"/>
        <v>0</v>
      </c>
      <c r="T159" s="69">
        <f t="shared" si="90"/>
        <v>23696.851199999997</v>
      </c>
      <c r="U159" s="69">
        <f t="shared" si="90"/>
        <v>23578.366943999998</v>
      </c>
    </row>
    <row r="160" spans="1:21" x14ac:dyDescent="0.25">
      <c r="A160" s="10" t="s">
        <v>151</v>
      </c>
      <c r="B160" s="10"/>
      <c r="C160" s="69"/>
      <c r="D160" s="69"/>
      <c r="E160" s="69"/>
      <c r="F160" s="69"/>
      <c r="G160" s="69"/>
      <c r="H160" s="69"/>
      <c r="I160" s="69"/>
      <c r="J160" s="69"/>
      <c r="K160" s="69"/>
      <c r="L160" s="69"/>
      <c r="M160" s="69"/>
      <c r="N160" s="69"/>
      <c r="O160" s="69"/>
      <c r="P160" s="69"/>
      <c r="Q160" s="69"/>
      <c r="R160" s="69"/>
      <c r="S160" s="69">
        <f t="shared" si="90"/>
        <v>103509.80491834966</v>
      </c>
      <c r="T160" s="69">
        <f t="shared" si="90"/>
        <v>102992.25589375793</v>
      </c>
      <c r="U160" s="69">
        <f t="shared" si="90"/>
        <v>102477.29461428915</v>
      </c>
    </row>
    <row r="161" spans="1:21" x14ac:dyDescent="0.25">
      <c r="A161" s="12" t="s">
        <v>84</v>
      </c>
      <c r="B161" s="12"/>
      <c r="C161" s="70">
        <f t="shared" ref="C161:U161" si="91">SUM(C155:C160)</f>
        <v>0</v>
      </c>
      <c r="D161" s="70">
        <f t="shared" si="91"/>
        <v>0</v>
      </c>
      <c r="E161" s="70">
        <f t="shared" si="91"/>
        <v>0</v>
      </c>
      <c r="F161" s="70">
        <f t="shared" si="91"/>
        <v>0</v>
      </c>
      <c r="G161" s="70">
        <f t="shared" si="91"/>
        <v>0</v>
      </c>
      <c r="H161" s="70">
        <f t="shared" si="91"/>
        <v>0</v>
      </c>
      <c r="I161" s="70">
        <f t="shared" si="91"/>
        <v>0</v>
      </c>
      <c r="J161" s="70">
        <f t="shared" si="91"/>
        <v>0</v>
      </c>
      <c r="K161" s="70">
        <f t="shared" si="91"/>
        <v>0</v>
      </c>
      <c r="L161" s="70">
        <f t="shared" si="91"/>
        <v>0</v>
      </c>
      <c r="M161" s="70">
        <f t="shared" si="91"/>
        <v>0</v>
      </c>
      <c r="N161" s="70">
        <f t="shared" si="91"/>
        <v>0</v>
      </c>
      <c r="O161" s="70">
        <f t="shared" si="91"/>
        <v>0</v>
      </c>
      <c r="P161" s="70">
        <f t="shared" si="91"/>
        <v>0</v>
      </c>
      <c r="Q161" s="70">
        <f t="shared" si="91"/>
        <v>0</v>
      </c>
      <c r="R161" s="70">
        <f t="shared" si="91"/>
        <v>0</v>
      </c>
      <c r="S161" s="70">
        <f t="shared" si="91"/>
        <v>361183.7616072644</v>
      </c>
      <c r="T161" s="70">
        <f t="shared" si="91"/>
        <v>543028.43959922798</v>
      </c>
      <c r="U161" s="70">
        <f t="shared" si="91"/>
        <v>540313.29740123195</v>
      </c>
    </row>
    <row r="163" spans="1:21" ht="15.75" x14ac:dyDescent="0.25">
      <c r="A163" s="168" t="s">
        <v>168</v>
      </c>
      <c r="B163" s="168">
        <v>2024</v>
      </c>
      <c r="C163" s="208">
        <f>C154</f>
        <v>2025</v>
      </c>
      <c r="D163" s="208">
        <f t="shared" ref="D163:U163" si="92">D154</f>
        <v>2026</v>
      </c>
      <c r="E163" s="208">
        <f t="shared" si="92"/>
        <v>2027</v>
      </c>
      <c r="F163" s="208">
        <f t="shared" si="92"/>
        <v>2028</v>
      </c>
      <c r="G163" s="208">
        <f t="shared" si="92"/>
        <v>2029</v>
      </c>
      <c r="H163" s="208">
        <f t="shared" si="92"/>
        <v>2030</v>
      </c>
      <c r="I163" s="208">
        <f t="shared" si="92"/>
        <v>2031</v>
      </c>
      <c r="J163" s="208">
        <f t="shared" si="92"/>
        <v>2032</v>
      </c>
      <c r="K163" s="208">
        <f t="shared" si="92"/>
        <v>2033</v>
      </c>
      <c r="L163" s="208">
        <f t="shared" si="92"/>
        <v>2034</v>
      </c>
      <c r="M163" s="208">
        <f t="shared" si="92"/>
        <v>2035</v>
      </c>
      <c r="N163" s="208">
        <f t="shared" si="92"/>
        <v>2036</v>
      </c>
      <c r="O163" s="208">
        <f t="shared" si="92"/>
        <v>2037</v>
      </c>
      <c r="P163" s="208">
        <f t="shared" si="92"/>
        <v>2038</v>
      </c>
      <c r="Q163" s="208">
        <f t="shared" si="92"/>
        <v>2039</v>
      </c>
      <c r="R163" s="208">
        <f t="shared" si="92"/>
        <v>2040</v>
      </c>
      <c r="S163" s="208">
        <f t="shared" si="92"/>
        <v>2041</v>
      </c>
      <c r="T163" s="208">
        <f t="shared" si="92"/>
        <v>2042</v>
      </c>
      <c r="U163" s="208">
        <f t="shared" si="92"/>
        <v>2043</v>
      </c>
    </row>
    <row r="164" spans="1:21" x14ac:dyDescent="0.25">
      <c r="A164" s="175" t="s">
        <v>124</v>
      </c>
      <c r="B164" s="11">
        <f>SUMIFS(B2:B161, $A$2:$A$161, $A$164)</f>
        <v>0</v>
      </c>
      <c r="C164" s="11">
        <f>SUMIFS(C2:C161, $A$2:$A$161, $A$164)</f>
        <v>33039.493113768054</v>
      </c>
      <c r="D164" s="11">
        <f>SUMIFS(D2:D161, $A$2:$A$161, $A$164)</f>
        <v>207875.02737299923</v>
      </c>
      <c r="E164" s="11">
        <f t="shared" ref="E164:U164" si="93">SUMIFS(E2:E161, $A$2:$A$161, $A$164)</f>
        <v>381836.38396093424</v>
      </c>
      <c r="F164" s="11">
        <f t="shared" si="93"/>
        <v>554927.93376592966</v>
      </c>
      <c r="G164" s="11">
        <f t="shared" si="93"/>
        <v>727154.0258219</v>
      </c>
      <c r="H164" s="11">
        <f t="shared" si="93"/>
        <v>898518.98741759057</v>
      </c>
      <c r="I164" s="11">
        <f t="shared" si="93"/>
        <v>1069027.1242053024</v>
      </c>
      <c r="J164" s="11">
        <f t="shared" si="93"/>
        <v>1238682.7203090759</v>
      </c>
      <c r="K164" s="11">
        <f t="shared" si="93"/>
        <v>1407490.0384323306</v>
      </c>
      <c r="L164" s="11">
        <f t="shared" si="93"/>
        <v>1487952.954102569</v>
      </c>
      <c r="M164" s="11">
        <f t="shared" si="93"/>
        <v>1568013.5551944561</v>
      </c>
      <c r="N164" s="11">
        <f t="shared" si="93"/>
        <v>1647673.853280884</v>
      </c>
      <c r="O164" s="11">
        <f t="shared" si="93"/>
        <v>1726935.8498768792</v>
      </c>
      <c r="P164" s="11">
        <f t="shared" si="93"/>
        <v>1805801.5364898951</v>
      </c>
      <c r="Q164" s="11">
        <f t="shared" si="93"/>
        <v>1884272.8946698457</v>
      </c>
      <c r="R164" s="11">
        <f t="shared" si="93"/>
        <v>1931705.4875010783</v>
      </c>
      <c r="S164" s="11">
        <f t="shared" si="93"/>
        <v>1847222.0776575473</v>
      </c>
      <c r="T164" s="11">
        <f t="shared" si="93"/>
        <v>1675660.7190008338</v>
      </c>
      <c r="U164" s="11">
        <f t="shared" si="93"/>
        <v>1504957.1671374042</v>
      </c>
    </row>
    <row r="165" spans="1:21" x14ac:dyDescent="0.25">
      <c r="A165" s="175" t="s">
        <v>130</v>
      </c>
      <c r="B165" s="11">
        <f>SUMIFS(B2:B161, $A$2:$A$161, $A$165)</f>
        <v>0</v>
      </c>
      <c r="C165" s="11">
        <f t="shared" ref="C165:U165" si="94">SUMIFS(C2:C161, $A$2:$A$161, $A$165)</f>
        <v>72006.831323747145</v>
      </c>
      <c r="D165" s="11">
        <f t="shared" si="94"/>
        <v>257964.44602015783</v>
      </c>
      <c r="E165" s="11">
        <f t="shared" si="94"/>
        <v>442992.27264308644</v>
      </c>
      <c r="F165" s="11">
        <f t="shared" si="94"/>
        <v>627094.96013290039</v>
      </c>
      <c r="G165" s="11">
        <f t="shared" si="94"/>
        <v>810277.13418526528</v>
      </c>
      <c r="H165" s="11">
        <f t="shared" si="94"/>
        <v>992543.39736736845</v>
      </c>
      <c r="I165" s="11">
        <f t="shared" si="94"/>
        <v>1173898.3292335609</v>
      </c>
      <c r="J165" s="11">
        <f t="shared" si="94"/>
        <v>1354346.4864404225</v>
      </c>
      <c r="K165" s="11">
        <f t="shared" si="94"/>
        <v>1533892.4028612496</v>
      </c>
      <c r="L165" s="11">
        <f t="shared" si="94"/>
        <v>1619381.7652734581</v>
      </c>
      <c r="M165" s="11">
        <f t="shared" si="94"/>
        <v>1704443.6808736057</v>
      </c>
      <c r="N165" s="11">
        <f t="shared" si="94"/>
        <v>1789080.2868957527</v>
      </c>
      <c r="O165" s="11">
        <f t="shared" si="94"/>
        <v>1873293.7098877886</v>
      </c>
      <c r="P165" s="11">
        <f t="shared" si="94"/>
        <v>1957086.0657648642</v>
      </c>
      <c r="Q165" s="11">
        <f t="shared" si="94"/>
        <v>2040459.4598625549</v>
      </c>
      <c r="R165" s="11">
        <f t="shared" si="94"/>
        <v>2056624.6847109133</v>
      </c>
      <c r="S165" s="11">
        <f t="shared" si="94"/>
        <v>1966677.9162946136</v>
      </c>
      <c r="T165" s="11">
        <f t="shared" si="94"/>
        <v>1784022.0572938805</v>
      </c>
      <c r="U165" s="11">
        <f t="shared" si="94"/>
        <v>1602279.4775881513</v>
      </c>
    </row>
    <row r="166" spans="1:21" x14ac:dyDescent="0.25">
      <c r="A166" s="175" t="s">
        <v>139</v>
      </c>
      <c r="B166" s="11">
        <f>SUMIFS(B2:B161, $A$2:$A$161, $A$166)</f>
        <v>0</v>
      </c>
      <c r="C166" s="11">
        <f t="shared" ref="C166:U166" si="95">SUMIFS(C2:C161, $A$2:$A$161, $A$166)</f>
        <v>0</v>
      </c>
      <c r="D166" s="11">
        <f t="shared" si="95"/>
        <v>32794.750999999997</v>
      </c>
      <c r="E166" s="11">
        <f t="shared" si="95"/>
        <v>352538.26844499994</v>
      </c>
      <c r="F166" s="11">
        <f t="shared" si="95"/>
        <v>670683.0683027748</v>
      </c>
      <c r="G166" s="11">
        <f t="shared" si="95"/>
        <v>987237.14416126092</v>
      </c>
      <c r="H166" s="11">
        <f t="shared" si="95"/>
        <v>1302208.4496404547</v>
      </c>
      <c r="I166" s="11">
        <f t="shared" si="95"/>
        <v>1615604.8985922523</v>
      </c>
      <c r="J166" s="11">
        <f t="shared" si="95"/>
        <v>1927434.3652992914</v>
      </c>
      <c r="K166" s="11">
        <f t="shared" si="95"/>
        <v>2237704.6846727948</v>
      </c>
      <c r="L166" s="11">
        <f t="shared" si="95"/>
        <v>2546423.6524494309</v>
      </c>
      <c r="M166" s="11">
        <f t="shared" si="95"/>
        <v>2693645.2797871833</v>
      </c>
      <c r="N166" s="11">
        <f t="shared" si="95"/>
        <v>2840130.7989882473</v>
      </c>
      <c r="O166" s="11">
        <f t="shared" si="95"/>
        <v>2985883.8905933062</v>
      </c>
      <c r="P166" s="11">
        <f t="shared" si="95"/>
        <v>3130908.2167403391</v>
      </c>
      <c r="Q166" s="11">
        <f t="shared" si="95"/>
        <v>3275207.4212566372</v>
      </c>
      <c r="R166" s="11">
        <f t="shared" si="95"/>
        <v>3418785.1297503537</v>
      </c>
      <c r="S166" s="11">
        <f t="shared" si="95"/>
        <v>3561644.9497016026</v>
      </c>
      <c r="T166" s="11">
        <f t="shared" si="95"/>
        <v>3703790.470553095</v>
      </c>
      <c r="U166" s="11">
        <f t="shared" si="95"/>
        <v>3685271.5182003286</v>
      </c>
    </row>
    <row r="167" spans="1:21" x14ac:dyDescent="0.25">
      <c r="A167" s="175" t="s">
        <v>144</v>
      </c>
      <c r="B167" s="11">
        <f>SUMIFS(B2:B161, $A$2:$A$161, $A$167)</f>
        <v>0</v>
      </c>
      <c r="C167" s="11">
        <f t="shared" ref="C167:U167" si="96">SUMIFS(C2:C161, $A$2:$A$161, $A$167)</f>
        <v>210287.16032034397</v>
      </c>
      <c r="D167" s="11">
        <f t="shared" si="96"/>
        <v>363265.25731874222</v>
      </c>
      <c r="E167" s="11">
        <f t="shared" si="96"/>
        <v>515478.46383214853</v>
      </c>
      <c r="F167" s="11">
        <f t="shared" si="96"/>
        <v>666930.60431298777</v>
      </c>
      <c r="G167" s="11">
        <f t="shared" si="96"/>
        <v>817625.48409142275</v>
      </c>
      <c r="H167" s="11">
        <f t="shared" si="96"/>
        <v>967566.88947096583</v>
      </c>
      <c r="I167" s="11">
        <f t="shared" si="96"/>
        <v>1116758.5878236108</v>
      </c>
      <c r="J167" s="11">
        <f t="shared" si="96"/>
        <v>1265204.3276844928</v>
      </c>
      <c r="K167" s="11">
        <f t="shared" si="96"/>
        <v>1412907.83884607</v>
      </c>
      <c r="L167" s="11">
        <f t="shared" si="96"/>
        <v>1482858.0660518399</v>
      </c>
      <c r="M167" s="11">
        <f t="shared" si="96"/>
        <v>1552458.5421215808</v>
      </c>
      <c r="N167" s="11">
        <f t="shared" si="96"/>
        <v>1621711.015810973</v>
      </c>
      <c r="O167" s="11">
        <f t="shared" si="96"/>
        <v>1690617.2271319178</v>
      </c>
      <c r="P167" s="11">
        <f t="shared" si="96"/>
        <v>1759178.9073962583</v>
      </c>
      <c r="Q167" s="11">
        <f t="shared" si="96"/>
        <v>1827397.779259277</v>
      </c>
      <c r="R167" s="11">
        <f t="shared" si="96"/>
        <v>1895275.5567629808</v>
      </c>
      <c r="S167" s="11">
        <f t="shared" si="96"/>
        <v>1962813.9453791659</v>
      </c>
      <c r="T167" s="11">
        <f t="shared" si="96"/>
        <v>1952999.8756522702</v>
      </c>
      <c r="U167" s="11">
        <f t="shared" si="96"/>
        <v>1943234.8762740088</v>
      </c>
    </row>
    <row r="168" spans="1:21" x14ac:dyDescent="0.25">
      <c r="A168" s="175" t="s">
        <v>148</v>
      </c>
      <c r="B168" s="11">
        <f>SUMIFS(B2:B161, $A$2:$A$161, $A$168)</f>
        <v>0</v>
      </c>
      <c r="C168" s="11">
        <f t="shared" ref="C168:U168" si="97">SUMIFS(C2:C161, $A$2:$A$161, $A$168)</f>
        <v>0</v>
      </c>
      <c r="D168" s="11">
        <f t="shared" si="97"/>
        <v>0</v>
      </c>
      <c r="E168" s="11">
        <f t="shared" si="97"/>
        <v>47393.702399999995</v>
      </c>
      <c r="F168" s="11">
        <f t="shared" si="97"/>
        <v>94550.436287999997</v>
      </c>
      <c r="G168" s="11">
        <f t="shared" si="97"/>
        <v>141471.38650655997</v>
      </c>
      <c r="H168" s="11">
        <f t="shared" si="97"/>
        <v>188157.73197402718</v>
      </c>
      <c r="I168" s="11">
        <f t="shared" si="97"/>
        <v>234610.64571415703</v>
      </c>
      <c r="J168" s="11">
        <f t="shared" si="97"/>
        <v>280831.29488558625</v>
      </c>
      <c r="K168" s="11">
        <f t="shared" si="97"/>
        <v>326820.84081115836</v>
      </c>
      <c r="L168" s="11">
        <f t="shared" si="97"/>
        <v>372580.43900710257</v>
      </c>
      <c r="M168" s="11">
        <f t="shared" si="97"/>
        <v>394414.38801206701</v>
      </c>
      <c r="N168" s="11">
        <f t="shared" si="97"/>
        <v>416139.16727200663</v>
      </c>
      <c r="O168" s="11">
        <f t="shared" si="97"/>
        <v>437755.32263564662</v>
      </c>
      <c r="P168" s="11">
        <f t="shared" si="97"/>
        <v>459263.39722246834</v>
      </c>
      <c r="Q168" s="11">
        <f t="shared" si="97"/>
        <v>480663.9314363561</v>
      </c>
      <c r="R168" s="11">
        <f t="shared" si="97"/>
        <v>501957.46297917428</v>
      </c>
      <c r="S168" s="11">
        <f t="shared" si="97"/>
        <v>523144.52686427842</v>
      </c>
      <c r="T168" s="11">
        <f t="shared" si="97"/>
        <v>500264.72776630631</v>
      </c>
      <c r="U168" s="11">
        <f t="shared" si="97"/>
        <v>453802.47646382404</v>
      </c>
    </row>
    <row r="169" spans="1:21" x14ac:dyDescent="0.25">
      <c r="A169" s="10" t="s">
        <v>151</v>
      </c>
      <c r="B169" s="11">
        <f>SUMIFS(B2:B161, $A$2:$A$161, $A$169)</f>
        <v>0</v>
      </c>
      <c r="C169" s="11">
        <f t="shared" ref="C169:U169" si="98">SUMIFS(C2:C161, $A$2:$A$161, $A$169)</f>
        <v>82474.584510483939</v>
      </c>
      <c r="D169" s="11">
        <f t="shared" si="98"/>
        <v>289081.82142463082</v>
      </c>
      <c r="E169" s="11">
        <f t="shared" si="98"/>
        <v>494656.02215420705</v>
      </c>
      <c r="F169" s="11">
        <f t="shared" si="98"/>
        <v>699202.35188013536</v>
      </c>
      <c r="G169" s="11">
        <f t="shared" si="98"/>
        <v>902725.94995743397</v>
      </c>
      <c r="H169" s="11">
        <f t="shared" si="98"/>
        <v>1105231.930044346</v>
      </c>
      <c r="I169" s="11">
        <f t="shared" si="98"/>
        <v>1306725.380230824</v>
      </c>
      <c r="J169" s="11">
        <f t="shared" si="98"/>
        <v>1507211.363166369</v>
      </c>
      <c r="K169" s="11">
        <f t="shared" si="98"/>
        <v>1706694.9161872366</v>
      </c>
      <c r="L169" s="11">
        <f t="shared" si="98"/>
        <v>1801671.2465246499</v>
      </c>
      <c r="M169" s="11">
        <f t="shared" si="98"/>
        <v>1896172.6952103768</v>
      </c>
      <c r="N169" s="11">
        <f t="shared" si="98"/>
        <v>1990201.6366526743</v>
      </c>
      <c r="O169" s="11">
        <f t="shared" si="98"/>
        <v>2083760.4333877608</v>
      </c>
      <c r="P169" s="11">
        <f t="shared" si="98"/>
        <v>2176851.436139171</v>
      </c>
      <c r="Q169" s="11">
        <f t="shared" si="98"/>
        <v>2269476.9838768258</v>
      </c>
      <c r="R169" s="11">
        <f t="shared" si="98"/>
        <v>2285138.5385676813</v>
      </c>
      <c r="S169" s="11">
        <f t="shared" si="98"/>
        <v>2185197.684771793</v>
      </c>
      <c r="T169" s="11">
        <f t="shared" si="98"/>
        <v>1982246.730326534</v>
      </c>
      <c r="U169" s="11">
        <f t="shared" si="98"/>
        <v>1780310.5306535016</v>
      </c>
    </row>
    <row r="170" spans="1:21" x14ac:dyDescent="0.25">
      <c r="A170" s="12" t="s">
        <v>84</v>
      </c>
      <c r="B170" s="11">
        <f>SUM(B164:B169)</f>
        <v>0</v>
      </c>
      <c r="C170" s="11">
        <f t="shared" ref="C170:U170" si="99">SUM(C164:C169)</f>
        <v>397808.0692683431</v>
      </c>
      <c r="D170" s="11">
        <f>SUM(D164:D169)</f>
        <v>1150981.3031365301</v>
      </c>
      <c r="E170" s="11">
        <f t="shared" si="99"/>
        <v>2234895.113435376</v>
      </c>
      <c r="F170" s="11">
        <f t="shared" si="99"/>
        <v>3313389.3546827282</v>
      </c>
      <c r="G170" s="11">
        <f t="shared" si="99"/>
        <v>4386491.1247238424</v>
      </c>
      <c r="H170" s="11">
        <f t="shared" si="99"/>
        <v>5454227.3859147523</v>
      </c>
      <c r="I170" s="11">
        <f t="shared" si="99"/>
        <v>6516624.9657997079</v>
      </c>
      <c r="J170" s="11">
        <f t="shared" si="99"/>
        <v>7573710.5577852372</v>
      </c>
      <c r="K170" s="11">
        <f t="shared" si="99"/>
        <v>8625510.7218108401</v>
      </c>
      <c r="L170" s="11">
        <f t="shared" si="99"/>
        <v>9310868.1234090514</v>
      </c>
      <c r="M170" s="11">
        <f t="shared" si="99"/>
        <v>9809148.1411992703</v>
      </c>
      <c r="N170" s="11">
        <f t="shared" si="99"/>
        <v>10304936.758900538</v>
      </c>
      <c r="O170" s="11">
        <f t="shared" si="99"/>
        <v>10798246.433513299</v>
      </c>
      <c r="P170" s="11">
        <f t="shared" si="99"/>
        <v>11289089.559752997</v>
      </c>
      <c r="Q170" s="11">
        <f t="shared" si="99"/>
        <v>11777478.470361497</v>
      </c>
      <c r="R170" s="11">
        <f t="shared" si="99"/>
        <v>12089486.860272182</v>
      </c>
      <c r="S170" s="11">
        <f t="shared" si="99"/>
        <v>12046701.100669002</v>
      </c>
      <c r="T170" s="11">
        <f t="shared" si="99"/>
        <v>11598984.580592919</v>
      </c>
      <c r="U170" s="11">
        <f t="shared" si="99"/>
        <v>10969856.046317218</v>
      </c>
    </row>
    <row r="173" spans="1:21" x14ac:dyDescent="0.25">
      <c r="A173" s="168"/>
      <c r="B173" s="168">
        <v>2024</v>
      </c>
      <c r="C173" s="168">
        <f>C163</f>
        <v>2025</v>
      </c>
      <c r="D173" s="168">
        <f t="shared" ref="D173:U173" si="100">D163</f>
        <v>2026</v>
      </c>
      <c r="E173" s="168">
        <f t="shared" si="100"/>
        <v>2027</v>
      </c>
      <c r="F173" s="168">
        <f t="shared" si="100"/>
        <v>2028</v>
      </c>
      <c r="G173" s="168">
        <f t="shared" si="100"/>
        <v>2029</v>
      </c>
      <c r="H173" s="168">
        <f t="shared" si="100"/>
        <v>2030</v>
      </c>
      <c r="I173" s="168">
        <f t="shared" si="100"/>
        <v>2031</v>
      </c>
      <c r="J173" s="168">
        <f t="shared" si="100"/>
        <v>2032</v>
      </c>
      <c r="K173" s="168">
        <f t="shared" si="100"/>
        <v>2033</v>
      </c>
      <c r="L173" s="168">
        <f t="shared" si="100"/>
        <v>2034</v>
      </c>
      <c r="M173" s="168">
        <f t="shared" si="100"/>
        <v>2035</v>
      </c>
      <c r="N173" s="168">
        <f t="shared" si="100"/>
        <v>2036</v>
      </c>
      <c r="O173" s="168">
        <f t="shared" si="100"/>
        <v>2037</v>
      </c>
      <c r="P173" s="168">
        <f t="shared" si="100"/>
        <v>2038</v>
      </c>
      <c r="Q173" s="168">
        <f t="shared" si="100"/>
        <v>2039</v>
      </c>
      <c r="R173" s="168">
        <f t="shared" si="100"/>
        <v>2040</v>
      </c>
      <c r="S173" s="168">
        <f t="shared" si="100"/>
        <v>2041</v>
      </c>
      <c r="T173" s="168">
        <f t="shared" si="100"/>
        <v>2042</v>
      </c>
      <c r="U173" s="168">
        <f t="shared" si="100"/>
        <v>2043</v>
      </c>
    </row>
    <row r="174" spans="1:21" x14ac:dyDescent="0.25">
      <c r="A174" s="168" t="s">
        <v>167</v>
      </c>
      <c r="B174" s="274">
        <f>B170</f>
        <v>0</v>
      </c>
      <c r="C174" s="274">
        <f>C$8</f>
        <v>0</v>
      </c>
      <c r="D174" s="274">
        <f t="shared" ref="D174:U174" si="101">D$8</f>
        <v>0</v>
      </c>
      <c r="E174" s="274">
        <f t="shared" si="101"/>
        <v>0</v>
      </c>
      <c r="F174" s="274">
        <f t="shared" si="101"/>
        <v>0</v>
      </c>
      <c r="G174" s="274">
        <f t="shared" si="101"/>
        <v>0</v>
      </c>
      <c r="H174" s="274">
        <f t="shared" si="101"/>
        <v>0</v>
      </c>
      <c r="I174" s="274">
        <f t="shared" si="101"/>
        <v>0</v>
      </c>
      <c r="J174" s="274">
        <f t="shared" si="101"/>
        <v>0</v>
      </c>
      <c r="K174" s="274">
        <f t="shared" si="101"/>
        <v>0</v>
      </c>
      <c r="L174" s="274">
        <f t="shared" si="101"/>
        <v>0</v>
      </c>
      <c r="M174" s="274">
        <f t="shared" si="101"/>
        <v>0</v>
      </c>
      <c r="N174" s="274">
        <f t="shared" si="101"/>
        <v>0</v>
      </c>
      <c r="O174" s="274">
        <f t="shared" si="101"/>
        <v>0</v>
      </c>
      <c r="P174" s="274">
        <f t="shared" si="101"/>
        <v>0</v>
      </c>
      <c r="Q174" s="274">
        <f t="shared" si="101"/>
        <v>0</v>
      </c>
      <c r="R174" s="274">
        <f t="shared" si="101"/>
        <v>0</v>
      </c>
      <c r="S174" s="274">
        <f t="shared" si="101"/>
        <v>0</v>
      </c>
      <c r="T174" s="274">
        <f t="shared" si="101"/>
        <v>0</v>
      </c>
      <c r="U174" s="274">
        <f t="shared" si="101"/>
        <v>0</v>
      </c>
    </row>
    <row r="175" spans="1:21" x14ac:dyDescent="0.25">
      <c r="A175" s="168" t="s">
        <v>88</v>
      </c>
      <c r="B175" s="274">
        <f>B17+B26</f>
        <v>0</v>
      </c>
      <c r="C175" s="274">
        <f>C17+C26</f>
        <v>397808.0692683431</v>
      </c>
      <c r="D175" s="274">
        <f>D17+D26</f>
        <v>1150981.3031365303</v>
      </c>
      <c r="E175" s="274">
        <f t="shared" ref="E175:U175" si="102">E17+E26</f>
        <v>1512527.5902208472</v>
      </c>
      <c r="F175" s="274">
        <f t="shared" si="102"/>
        <v>1504964.9522697432</v>
      </c>
      <c r="G175" s="274">
        <f t="shared" si="102"/>
        <v>1497440.1275083944</v>
      </c>
      <c r="H175" s="274">
        <f t="shared" si="102"/>
        <v>1489952.9268708525</v>
      </c>
      <c r="I175" s="274">
        <f t="shared" si="102"/>
        <v>1482503.1622364984</v>
      </c>
      <c r="J175" s="274">
        <f t="shared" si="102"/>
        <v>1475090.6464253156</v>
      </c>
      <c r="K175" s="274">
        <f t="shared" si="102"/>
        <v>1467715.1931931893</v>
      </c>
      <c r="L175" s="274">
        <f t="shared" si="102"/>
        <v>1460376.6172272235</v>
      </c>
      <c r="M175" s="274">
        <f t="shared" si="102"/>
        <v>1453074.7341410869</v>
      </c>
      <c r="N175" s="274">
        <f t="shared" si="102"/>
        <v>1445809.3604703816</v>
      </c>
      <c r="O175" s="274">
        <f t="shared" si="102"/>
        <v>1438580.3136680298</v>
      </c>
      <c r="P175" s="274">
        <f t="shared" si="102"/>
        <v>1431387.4120996895</v>
      </c>
      <c r="Q175" s="274">
        <f t="shared" si="102"/>
        <v>1424230.4750391911</v>
      </c>
      <c r="R175" s="274">
        <f t="shared" si="102"/>
        <v>1243170.746519224</v>
      </c>
      <c r="S175" s="274">
        <f t="shared" si="102"/>
        <v>709782.20907754276</v>
      </c>
      <c r="T175" s="274">
        <f t="shared" si="102"/>
        <v>662272.37036850443</v>
      </c>
      <c r="U175" s="274">
        <f t="shared" si="102"/>
        <v>658961.00851666182</v>
      </c>
    </row>
    <row r="176" spans="1:21" x14ac:dyDescent="0.25">
      <c r="A176" s="168" t="s">
        <v>89</v>
      </c>
      <c r="B176" s="274">
        <f>B35+B44</f>
        <v>0</v>
      </c>
      <c r="C176" s="274">
        <f>C35+C44</f>
        <v>0</v>
      </c>
      <c r="D176" s="274">
        <f t="shared" ref="D176:U176" si="103">D35+D44</f>
        <v>0</v>
      </c>
      <c r="E176" s="274">
        <f t="shared" si="103"/>
        <v>722367.5232145288</v>
      </c>
      <c r="F176" s="274">
        <f t="shared" si="103"/>
        <v>1808424.4024129848</v>
      </c>
      <c r="G176" s="274">
        <f t="shared" si="103"/>
        <v>2166683.4740009196</v>
      </c>
      <c r="H176" s="274">
        <f t="shared" si="103"/>
        <v>2155850.056630915</v>
      </c>
      <c r="I176" s="274">
        <f t="shared" si="103"/>
        <v>2145070.8063477604</v>
      </c>
      <c r="J176" s="274">
        <f t="shared" si="103"/>
        <v>2134345.452316022</v>
      </c>
      <c r="K176" s="274">
        <f t="shared" si="103"/>
        <v>2123673.725054442</v>
      </c>
      <c r="L176" s="274">
        <f t="shared" si="103"/>
        <v>2113055.3564291699</v>
      </c>
      <c r="M176" s="274">
        <f t="shared" si="103"/>
        <v>2102490.0796470242</v>
      </c>
      <c r="N176" s="274">
        <f t="shared" si="103"/>
        <v>2091977.6292487886</v>
      </c>
      <c r="O176" s="274">
        <f t="shared" si="103"/>
        <v>2081517.7411025446</v>
      </c>
      <c r="P176" s="274">
        <f t="shared" si="103"/>
        <v>2071110.1523970319</v>
      </c>
      <c r="Q176" s="274">
        <f t="shared" si="103"/>
        <v>2060754.6016350468</v>
      </c>
      <c r="R176" s="274">
        <f t="shared" si="103"/>
        <v>2050450.8286268716</v>
      </c>
      <c r="S176" s="274">
        <f t="shared" si="103"/>
        <v>2040198.5744837371</v>
      </c>
      <c r="T176" s="274">
        <f t="shared" si="103"/>
        <v>1502824.8979022333</v>
      </c>
      <c r="U176" s="274">
        <f t="shared" si="103"/>
        <v>924177.16203998635</v>
      </c>
    </row>
    <row r="177" spans="1:21" x14ac:dyDescent="0.25">
      <c r="A177" s="168" t="s">
        <v>90</v>
      </c>
      <c r="B177" s="274">
        <f>B53+B62</f>
        <v>0</v>
      </c>
      <c r="C177" s="274">
        <f>C53+C62</f>
        <v>0</v>
      </c>
      <c r="D177" s="274">
        <f t="shared" ref="D177:U177" si="104">D53+D62</f>
        <v>0</v>
      </c>
      <c r="E177" s="274">
        <f t="shared" si="104"/>
        <v>0</v>
      </c>
      <c r="F177" s="274">
        <f t="shared" si="104"/>
        <v>0</v>
      </c>
      <c r="G177" s="274">
        <f t="shared" si="104"/>
        <v>722367.5232145288</v>
      </c>
      <c r="H177" s="274">
        <f t="shared" si="104"/>
        <v>1808424.4024129848</v>
      </c>
      <c r="I177" s="274">
        <f t="shared" si="104"/>
        <v>2166683.4740009196</v>
      </c>
      <c r="J177" s="274">
        <f t="shared" si="104"/>
        <v>2155850.056630915</v>
      </c>
      <c r="K177" s="274">
        <f t="shared" si="104"/>
        <v>2145070.8063477604</v>
      </c>
      <c r="L177" s="274">
        <f t="shared" si="104"/>
        <v>2134345.452316022</v>
      </c>
      <c r="M177" s="274">
        <f t="shared" si="104"/>
        <v>2123673.725054442</v>
      </c>
      <c r="N177" s="274">
        <f t="shared" si="104"/>
        <v>2113055.3564291699</v>
      </c>
      <c r="O177" s="274">
        <f t="shared" si="104"/>
        <v>2102490.0796470242</v>
      </c>
      <c r="P177" s="274">
        <f t="shared" si="104"/>
        <v>2091977.6292487886</v>
      </c>
      <c r="Q177" s="274">
        <f t="shared" si="104"/>
        <v>2081517.7411025446</v>
      </c>
      <c r="R177" s="274">
        <f t="shared" si="104"/>
        <v>2071110.1523970319</v>
      </c>
      <c r="S177" s="274">
        <f t="shared" si="104"/>
        <v>2060754.6016350468</v>
      </c>
      <c r="T177" s="274">
        <f t="shared" si="104"/>
        <v>2050450.8286268716</v>
      </c>
      <c r="U177" s="274">
        <f t="shared" si="104"/>
        <v>2040198.5744837371</v>
      </c>
    </row>
    <row r="178" spans="1:21" x14ac:dyDescent="0.25">
      <c r="A178" s="168" t="s">
        <v>91</v>
      </c>
      <c r="B178" s="274">
        <f>B71+B80</f>
        <v>0</v>
      </c>
      <c r="C178" s="274">
        <f>C71+C80</f>
        <v>0</v>
      </c>
      <c r="D178" s="274">
        <f t="shared" ref="D178:U178" si="105">D71+D80</f>
        <v>0</v>
      </c>
      <c r="E178" s="274">
        <f t="shared" si="105"/>
        <v>0</v>
      </c>
      <c r="F178" s="274">
        <f t="shared" si="105"/>
        <v>0</v>
      </c>
      <c r="G178" s="274">
        <f t="shared" si="105"/>
        <v>0</v>
      </c>
      <c r="H178" s="274">
        <f t="shared" si="105"/>
        <v>0</v>
      </c>
      <c r="I178" s="274">
        <f t="shared" si="105"/>
        <v>722367.5232145288</v>
      </c>
      <c r="J178" s="274">
        <f t="shared" si="105"/>
        <v>1808424.4024129848</v>
      </c>
      <c r="K178" s="274">
        <f t="shared" si="105"/>
        <v>2166683.4740009196</v>
      </c>
      <c r="L178" s="274">
        <f t="shared" si="105"/>
        <v>2155850.056630915</v>
      </c>
      <c r="M178" s="274">
        <f t="shared" si="105"/>
        <v>2145070.8063477604</v>
      </c>
      <c r="N178" s="274">
        <f t="shared" si="105"/>
        <v>2134345.452316022</v>
      </c>
      <c r="O178" s="274">
        <f t="shared" si="105"/>
        <v>2123673.725054442</v>
      </c>
      <c r="P178" s="274">
        <f t="shared" si="105"/>
        <v>2113055.3564291699</v>
      </c>
      <c r="Q178" s="274">
        <f t="shared" si="105"/>
        <v>2102490.0796470242</v>
      </c>
      <c r="R178" s="274">
        <f t="shared" si="105"/>
        <v>2091977.6292487886</v>
      </c>
      <c r="S178" s="274">
        <f t="shared" si="105"/>
        <v>2081517.7411025446</v>
      </c>
      <c r="T178" s="274">
        <f t="shared" si="105"/>
        <v>2071110.1523970319</v>
      </c>
      <c r="U178" s="274">
        <f t="shared" si="105"/>
        <v>2060754.6016350468</v>
      </c>
    </row>
    <row r="179" spans="1:21" x14ac:dyDescent="0.25">
      <c r="A179" s="168" t="s">
        <v>92</v>
      </c>
      <c r="B179" s="274">
        <f>B89+B98</f>
        <v>0</v>
      </c>
      <c r="C179" s="274">
        <f>C89+C98</f>
        <v>0</v>
      </c>
      <c r="D179" s="274">
        <f t="shared" ref="D179:U179" si="106">D89+D98</f>
        <v>0</v>
      </c>
      <c r="E179" s="274">
        <f t="shared" si="106"/>
        <v>0</v>
      </c>
      <c r="F179" s="274">
        <f t="shared" si="106"/>
        <v>0</v>
      </c>
      <c r="G179" s="274">
        <f t="shared" si="106"/>
        <v>0</v>
      </c>
      <c r="H179" s="274">
        <f t="shared" si="106"/>
        <v>0</v>
      </c>
      <c r="I179" s="274">
        <f t="shared" si="106"/>
        <v>0</v>
      </c>
      <c r="J179" s="274">
        <f t="shared" si="106"/>
        <v>0</v>
      </c>
      <c r="K179" s="274">
        <f t="shared" si="106"/>
        <v>722367.5232145288</v>
      </c>
      <c r="L179" s="274">
        <f t="shared" si="106"/>
        <v>1447240.6408057204</v>
      </c>
      <c r="M179" s="274">
        <f t="shared" si="106"/>
        <v>1623655.034401692</v>
      </c>
      <c r="N179" s="274">
        <f t="shared" si="106"/>
        <v>1615536.7592296833</v>
      </c>
      <c r="O179" s="274">
        <f t="shared" si="106"/>
        <v>1607459.075433535</v>
      </c>
      <c r="P179" s="274">
        <f t="shared" si="106"/>
        <v>1599421.7800563674</v>
      </c>
      <c r="Q179" s="274">
        <f t="shared" si="106"/>
        <v>1591424.6711560856</v>
      </c>
      <c r="R179" s="274">
        <f t="shared" si="106"/>
        <v>1583467.5478003051</v>
      </c>
      <c r="S179" s="274">
        <f t="shared" si="106"/>
        <v>1575550.2100613038</v>
      </c>
      <c r="T179" s="274">
        <f t="shared" si="106"/>
        <v>1567672.4590109969</v>
      </c>
      <c r="U179" s="274">
        <f t="shared" si="106"/>
        <v>1559834.096715942</v>
      </c>
    </row>
    <row r="180" spans="1:21" x14ac:dyDescent="0.25">
      <c r="A180" s="168" t="s">
        <v>93</v>
      </c>
      <c r="B180" s="274">
        <f>B107+B116</f>
        <v>0</v>
      </c>
      <c r="C180" s="274">
        <f>C107+C116</f>
        <v>0</v>
      </c>
      <c r="D180" s="274">
        <f t="shared" ref="D180:U180" si="107">D107+D116</f>
        <v>0</v>
      </c>
      <c r="E180" s="274">
        <f t="shared" si="107"/>
        <v>0</v>
      </c>
      <c r="F180" s="274">
        <f t="shared" si="107"/>
        <v>0</v>
      </c>
      <c r="G180" s="274">
        <f t="shared" si="107"/>
        <v>0</v>
      </c>
      <c r="H180" s="274">
        <f t="shared" si="107"/>
        <v>0</v>
      </c>
      <c r="I180" s="274">
        <f t="shared" si="107"/>
        <v>0</v>
      </c>
      <c r="J180" s="274">
        <f t="shared" si="107"/>
        <v>0</v>
      </c>
      <c r="K180" s="274">
        <f t="shared" si="107"/>
        <v>0</v>
      </c>
      <c r="L180" s="274">
        <f t="shared" si="107"/>
        <v>0</v>
      </c>
      <c r="M180" s="274">
        <f t="shared" si="107"/>
        <v>361183.7616072644</v>
      </c>
      <c r="N180" s="274">
        <f t="shared" si="107"/>
        <v>904212.20120649238</v>
      </c>
      <c r="O180" s="274">
        <f t="shared" si="107"/>
        <v>1083341.7370004598</v>
      </c>
      <c r="P180" s="274">
        <f t="shared" si="107"/>
        <v>1077925.0283154575</v>
      </c>
      <c r="Q180" s="274">
        <f t="shared" si="107"/>
        <v>1072535.4031738802</v>
      </c>
      <c r="R180" s="274">
        <f t="shared" si="107"/>
        <v>1067172.726158011</v>
      </c>
      <c r="S180" s="274">
        <f t="shared" si="107"/>
        <v>1061836.862527221</v>
      </c>
      <c r="T180" s="274">
        <f t="shared" si="107"/>
        <v>1056527.6782145849</v>
      </c>
      <c r="U180" s="274">
        <f t="shared" si="107"/>
        <v>1051245.0398235121</v>
      </c>
    </row>
    <row r="181" spans="1:21" x14ac:dyDescent="0.25">
      <c r="A181" s="168" t="s">
        <v>94</v>
      </c>
      <c r="B181" s="274">
        <f t="shared" ref="B181:U181" si="108">B125+B134</f>
        <v>0</v>
      </c>
      <c r="C181" s="274">
        <f t="shared" si="108"/>
        <v>0</v>
      </c>
      <c r="D181" s="274">
        <f t="shared" si="108"/>
        <v>0</v>
      </c>
      <c r="E181" s="274">
        <f t="shared" si="108"/>
        <v>0</v>
      </c>
      <c r="F181" s="274">
        <f t="shared" si="108"/>
        <v>0</v>
      </c>
      <c r="G181" s="274">
        <f t="shared" si="108"/>
        <v>0</v>
      </c>
      <c r="H181" s="274">
        <f t="shared" si="108"/>
        <v>0</v>
      </c>
      <c r="I181" s="274">
        <f t="shared" si="108"/>
        <v>0</v>
      </c>
      <c r="J181" s="274">
        <f t="shared" si="108"/>
        <v>0</v>
      </c>
      <c r="K181" s="274">
        <f t="shared" si="108"/>
        <v>0</v>
      </c>
      <c r="L181" s="274">
        <f t="shared" si="108"/>
        <v>0</v>
      </c>
      <c r="M181" s="274">
        <f t="shared" si="108"/>
        <v>0</v>
      </c>
      <c r="N181" s="274">
        <f t="shared" si="108"/>
        <v>0</v>
      </c>
      <c r="O181" s="274">
        <f t="shared" si="108"/>
        <v>361183.7616072644</v>
      </c>
      <c r="P181" s="274">
        <f t="shared" si="108"/>
        <v>904212.20120649238</v>
      </c>
      <c r="Q181" s="274">
        <f t="shared" si="108"/>
        <v>1083341.7370004598</v>
      </c>
      <c r="R181" s="274">
        <f t="shared" si="108"/>
        <v>1077925.0283154575</v>
      </c>
      <c r="S181" s="274">
        <f t="shared" si="108"/>
        <v>1072535.4031738802</v>
      </c>
      <c r="T181" s="274">
        <f t="shared" si="108"/>
        <v>1067172.726158011</v>
      </c>
      <c r="U181" s="274">
        <f t="shared" si="108"/>
        <v>1061836.862527221</v>
      </c>
    </row>
    <row r="182" spans="1:21" x14ac:dyDescent="0.25">
      <c r="A182" s="168" t="s">
        <v>95</v>
      </c>
      <c r="B182" s="274">
        <f>B143+B152</f>
        <v>0</v>
      </c>
      <c r="C182" s="274">
        <f>C143+C152</f>
        <v>0</v>
      </c>
      <c r="D182" s="274">
        <f t="shared" ref="D182:U182" si="109">D143+D152</f>
        <v>0</v>
      </c>
      <c r="E182" s="274">
        <f t="shared" si="109"/>
        <v>0</v>
      </c>
      <c r="F182" s="274">
        <f t="shared" si="109"/>
        <v>0</v>
      </c>
      <c r="G182" s="274">
        <f t="shared" si="109"/>
        <v>0</v>
      </c>
      <c r="H182" s="274">
        <f t="shared" si="109"/>
        <v>0</v>
      </c>
      <c r="I182" s="274">
        <f t="shared" si="109"/>
        <v>0</v>
      </c>
      <c r="J182" s="274">
        <f t="shared" si="109"/>
        <v>0</v>
      </c>
      <c r="K182" s="274">
        <f t="shared" si="109"/>
        <v>0</v>
      </c>
      <c r="L182" s="274">
        <f t="shared" si="109"/>
        <v>0</v>
      </c>
      <c r="M182" s="274">
        <f t="shared" si="109"/>
        <v>0</v>
      </c>
      <c r="N182" s="274">
        <f t="shared" si="109"/>
        <v>0</v>
      </c>
      <c r="O182" s="274">
        <f t="shared" si="109"/>
        <v>0</v>
      </c>
      <c r="P182" s="274">
        <f t="shared" si="109"/>
        <v>0</v>
      </c>
      <c r="Q182" s="274">
        <f t="shared" si="109"/>
        <v>361183.7616072644</v>
      </c>
      <c r="R182" s="274">
        <f t="shared" si="109"/>
        <v>904212.20120649238</v>
      </c>
      <c r="S182" s="274">
        <f t="shared" si="109"/>
        <v>1083341.7370004598</v>
      </c>
      <c r="T182" s="274">
        <f t="shared" si="109"/>
        <v>1077925.0283154575</v>
      </c>
      <c r="U182" s="274">
        <f t="shared" si="109"/>
        <v>1072535.4031738802</v>
      </c>
    </row>
    <row r="183" spans="1:21" x14ac:dyDescent="0.25">
      <c r="A183" s="168" t="s">
        <v>96</v>
      </c>
      <c r="B183" s="274">
        <f>B161*2</f>
        <v>0</v>
      </c>
      <c r="C183" s="274">
        <f>C161*2</f>
        <v>0</v>
      </c>
      <c r="D183" s="274">
        <f t="shared" ref="D183:U183" si="110">D161*2</f>
        <v>0</v>
      </c>
      <c r="E183" s="274">
        <f t="shared" si="110"/>
        <v>0</v>
      </c>
      <c r="F183" s="274">
        <f t="shared" si="110"/>
        <v>0</v>
      </c>
      <c r="G183" s="274">
        <f t="shared" si="110"/>
        <v>0</v>
      </c>
      <c r="H183" s="274">
        <f t="shared" si="110"/>
        <v>0</v>
      </c>
      <c r="I183" s="274">
        <f t="shared" si="110"/>
        <v>0</v>
      </c>
      <c r="J183" s="274">
        <f t="shared" si="110"/>
        <v>0</v>
      </c>
      <c r="K183" s="274">
        <f t="shared" si="110"/>
        <v>0</v>
      </c>
      <c r="L183" s="274">
        <f t="shared" si="110"/>
        <v>0</v>
      </c>
      <c r="M183" s="274">
        <f t="shared" si="110"/>
        <v>0</v>
      </c>
      <c r="N183" s="274">
        <f t="shared" si="110"/>
        <v>0</v>
      </c>
      <c r="O183" s="274">
        <f t="shared" si="110"/>
        <v>0</v>
      </c>
      <c r="P183" s="274">
        <f t="shared" si="110"/>
        <v>0</v>
      </c>
      <c r="Q183" s="274">
        <f t="shared" si="110"/>
        <v>0</v>
      </c>
      <c r="R183" s="274">
        <f t="shared" si="110"/>
        <v>0</v>
      </c>
      <c r="S183" s="274">
        <f t="shared" si="110"/>
        <v>722367.5232145288</v>
      </c>
      <c r="T183" s="274">
        <f t="shared" si="110"/>
        <v>1086056.879198456</v>
      </c>
      <c r="U183" s="274">
        <f t="shared" si="110"/>
        <v>1080626.5948024639</v>
      </c>
    </row>
  </sheetData>
  <printOptions horizontalCentered="1" verticalCentered="1"/>
  <pageMargins left="0.7" right="0.7" top="0.75" bottom="0.75" header="0.3" footer="0.3"/>
  <pageSetup scale="42" fitToHeight="3" orientation="landscape" r:id="rId1"/>
  <headerFooter>
    <oddHeader>&amp;A</oddHeader>
  </headerFooter>
  <rowBreaks count="1" manualBreakCount="1">
    <brk id="44" max="16383" man="1"/>
  </rowBreaks>
  <customProperties>
    <customPr name="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76085-826D-4141-AB7F-626D98B67713}">
  <sheetPr>
    <tabColor theme="7" tint="0.59999389629810485"/>
    <pageSetUpPr fitToPage="1"/>
  </sheetPr>
  <dimension ref="A1:U205"/>
  <sheetViews>
    <sheetView zoomScaleNormal="100" workbookViewId="0">
      <selection activeCell="D177" sqref="D177"/>
    </sheetView>
  </sheetViews>
  <sheetFormatPr defaultColWidth="8.5703125" defaultRowHeight="15" x14ac:dyDescent="0.25"/>
  <cols>
    <col min="1" max="1" width="45.140625" style="17" bestFit="1" customWidth="1"/>
    <col min="2" max="2" width="14.42578125" style="17" customWidth="1"/>
    <col min="3" max="4" width="16.5703125" style="17" bestFit="1" customWidth="1"/>
    <col min="5" max="7" width="17" style="17" bestFit="1" customWidth="1"/>
    <col min="8" max="8" width="16.5703125" style="17" bestFit="1" customWidth="1"/>
    <col min="9" max="10" width="17" style="17" bestFit="1" customWidth="1"/>
    <col min="11" max="11" width="16.5703125" style="17" bestFit="1" customWidth="1"/>
    <col min="12" max="12" width="17" style="17" bestFit="1" customWidth="1"/>
    <col min="13" max="13" width="16.5703125" style="17" bestFit="1" customWidth="1"/>
    <col min="14" max="15" width="17" style="17" bestFit="1" customWidth="1"/>
    <col min="16" max="16" width="16.5703125" style="17" bestFit="1" customWidth="1"/>
    <col min="17" max="17" width="16.42578125" style="17" bestFit="1" customWidth="1"/>
    <col min="18" max="20" width="17" style="17" bestFit="1" customWidth="1"/>
    <col min="21" max="21" width="15.42578125" style="17" bestFit="1" customWidth="1"/>
    <col min="22" max="26" width="13.5703125" style="17" bestFit="1" customWidth="1"/>
    <col min="27" max="34" width="8.5703125" style="17"/>
    <col min="35" max="35" width="8.5703125" style="17" customWidth="1"/>
    <col min="36" max="16382" width="8.5703125" style="17"/>
    <col min="16383" max="16384" width="8.5703125" style="17" bestFit="1"/>
  </cols>
  <sheetData>
    <row r="1" spans="1:21" ht="15.75" x14ac:dyDescent="0.25">
      <c r="A1" s="68">
        <v>2023</v>
      </c>
      <c r="B1" s="68">
        <v>2024</v>
      </c>
      <c r="C1" s="208">
        <v>2025</v>
      </c>
      <c r="D1" s="208">
        <v>2026</v>
      </c>
      <c r="E1" s="208">
        <v>2027</v>
      </c>
      <c r="F1" s="208">
        <v>2028</v>
      </c>
      <c r="G1" s="208">
        <v>2029</v>
      </c>
      <c r="H1" s="208">
        <v>2030</v>
      </c>
      <c r="I1" s="208">
        <v>2031</v>
      </c>
      <c r="J1" s="208">
        <v>2032</v>
      </c>
      <c r="K1" s="208">
        <v>2033</v>
      </c>
      <c r="L1" s="208">
        <v>2034</v>
      </c>
      <c r="M1" s="208">
        <v>2035</v>
      </c>
      <c r="N1" s="208">
        <v>2036</v>
      </c>
      <c r="O1" s="208">
        <v>2037</v>
      </c>
      <c r="P1" s="208">
        <v>2038</v>
      </c>
      <c r="Q1" s="208">
        <v>2039</v>
      </c>
      <c r="R1" s="208">
        <v>2040</v>
      </c>
      <c r="S1" s="208">
        <v>2041</v>
      </c>
      <c r="T1" s="208">
        <v>2042</v>
      </c>
      <c r="U1" s="208">
        <v>2043</v>
      </c>
    </row>
    <row r="2" spans="1:21" x14ac:dyDescent="0.25">
      <c r="A2" s="155" t="s">
        <v>124</v>
      </c>
      <c r="B2" s="155">
        <v>0</v>
      </c>
      <c r="C2" s="157"/>
      <c r="D2" s="157"/>
      <c r="E2" s="157"/>
      <c r="F2" s="157"/>
      <c r="G2" s="157"/>
      <c r="H2" s="157"/>
      <c r="I2" s="157"/>
      <c r="J2" s="157"/>
      <c r="K2" s="157"/>
      <c r="L2" s="157"/>
      <c r="M2" s="157"/>
      <c r="N2" s="157"/>
      <c r="O2" s="157"/>
      <c r="P2" s="157"/>
      <c r="Q2" s="157"/>
      <c r="R2" s="157"/>
      <c r="S2" s="157"/>
      <c r="T2" s="157"/>
      <c r="U2" s="157"/>
    </row>
    <row r="3" spans="1:21" x14ac:dyDescent="0.25">
      <c r="A3" s="155" t="s">
        <v>130</v>
      </c>
      <c r="B3" s="157">
        <v>0</v>
      </c>
      <c r="C3" s="157">
        <v>0</v>
      </c>
      <c r="D3" s="157">
        <f>C3</f>
        <v>0</v>
      </c>
      <c r="E3" s="157">
        <f>D3</f>
        <v>0</v>
      </c>
      <c r="F3" s="157">
        <f>E3</f>
        <v>0</v>
      </c>
      <c r="G3" s="157">
        <f>F3</f>
        <v>0</v>
      </c>
      <c r="H3" s="157">
        <f>G3</f>
        <v>0</v>
      </c>
      <c r="J3" s="157"/>
      <c r="K3" s="157"/>
      <c r="L3" s="157"/>
      <c r="M3" s="157"/>
      <c r="N3" s="157"/>
      <c r="O3" s="157"/>
      <c r="P3" s="157"/>
      <c r="Q3" s="157"/>
      <c r="R3" s="157"/>
      <c r="S3" s="157"/>
      <c r="T3" s="157"/>
      <c r="U3" s="157"/>
    </row>
    <row r="4" spans="1:21" x14ac:dyDescent="0.25">
      <c r="A4" s="155" t="s">
        <v>139</v>
      </c>
      <c r="B4" s="155">
        <v>0</v>
      </c>
      <c r="C4" s="157">
        <v>0</v>
      </c>
      <c r="D4" s="157">
        <f>C4*0.995</f>
        <v>0</v>
      </c>
      <c r="E4" s="157">
        <f t="shared" ref="E4:U4" si="0">D4*0.995</f>
        <v>0</v>
      </c>
      <c r="F4" s="157">
        <f t="shared" si="0"/>
        <v>0</v>
      </c>
      <c r="G4" s="157">
        <f t="shared" si="0"/>
        <v>0</v>
      </c>
      <c r="H4" s="157">
        <f t="shared" si="0"/>
        <v>0</v>
      </c>
      <c r="I4" s="157">
        <f t="shared" si="0"/>
        <v>0</v>
      </c>
      <c r="J4" s="157">
        <f t="shared" si="0"/>
        <v>0</v>
      </c>
      <c r="K4" s="157">
        <f t="shared" si="0"/>
        <v>0</v>
      </c>
      <c r="L4" s="157">
        <f t="shared" si="0"/>
        <v>0</v>
      </c>
      <c r="M4" s="157">
        <f t="shared" si="0"/>
        <v>0</v>
      </c>
      <c r="N4" s="157">
        <f t="shared" si="0"/>
        <v>0</v>
      </c>
      <c r="O4" s="157">
        <f t="shared" si="0"/>
        <v>0</v>
      </c>
      <c r="P4" s="157">
        <f t="shared" si="0"/>
        <v>0</v>
      </c>
      <c r="Q4" s="157">
        <f t="shared" si="0"/>
        <v>0</v>
      </c>
      <c r="R4" s="157">
        <f t="shared" si="0"/>
        <v>0</v>
      </c>
      <c r="S4" s="157">
        <f t="shared" si="0"/>
        <v>0</v>
      </c>
      <c r="T4" s="157">
        <f t="shared" si="0"/>
        <v>0</v>
      </c>
      <c r="U4" s="157">
        <f t="shared" si="0"/>
        <v>0</v>
      </c>
    </row>
    <row r="5" spans="1:21" x14ac:dyDescent="0.25">
      <c r="A5" s="155" t="s">
        <v>144</v>
      </c>
      <c r="B5" s="155">
        <v>0</v>
      </c>
      <c r="C5" s="157">
        <v>0</v>
      </c>
      <c r="D5" s="157">
        <f>C5*0.995</f>
        <v>0</v>
      </c>
      <c r="E5" s="157">
        <f>D5*0.995</f>
        <v>0</v>
      </c>
      <c r="F5" s="157">
        <f t="shared" ref="F5:U5" si="1">E5*0.995</f>
        <v>0</v>
      </c>
      <c r="G5" s="157">
        <f t="shared" si="1"/>
        <v>0</v>
      </c>
      <c r="H5" s="157">
        <f t="shared" si="1"/>
        <v>0</v>
      </c>
      <c r="I5" s="157">
        <f t="shared" si="1"/>
        <v>0</v>
      </c>
      <c r="J5" s="157">
        <f t="shared" si="1"/>
        <v>0</v>
      </c>
      <c r="K5" s="157">
        <f t="shared" si="1"/>
        <v>0</v>
      </c>
      <c r="L5" s="157">
        <f t="shared" si="1"/>
        <v>0</v>
      </c>
      <c r="M5" s="157">
        <f t="shared" si="1"/>
        <v>0</v>
      </c>
      <c r="N5" s="157">
        <f t="shared" si="1"/>
        <v>0</v>
      </c>
      <c r="O5" s="157">
        <f t="shared" si="1"/>
        <v>0</v>
      </c>
      <c r="P5" s="157">
        <f t="shared" si="1"/>
        <v>0</v>
      </c>
      <c r="Q5" s="157">
        <f t="shared" si="1"/>
        <v>0</v>
      </c>
      <c r="R5" s="157">
        <f t="shared" si="1"/>
        <v>0</v>
      </c>
      <c r="S5" s="157">
        <f t="shared" si="1"/>
        <v>0</v>
      </c>
      <c r="T5" s="157">
        <f t="shared" si="1"/>
        <v>0</v>
      </c>
      <c r="U5" s="157">
        <f t="shared" si="1"/>
        <v>0</v>
      </c>
    </row>
    <row r="6" spans="1:21" x14ac:dyDescent="0.25">
      <c r="A6" s="155" t="s">
        <v>148</v>
      </c>
      <c r="B6" s="157">
        <v>0</v>
      </c>
      <c r="C6" s="157">
        <v>0</v>
      </c>
      <c r="D6" s="157">
        <f>C6</f>
        <v>0</v>
      </c>
      <c r="E6" s="157">
        <f t="shared" ref="D6:H7" si="2">D6</f>
        <v>0</v>
      </c>
      <c r="F6" s="157">
        <f t="shared" si="2"/>
        <v>0</v>
      </c>
      <c r="G6" s="157">
        <f t="shared" si="2"/>
        <v>0</v>
      </c>
      <c r="H6" s="157">
        <f t="shared" si="2"/>
        <v>0</v>
      </c>
      <c r="I6" s="157"/>
      <c r="J6" s="157"/>
      <c r="K6" s="157"/>
      <c r="L6" s="157"/>
      <c r="M6" s="157"/>
      <c r="N6" s="157"/>
      <c r="O6" s="157"/>
      <c r="P6" s="157"/>
      <c r="Q6" s="157"/>
      <c r="R6" s="157"/>
      <c r="S6" s="157"/>
      <c r="T6" s="157"/>
      <c r="U6" s="157"/>
    </row>
    <row r="7" spans="1:21" x14ac:dyDescent="0.25">
      <c r="A7" s="155" t="s">
        <v>151</v>
      </c>
      <c r="B7" s="157">
        <v>0</v>
      </c>
      <c r="C7" s="157">
        <v>0</v>
      </c>
      <c r="D7" s="157">
        <f t="shared" si="2"/>
        <v>0</v>
      </c>
      <c r="E7" s="157">
        <f t="shared" si="2"/>
        <v>0</v>
      </c>
      <c r="F7" s="157">
        <f t="shared" si="2"/>
        <v>0</v>
      </c>
      <c r="G7" s="157">
        <f t="shared" si="2"/>
        <v>0</v>
      </c>
      <c r="H7" s="157">
        <f t="shared" si="2"/>
        <v>0</v>
      </c>
      <c r="I7" s="157"/>
      <c r="J7" s="157"/>
      <c r="K7" s="157"/>
      <c r="L7" s="157"/>
      <c r="M7" s="157"/>
      <c r="N7" s="157"/>
      <c r="O7" s="157"/>
      <c r="P7" s="157"/>
      <c r="Q7" s="157"/>
      <c r="R7" s="157"/>
      <c r="S7" s="157"/>
      <c r="T7" s="157"/>
      <c r="U7" s="157"/>
    </row>
    <row r="8" spans="1:21" x14ac:dyDescent="0.25">
      <c r="A8" s="154" t="s">
        <v>98</v>
      </c>
      <c r="B8" s="16">
        <f t="shared" ref="B8:T8" si="3">SUM(B2:B7)</f>
        <v>0</v>
      </c>
      <c r="C8" s="16" t="s">
        <v>154</v>
      </c>
      <c r="D8" s="16">
        <f t="shared" si="3"/>
        <v>0</v>
      </c>
      <c r="E8" s="16">
        <f t="shared" si="3"/>
        <v>0</v>
      </c>
      <c r="F8" s="16">
        <f t="shared" si="3"/>
        <v>0</v>
      </c>
      <c r="G8" s="16">
        <f t="shared" si="3"/>
        <v>0</v>
      </c>
      <c r="H8" s="16">
        <f t="shared" si="3"/>
        <v>0</v>
      </c>
      <c r="I8" s="16">
        <f t="shared" si="3"/>
        <v>0</v>
      </c>
      <c r="J8" s="16">
        <f t="shared" si="3"/>
        <v>0</v>
      </c>
      <c r="K8" s="16">
        <f t="shared" si="3"/>
        <v>0</v>
      </c>
      <c r="L8" s="16">
        <f t="shared" si="3"/>
        <v>0</v>
      </c>
      <c r="M8" s="16">
        <f t="shared" si="3"/>
        <v>0</v>
      </c>
      <c r="N8" s="16">
        <f t="shared" si="3"/>
        <v>0</v>
      </c>
      <c r="O8" s="16">
        <f t="shared" si="3"/>
        <v>0</v>
      </c>
      <c r="P8" s="16">
        <f t="shared" si="3"/>
        <v>0</v>
      </c>
      <c r="Q8" s="16">
        <f t="shared" si="3"/>
        <v>0</v>
      </c>
      <c r="R8" s="16">
        <f t="shared" si="3"/>
        <v>0</v>
      </c>
      <c r="S8" s="16">
        <f t="shared" si="3"/>
        <v>0</v>
      </c>
      <c r="T8" s="16">
        <f t="shared" si="3"/>
        <v>0</v>
      </c>
      <c r="U8" s="16">
        <f t="shared" ref="U8" si="4">SUM(U2:U7)</f>
        <v>0</v>
      </c>
    </row>
    <row r="9" spans="1:21" x14ac:dyDescent="0.25">
      <c r="A9" s="154"/>
      <c r="B9" s="154"/>
      <c r="C9" s="16"/>
      <c r="D9" s="16"/>
      <c r="E9" s="16"/>
      <c r="F9" s="16"/>
      <c r="G9" s="16"/>
      <c r="H9" s="16"/>
      <c r="I9" s="16"/>
      <c r="J9" s="16"/>
      <c r="K9" s="16"/>
      <c r="L9" s="16"/>
      <c r="M9" s="16"/>
      <c r="N9" s="16"/>
      <c r="O9" s="16"/>
      <c r="P9" s="16"/>
      <c r="Q9" s="16"/>
      <c r="R9" s="16"/>
      <c r="S9" s="16"/>
      <c r="T9" s="16"/>
      <c r="U9" s="16"/>
    </row>
    <row r="10" spans="1:21" ht="15.75" x14ac:dyDescent="0.25">
      <c r="A10" s="68" t="s">
        <v>362</v>
      </c>
      <c r="B10" s="208">
        <v>2024</v>
      </c>
      <c r="C10" s="208">
        <v>2025</v>
      </c>
      <c r="D10" s="208">
        <v>2026</v>
      </c>
      <c r="E10" s="208">
        <v>2027</v>
      </c>
      <c r="F10" s="208">
        <v>2028</v>
      </c>
      <c r="G10" s="208">
        <v>2029</v>
      </c>
      <c r="H10" s="208">
        <v>2030</v>
      </c>
      <c r="I10" s="208">
        <v>2031</v>
      </c>
      <c r="J10" s="208">
        <v>2032</v>
      </c>
      <c r="K10" s="208">
        <v>2033</v>
      </c>
      <c r="L10" s="208">
        <v>2034</v>
      </c>
      <c r="M10" s="208">
        <v>2035</v>
      </c>
      <c r="N10" s="208">
        <v>2036</v>
      </c>
      <c r="O10" s="208">
        <v>2037</v>
      </c>
      <c r="P10" s="208">
        <v>2038</v>
      </c>
      <c r="Q10" s="208">
        <v>2039</v>
      </c>
      <c r="R10" s="208">
        <v>2040</v>
      </c>
      <c r="S10" s="208">
        <v>2041</v>
      </c>
      <c r="T10" s="208">
        <v>2042</v>
      </c>
      <c r="U10" s="208">
        <v>2043</v>
      </c>
    </row>
    <row r="11" spans="1:21" x14ac:dyDescent="0.25">
      <c r="A11" s="155" t="s">
        <v>124</v>
      </c>
      <c r="B11" s="155"/>
      <c r="C11" s="157">
        <f>'ABP Future Assumptions'!I6</f>
        <v>22900840.018733297</v>
      </c>
      <c r="D11" s="157">
        <f>'24-25 ABP Summary'!C11</f>
        <v>0</v>
      </c>
      <c r="E11" s="157">
        <f>'24-25 ABP Summary'!D11</f>
        <v>0</v>
      </c>
      <c r="F11" s="157">
        <f>'24-25 ABP Summary'!E11</f>
        <v>0</v>
      </c>
      <c r="G11" s="157">
        <f>'24-25 ABP Summary'!F11</f>
        <v>0</v>
      </c>
      <c r="H11" s="157">
        <f>'24-25 ABP Summary'!G11</f>
        <v>0</v>
      </c>
      <c r="I11" s="157">
        <f>'24-25 ABP Summary'!H11</f>
        <v>0</v>
      </c>
      <c r="J11" s="157">
        <f>'24-25 ABP Summary'!I11</f>
        <v>0</v>
      </c>
      <c r="K11" s="157">
        <f>'24-25 ABP Summary'!J11</f>
        <v>0</v>
      </c>
      <c r="L11" s="157">
        <f>'24-25 ABP Summary'!K11</f>
        <v>0</v>
      </c>
      <c r="M11" s="157">
        <f>'24-25 ABP Summary'!L11</f>
        <v>0</v>
      </c>
      <c r="N11" s="157">
        <f>'24-25 ABP Summary'!M11</f>
        <v>0</v>
      </c>
      <c r="O11" s="157">
        <f>'24-25 ABP Summary'!N11</f>
        <v>0</v>
      </c>
      <c r="P11" s="157">
        <f>'24-25 ABP Summary'!O11</f>
        <v>0</v>
      </c>
      <c r="Q11" s="157">
        <f>'24-25 ABP Summary'!P11</f>
        <v>0</v>
      </c>
      <c r="R11" s="157">
        <f>'24-25 ABP Summary'!Q11</f>
        <v>0</v>
      </c>
      <c r="S11" s="157">
        <f>'24-25 ABP Summary'!R11</f>
        <v>0</v>
      </c>
      <c r="T11" s="157">
        <f>'24-25 ABP Summary'!S11</f>
        <v>0</v>
      </c>
      <c r="U11" s="157">
        <f>'24-25 ABP Summary'!T11</f>
        <v>0</v>
      </c>
    </row>
    <row r="12" spans="1:21" x14ac:dyDescent="0.25">
      <c r="A12" s="155" t="s">
        <v>130</v>
      </c>
      <c r="B12" s="155"/>
      <c r="C12" s="157">
        <f>'ABP Future Assumptions'!I13*0.15</f>
        <v>5005789.3809688529</v>
      </c>
      <c r="D12" s="157">
        <f>('ABP Future Assumptions'!I13-'Projected ABP Spend'!C12)/6</f>
        <v>4727689.9709150279</v>
      </c>
      <c r="E12" s="157">
        <f>D12</f>
        <v>4727689.9709150279</v>
      </c>
      <c r="F12" s="157">
        <f>E12</f>
        <v>4727689.9709150279</v>
      </c>
      <c r="G12" s="157">
        <f>F12</f>
        <v>4727689.9709150279</v>
      </c>
      <c r="H12" s="157">
        <f>G12</f>
        <v>4727689.9709150279</v>
      </c>
      <c r="I12" s="157">
        <f>H12</f>
        <v>4727689.9709150279</v>
      </c>
      <c r="J12" s="157">
        <f>'24-25 ABP Summary'!I12</f>
        <v>0</v>
      </c>
      <c r="K12" s="157">
        <f>'24-25 ABP Summary'!J12</f>
        <v>0</v>
      </c>
      <c r="L12" s="157">
        <f>'24-25 ABP Summary'!K12</f>
        <v>0</v>
      </c>
      <c r="M12" s="157">
        <f>'24-25 ABP Summary'!L12</f>
        <v>0</v>
      </c>
      <c r="N12" s="157">
        <f>'24-25 ABP Summary'!M12</f>
        <v>0</v>
      </c>
      <c r="O12" s="157">
        <f>'24-25 ABP Summary'!N12</f>
        <v>0</v>
      </c>
      <c r="P12" s="157">
        <f>'24-25 ABP Summary'!O12</f>
        <v>0</v>
      </c>
      <c r="Q12" s="157">
        <f>'24-25 ABP Summary'!P12</f>
        <v>0</v>
      </c>
      <c r="R12" s="157">
        <f>'24-25 ABP Summary'!Q12</f>
        <v>0</v>
      </c>
      <c r="S12" s="157">
        <f>'24-25 ABP Summary'!R12</f>
        <v>0</v>
      </c>
      <c r="T12" s="157">
        <f>'24-25 ABP Summary'!S12</f>
        <v>0</v>
      </c>
      <c r="U12" s="157">
        <f>'24-25 ABP Summary'!T12</f>
        <v>0</v>
      </c>
    </row>
    <row r="13" spans="1:21" x14ac:dyDescent="0.25">
      <c r="A13" s="155" t="s">
        <v>139</v>
      </c>
      <c r="B13" s="155"/>
      <c r="C13" s="157">
        <f>'24-25 ABP Summary'!B13</f>
        <v>0</v>
      </c>
      <c r="D13" s="157">
        <f>'ABP Future Assumptions'!I26/20</f>
        <v>948835.09785899986</v>
      </c>
      <c r="E13" s="157">
        <f>D13*0.995</f>
        <v>944090.92236970481</v>
      </c>
      <c r="F13" s="157">
        <f t="shared" ref="F13:U13" si="5">E13*0.995</f>
        <v>939370.46775785624</v>
      </c>
      <c r="G13" s="157">
        <f t="shared" si="5"/>
        <v>934673.61541906698</v>
      </c>
      <c r="H13" s="157">
        <f t="shared" si="5"/>
        <v>930000.24734197161</v>
      </c>
      <c r="I13" s="157">
        <f t="shared" si="5"/>
        <v>925350.24610526173</v>
      </c>
      <c r="J13" s="157">
        <f t="shared" si="5"/>
        <v>920723.49487473536</v>
      </c>
      <c r="K13" s="157">
        <f t="shared" si="5"/>
        <v>916119.8774003617</v>
      </c>
      <c r="L13" s="157">
        <f t="shared" si="5"/>
        <v>911539.27801335987</v>
      </c>
      <c r="M13" s="157">
        <f t="shared" si="5"/>
        <v>906981.58162329311</v>
      </c>
      <c r="N13" s="157">
        <f t="shared" si="5"/>
        <v>902446.67371517664</v>
      </c>
      <c r="O13" s="157">
        <f t="shared" si="5"/>
        <v>897934.44034660072</v>
      </c>
      <c r="P13" s="157">
        <f t="shared" si="5"/>
        <v>893444.76814486773</v>
      </c>
      <c r="Q13" s="157">
        <f t="shared" si="5"/>
        <v>888977.5443041434</v>
      </c>
      <c r="R13" s="157">
        <f t="shared" si="5"/>
        <v>884532.65658262267</v>
      </c>
      <c r="S13" s="157">
        <f t="shared" si="5"/>
        <v>880109.99329970952</v>
      </c>
      <c r="T13" s="157">
        <f t="shared" si="5"/>
        <v>875709.44333321101</v>
      </c>
      <c r="U13" s="157">
        <f t="shared" si="5"/>
        <v>871330.89611654496</v>
      </c>
    </row>
    <row r="14" spans="1:21" x14ac:dyDescent="0.25">
      <c r="A14" s="155" t="s">
        <v>144</v>
      </c>
      <c r="B14" s="155"/>
      <c r="C14" s="157">
        <v>0</v>
      </c>
      <c r="D14" s="157">
        <f>'ABP Future Assumptions'!I43/20</f>
        <v>9086402.4493237734</v>
      </c>
      <c r="E14" s="157">
        <f>D14*0.995</f>
        <v>9040970.4370771553</v>
      </c>
      <c r="F14" s="157">
        <f t="shared" ref="F14:U14" si="6">E14*0.995</f>
        <v>8995765.58489177</v>
      </c>
      <c r="G14" s="157">
        <f t="shared" si="6"/>
        <v>8950786.7569673117</v>
      </c>
      <c r="H14" s="157">
        <f t="shared" si="6"/>
        <v>8906032.8231824748</v>
      </c>
      <c r="I14" s="157">
        <f t="shared" si="6"/>
        <v>8861502.6590665616</v>
      </c>
      <c r="J14" s="157">
        <f t="shared" si="6"/>
        <v>8817195.1457712296</v>
      </c>
      <c r="K14" s="157">
        <f t="shared" si="6"/>
        <v>8773109.1700423732</v>
      </c>
      <c r="L14" s="157">
        <f t="shared" si="6"/>
        <v>8729243.6241921615</v>
      </c>
      <c r="M14" s="157">
        <f t="shared" si="6"/>
        <v>8685597.406071201</v>
      </c>
      <c r="N14" s="157">
        <f t="shared" si="6"/>
        <v>8642169.4190408457</v>
      </c>
      <c r="O14" s="157">
        <f t="shared" si="6"/>
        <v>8598958.5719456412</v>
      </c>
      <c r="P14" s="157">
        <f t="shared" si="6"/>
        <v>8555963.7790859137</v>
      </c>
      <c r="Q14" s="157">
        <f t="shared" si="6"/>
        <v>8513183.9601904843</v>
      </c>
      <c r="R14" s="157">
        <f t="shared" si="6"/>
        <v>8470618.0403895322</v>
      </c>
      <c r="S14" s="157">
        <f t="shared" si="6"/>
        <v>8428264.9501875844</v>
      </c>
      <c r="T14" s="157">
        <f t="shared" si="6"/>
        <v>8386123.6254366469</v>
      </c>
      <c r="U14" s="157">
        <f t="shared" si="6"/>
        <v>8344193.0073094638</v>
      </c>
    </row>
    <row r="15" spans="1:21" x14ac:dyDescent="0.25">
      <c r="A15" s="155" t="s">
        <v>148</v>
      </c>
      <c r="B15" s="155"/>
      <c r="C15" s="157">
        <f>'24-25 ABP Summary'!B15</f>
        <v>0</v>
      </c>
      <c r="D15" s="157">
        <f>('ABP Future Assumptions'!I59-'Projected ABP Spend'!B6)/6</f>
        <v>0</v>
      </c>
      <c r="E15" s="157">
        <f>('ABP Future Assumptions'!J59-'Projected ABP Spend'!C6)/6</f>
        <v>0</v>
      </c>
      <c r="F15" s="157">
        <f>('ABP Future Assumptions'!K59-'Projected ABP Spend'!D6)/6</f>
        <v>0</v>
      </c>
      <c r="G15" s="157">
        <f>('ABP Future Assumptions'!L59-'Projected ABP Spend'!E6)/6</f>
        <v>0</v>
      </c>
      <c r="H15" s="157">
        <f>('ABP Future Assumptions'!M59-'Projected ABP Spend'!F6)/6</f>
        <v>0</v>
      </c>
      <c r="I15" s="157">
        <f>('ABP Future Assumptions'!N59-'Projected ABP Spend'!G6)/6</f>
        <v>0</v>
      </c>
      <c r="J15" s="157">
        <f>('ABP Future Assumptions'!O59-'Projected ABP Spend'!H6)/6</f>
        <v>0</v>
      </c>
      <c r="K15" s="157">
        <f>'24-25 ABP Summary'!J15</f>
        <v>0</v>
      </c>
      <c r="L15" s="157">
        <f>'24-25 ABP Summary'!K15</f>
        <v>0</v>
      </c>
      <c r="M15" s="157">
        <f>'24-25 ABP Summary'!L15</f>
        <v>0</v>
      </c>
      <c r="N15" s="157">
        <f>'24-25 ABP Summary'!M15</f>
        <v>0</v>
      </c>
      <c r="O15" s="157">
        <f>'24-25 ABP Summary'!N15</f>
        <v>0</v>
      </c>
      <c r="P15" s="157">
        <f>'24-25 ABP Summary'!O15</f>
        <v>0</v>
      </c>
      <c r="Q15" s="157">
        <f>'24-25 ABP Summary'!P15</f>
        <v>0</v>
      </c>
      <c r="R15" s="157">
        <f>'24-25 ABP Summary'!Q15</f>
        <v>0</v>
      </c>
      <c r="S15" s="157">
        <f>'24-25 ABP Summary'!R15</f>
        <v>0</v>
      </c>
      <c r="T15" s="157">
        <f>'24-25 ABP Summary'!S15</f>
        <v>0</v>
      </c>
      <c r="U15" s="157">
        <f>'24-25 ABP Summary'!T15</f>
        <v>0</v>
      </c>
    </row>
    <row r="16" spans="1:21" x14ac:dyDescent="0.25">
      <c r="A16" s="155" t="s">
        <v>151</v>
      </c>
      <c r="B16" s="155"/>
      <c r="C16" s="157">
        <f>'ABP Future Assumptions'!I75*0.15</f>
        <v>5733489.3336188877</v>
      </c>
      <c r="D16" s="157">
        <f>('ABP Future Assumptions'!I75-'Projected ABP Spend'!C16)/6</f>
        <v>5414962.1484178388</v>
      </c>
      <c r="E16" s="157">
        <f t="shared" ref="E16" si="7">D16</f>
        <v>5414962.1484178388</v>
      </c>
      <c r="F16" s="157">
        <f t="shared" ref="F16" si="8">E16</f>
        <v>5414962.1484178388</v>
      </c>
      <c r="G16" s="157">
        <f t="shared" ref="G16" si="9">F16</f>
        <v>5414962.1484178388</v>
      </c>
      <c r="H16" s="157">
        <f t="shared" ref="H16:I16" si="10">G16</f>
        <v>5414962.1484178388</v>
      </c>
      <c r="I16" s="157">
        <f t="shared" si="10"/>
        <v>5414962.1484178388</v>
      </c>
      <c r="J16" s="157">
        <f>'24-25 ABP Summary'!I16</f>
        <v>0</v>
      </c>
      <c r="K16" s="157">
        <f>'24-25 ABP Summary'!J16</f>
        <v>0</v>
      </c>
      <c r="L16" s="157">
        <f>'24-25 ABP Summary'!K16</f>
        <v>0</v>
      </c>
      <c r="M16" s="157">
        <f>'24-25 ABP Summary'!L16</f>
        <v>0</v>
      </c>
      <c r="N16" s="157">
        <f>'24-25 ABP Summary'!M16</f>
        <v>0</v>
      </c>
      <c r="O16" s="157">
        <f>'24-25 ABP Summary'!N16</f>
        <v>0</v>
      </c>
      <c r="P16" s="157">
        <f>'24-25 ABP Summary'!O16</f>
        <v>0</v>
      </c>
      <c r="Q16" s="157">
        <f>'24-25 ABP Summary'!P16</f>
        <v>0</v>
      </c>
      <c r="R16" s="157">
        <f>'24-25 ABP Summary'!Q16</f>
        <v>0</v>
      </c>
      <c r="S16" s="157">
        <f>'24-25 ABP Summary'!R16</f>
        <v>0</v>
      </c>
      <c r="T16" s="157">
        <f>'24-25 ABP Summary'!S16</f>
        <v>0</v>
      </c>
      <c r="U16" s="157">
        <f>'24-25 ABP Summary'!T16</f>
        <v>0</v>
      </c>
    </row>
    <row r="17" spans="1:21" x14ac:dyDescent="0.25">
      <c r="A17" s="154" t="s">
        <v>98</v>
      </c>
      <c r="B17" s="154"/>
      <c r="C17" s="16">
        <f>SUM(C11:C16)</f>
        <v>33640118.733321041</v>
      </c>
      <c r="D17" s="16">
        <f t="shared" ref="D17:T17" si="11">SUM(D11:D16)</f>
        <v>20177889.666515641</v>
      </c>
      <c r="E17" s="16">
        <f t="shared" si="11"/>
        <v>20127713.478779726</v>
      </c>
      <c r="F17" s="16">
        <f t="shared" si="11"/>
        <v>20077788.171982493</v>
      </c>
      <c r="G17" s="16">
        <f t="shared" si="11"/>
        <v>20028112.491719246</v>
      </c>
      <c r="H17" s="16">
        <f t="shared" si="11"/>
        <v>19978685.189857312</v>
      </c>
      <c r="I17" s="16">
        <f t="shared" si="11"/>
        <v>19929505.024504691</v>
      </c>
      <c r="J17" s="16">
        <f t="shared" si="11"/>
        <v>9737918.6406459659</v>
      </c>
      <c r="K17" s="16">
        <f t="shared" si="11"/>
        <v>9689229.0474427342</v>
      </c>
      <c r="L17" s="16">
        <f t="shared" si="11"/>
        <v>9640782.9022055212</v>
      </c>
      <c r="M17" s="16">
        <f t="shared" si="11"/>
        <v>9592578.9876944944</v>
      </c>
      <c r="N17" s="16">
        <f t="shared" si="11"/>
        <v>9544616.0927560218</v>
      </c>
      <c r="O17" s="16">
        <f t="shared" si="11"/>
        <v>9496893.0122922417</v>
      </c>
      <c r="P17" s="16">
        <f t="shared" si="11"/>
        <v>9449408.547230782</v>
      </c>
      <c r="Q17" s="16">
        <f t="shared" si="11"/>
        <v>9402161.5044946279</v>
      </c>
      <c r="R17" s="16">
        <f t="shared" si="11"/>
        <v>9355150.6969721541</v>
      </c>
      <c r="S17" s="16">
        <f t="shared" si="11"/>
        <v>9308374.943487294</v>
      </c>
      <c r="T17" s="16">
        <f t="shared" si="11"/>
        <v>9261833.0687698573</v>
      </c>
      <c r="U17" s="16">
        <f t="shared" ref="U17" si="12">SUM(U11:U16)</f>
        <v>9215523.9034260083</v>
      </c>
    </row>
    <row r="19" spans="1:21" ht="15.75" x14ac:dyDescent="0.25">
      <c r="A19" s="68">
        <v>2025</v>
      </c>
      <c r="B19" s="208">
        <v>2024</v>
      </c>
      <c r="C19" s="208">
        <v>2025</v>
      </c>
      <c r="D19" s="208">
        <v>2026</v>
      </c>
      <c r="E19" s="208">
        <v>2027</v>
      </c>
      <c r="F19" s="208">
        <v>2028</v>
      </c>
      <c r="G19" s="208">
        <v>2029</v>
      </c>
      <c r="H19" s="208">
        <v>2030</v>
      </c>
      <c r="I19" s="208">
        <v>2031</v>
      </c>
      <c r="J19" s="208">
        <v>2032</v>
      </c>
      <c r="K19" s="208">
        <v>2033</v>
      </c>
      <c r="L19" s="208">
        <v>2034</v>
      </c>
      <c r="M19" s="208">
        <v>2035</v>
      </c>
      <c r="N19" s="208">
        <v>2036</v>
      </c>
      <c r="O19" s="208">
        <v>2037</v>
      </c>
      <c r="P19" s="208">
        <v>2038</v>
      </c>
      <c r="Q19" s="208">
        <v>2039</v>
      </c>
      <c r="R19" s="208">
        <v>2040</v>
      </c>
      <c r="S19" s="208">
        <v>2041</v>
      </c>
      <c r="T19" s="208">
        <v>2042</v>
      </c>
      <c r="U19" s="208">
        <v>2043</v>
      </c>
    </row>
    <row r="20" spans="1:21" x14ac:dyDescent="0.25">
      <c r="A20" s="155" t="s">
        <v>124</v>
      </c>
      <c r="B20" s="155"/>
      <c r="C20" s="157"/>
      <c r="D20" s="157">
        <f>'24-25 ABP Summary'!B11*'ABP Future Assumptions'!$B$93</f>
        <v>184619196.2383002</v>
      </c>
      <c r="E20" s="157">
        <f>'24-25 ABP Summary'!C11*'ABP Future Assumptions'!$B$93</f>
        <v>0</v>
      </c>
      <c r="F20" s="157">
        <f>'24-25 ABP Summary'!D11*'ABP Future Assumptions'!$B$93</f>
        <v>0</v>
      </c>
      <c r="G20" s="157">
        <f>'24-25 ABP Summary'!E11*'ABP Future Assumptions'!$B$93</f>
        <v>0</v>
      </c>
      <c r="H20" s="157">
        <f>'24-25 ABP Summary'!F11*'ABP Future Assumptions'!$B$93</f>
        <v>0</v>
      </c>
      <c r="I20" s="157">
        <f>'24-25 ABP Summary'!G11*'ABP Future Assumptions'!$B$93</f>
        <v>0</v>
      </c>
      <c r="J20" s="157">
        <f>'24-25 ABP Summary'!H11*'ABP Future Assumptions'!$B$93</f>
        <v>0</v>
      </c>
      <c r="K20" s="157">
        <f>'24-25 ABP Summary'!I11*'ABP Future Assumptions'!$B$93</f>
        <v>0</v>
      </c>
      <c r="L20" s="157">
        <f>'24-25 ABP Summary'!J11*'ABP Future Assumptions'!$B$93</f>
        <v>0</v>
      </c>
      <c r="M20" s="157">
        <f>'24-25 ABP Summary'!K11*'ABP Future Assumptions'!$B$93</f>
        <v>0</v>
      </c>
      <c r="N20" s="157">
        <f>'24-25 ABP Summary'!L11*'ABP Future Assumptions'!$B$93</f>
        <v>0</v>
      </c>
      <c r="O20" s="157">
        <f>'24-25 ABP Summary'!M11*'ABP Future Assumptions'!$B$93</f>
        <v>0</v>
      </c>
      <c r="P20" s="157">
        <f>'24-25 ABP Summary'!N11*'ABP Future Assumptions'!$B$93</f>
        <v>0</v>
      </c>
      <c r="Q20" s="157">
        <f>'24-25 ABP Summary'!O11*'ABP Future Assumptions'!$B$93</f>
        <v>0</v>
      </c>
      <c r="R20" s="157">
        <f>'24-25 ABP Summary'!P11*'ABP Future Assumptions'!$B$93</f>
        <v>0</v>
      </c>
      <c r="S20" s="157">
        <f>'24-25 ABP Summary'!Q11*'ABP Future Assumptions'!$B$93</f>
        <v>0</v>
      </c>
      <c r="T20" s="157">
        <f>'24-25 ABP Summary'!R11*'ABP Future Assumptions'!$B$93</f>
        <v>0</v>
      </c>
      <c r="U20" s="157">
        <f>'24-25 ABP Summary'!S11*'ABP Future Assumptions'!$B$93</f>
        <v>0</v>
      </c>
    </row>
    <row r="21" spans="1:21" x14ac:dyDescent="0.25">
      <c r="A21" s="155" t="s">
        <v>130</v>
      </c>
      <c r="B21" s="155"/>
      <c r="C21" s="157"/>
      <c r="D21" s="157">
        <f>'24-25 ABP Summary'!B12*'ABP Future Assumptions'!$B$93</f>
        <v>19276232.963576011</v>
      </c>
      <c r="E21" s="157">
        <f>'24-25 ABP Summary'!C12*'ABP Future Assumptions'!$B$93</f>
        <v>18205331.132266235</v>
      </c>
      <c r="F21" s="157">
        <f>'24-25 ABP Summary'!D12*'ABP Future Assumptions'!$B$93</f>
        <v>18205331.132266235</v>
      </c>
      <c r="G21" s="157">
        <f>'24-25 ABP Summary'!E12*'ABP Future Assumptions'!$B$93</f>
        <v>18205331.132266235</v>
      </c>
      <c r="H21" s="157">
        <f>'24-25 ABP Summary'!F12*'ABP Future Assumptions'!$B$93</f>
        <v>18205331.132266235</v>
      </c>
      <c r="I21" s="157">
        <f>'24-25 ABP Summary'!G12*'ABP Future Assumptions'!$B$93</f>
        <v>18205331.132266235</v>
      </c>
      <c r="J21" s="157">
        <f>'24-25 ABP Summary'!H12*'ABP Future Assumptions'!$B$93</f>
        <v>18205331.132266235</v>
      </c>
      <c r="K21" s="157">
        <f>'24-25 ABP Summary'!I12*'ABP Future Assumptions'!$B$93</f>
        <v>0</v>
      </c>
      <c r="L21" s="157">
        <f>'24-25 ABP Summary'!J12*'ABP Future Assumptions'!$B$93</f>
        <v>0</v>
      </c>
      <c r="M21" s="157">
        <f>'24-25 ABP Summary'!K12*'ABP Future Assumptions'!$B$93</f>
        <v>0</v>
      </c>
      <c r="N21" s="157">
        <f>'24-25 ABP Summary'!L12*'ABP Future Assumptions'!$B$93</f>
        <v>0</v>
      </c>
      <c r="O21" s="157">
        <f>'24-25 ABP Summary'!M12*'ABP Future Assumptions'!$B$93</f>
        <v>0</v>
      </c>
      <c r="P21" s="157">
        <f>'24-25 ABP Summary'!N12*'ABP Future Assumptions'!$B$93</f>
        <v>0</v>
      </c>
      <c r="Q21" s="157">
        <f>'24-25 ABP Summary'!O12*'ABP Future Assumptions'!$B$93</f>
        <v>0</v>
      </c>
      <c r="R21" s="157">
        <f>'24-25 ABP Summary'!P12*'ABP Future Assumptions'!$B$93</f>
        <v>0</v>
      </c>
      <c r="S21" s="157">
        <f>'24-25 ABP Summary'!Q12*'ABP Future Assumptions'!$B$93</f>
        <v>0</v>
      </c>
      <c r="T21" s="157">
        <f>'24-25 ABP Summary'!R12*'ABP Future Assumptions'!$B$93</f>
        <v>0</v>
      </c>
      <c r="U21" s="157">
        <f>'24-25 ABP Summary'!S12*'ABP Future Assumptions'!$B$93</f>
        <v>0</v>
      </c>
    </row>
    <row r="22" spans="1:21" x14ac:dyDescent="0.25">
      <c r="A22" s="155" t="s">
        <v>139</v>
      </c>
      <c r="B22" s="155"/>
      <c r="C22" s="157"/>
      <c r="D22" s="157">
        <f>'24-25 ABP Summary'!B13*'ABP Future Assumptions'!$B$93</f>
        <v>0</v>
      </c>
      <c r="E22" s="157">
        <f>'24-25 ABP Summary'!C13*'ABP Future Assumptions'!$B$93</f>
        <v>15900374.831413247</v>
      </c>
      <c r="F22" s="157">
        <f>'24-25 ABP Summary'!D13*'ABP Future Assumptions'!$B$93</f>
        <v>15820872.957256179</v>
      </c>
      <c r="G22" s="157">
        <f>'24-25 ABP Summary'!E13*'ABP Future Assumptions'!$B$93</f>
        <v>15741768.592469897</v>
      </c>
      <c r="H22" s="157">
        <f>'24-25 ABP Summary'!F13*'ABP Future Assumptions'!$B$93</f>
        <v>15663059.749507548</v>
      </c>
      <c r="I22" s="157">
        <f>'24-25 ABP Summary'!G13*'ABP Future Assumptions'!$B$93</f>
        <v>15584744.450760012</v>
      </c>
      <c r="J22" s="157">
        <f>'24-25 ABP Summary'!H13*'ABP Future Assumptions'!$B$93</f>
        <v>15506820.728506213</v>
      </c>
      <c r="K22" s="157">
        <f>'24-25 ABP Summary'!I13*'ABP Future Assumptions'!$B$93</f>
        <v>15429286.62486368</v>
      </c>
      <c r="L22" s="157">
        <f>'24-25 ABP Summary'!J13*'ABP Future Assumptions'!$B$93</f>
        <v>15352140.191739362</v>
      </c>
      <c r="M22" s="157">
        <f>'24-25 ABP Summary'!K13*'ABP Future Assumptions'!$B$93</f>
        <v>15275379.490780665</v>
      </c>
      <c r="N22" s="157">
        <f>'24-25 ABP Summary'!L13*'ABP Future Assumptions'!$B$93</f>
        <v>15199002.593326762</v>
      </c>
      <c r="O22" s="157">
        <f>'24-25 ABP Summary'!M13*'ABP Future Assumptions'!$B$93</f>
        <v>15123007.580360129</v>
      </c>
      <c r="P22" s="157">
        <f>'24-25 ABP Summary'!N13*'ABP Future Assumptions'!$B$93</f>
        <v>15047392.542458327</v>
      </c>
      <c r="Q22" s="157">
        <f>'24-25 ABP Summary'!O13*'ABP Future Assumptions'!$B$93</f>
        <v>14972155.579746036</v>
      </c>
      <c r="R22" s="157">
        <f>'24-25 ABP Summary'!P13*'ABP Future Assumptions'!$B$93</f>
        <v>14897294.801847305</v>
      </c>
      <c r="S22" s="157">
        <f>'24-25 ABP Summary'!Q13*'ABP Future Assumptions'!$B$93</f>
        <v>14822808.327838069</v>
      </c>
      <c r="T22" s="157">
        <f>'24-25 ABP Summary'!R13*'ABP Future Assumptions'!$B$93</f>
        <v>14748694.286198879</v>
      </c>
      <c r="U22" s="157">
        <f>'24-25 ABP Summary'!S13*'ABP Future Assumptions'!$B$93</f>
        <v>14674950.814767886</v>
      </c>
    </row>
    <row r="23" spans="1:21" x14ac:dyDescent="0.25">
      <c r="A23" s="155" t="s">
        <v>144</v>
      </c>
      <c r="B23" s="155"/>
      <c r="C23" s="157"/>
      <c r="D23" s="157">
        <f>'24-25 ABP Summary'!B14*'ABP Future Assumptions'!$B$93</f>
        <v>9904360.4669579081</v>
      </c>
      <c r="E23" s="157">
        <f>'24-25 ABP Summary'!C14*'ABP Future Assumptions'!$B$93</f>
        <v>9854838.6646231171</v>
      </c>
      <c r="F23" s="157">
        <f>'24-25 ABP Summary'!D14*'ABP Future Assumptions'!$B$93</f>
        <v>9805564.4713000022</v>
      </c>
      <c r="G23" s="157">
        <f>'24-25 ABP Summary'!E14*'ABP Future Assumptions'!$B$93</f>
        <v>9756536.6489435025</v>
      </c>
      <c r="H23" s="157">
        <f>'24-25 ABP Summary'!F14*'ABP Future Assumptions'!$B$93</f>
        <v>9707753.9656987842</v>
      </c>
      <c r="I23" s="157">
        <f>'24-25 ABP Summary'!G14*'ABP Future Assumptions'!$B$93</f>
        <v>9659215.1958702914</v>
      </c>
      <c r="J23" s="157">
        <f>'24-25 ABP Summary'!H14*'ABP Future Assumptions'!$B$93</f>
        <v>9610919.1198909394</v>
      </c>
      <c r="K23" s="157">
        <f>'24-25 ABP Summary'!I14*'ABP Future Assumptions'!$B$93</f>
        <v>9562864.5242914855</v>
      </c>
      <c r="L23" s="157">
        <f>'24-25 ABP Summary'!J14*'ABP Future Assumptions'!$B$93</f>
        <v>9515050.2016700264</v>
      </c>
      <c r="M23" s="157">
        <f>'24-25 ABP Summary'!K14*'ABP Future Assumptions'!$B$93</f>
        <v>9467474.950661676</v>
      </c>
      <c r="N23" s="157">
        <f>'24-25 ABP Summary'!L14*'ABP Future Assumptions'!$B$93</f>
        <v>9420137.5759083685</v>
      </c>
      <c r="O23" s="157">
        <f>'24-25 ABP Summary'!M14*'ABP Future Assumptions'!$B$93</f>
        <v>9373036.8880288266</v>
      </c>
      <c r="P23" s="157">
        <f>'24-25 ABP Summary'!N14*'ABP Future Assumptions'!$B$93</f>
        <v>9326171.703588685</v>
      </c>
      <c r="Q23" s="157">
        <f>'24-25 ABP Summary'!O14*'ABP Future Assumptions'!$B$93</f>
        <v>9279540.8450707383</v>
      </c>
      <c r="R23" s="157">
        <f>'24-25 ABP Summary'!P14*'ABP Future Assumptions'!$B$93</f>
        <v>9233143.1408453863</v>
      </c>
      <c r="S23" s="157">
        <f>'24-25 ABP Summary'!Q14*'ABP Future Assumptions'!$B$93</f>
        <v>9186977.4251411576</v>
      </c>
      <c r="T23" s="157">
        <f>'24-25 ABP Summary'!R14*'ABP Future Assumptions'!$B$93</f>
        <v>9141042.538015455</v>
      </c>
      <c r="U23" s="157">
        <f>'24-25 ABP Summary'!S14*'ABP Future Assumptions'!$B$93</f>
        <v>9095337.3253253754</v>
      </c>
    </row>
    <row r="24" spans="1:21" x14ac:dyDescent="0.25">
      <c r="A24" s="155" t="s">
        <v>148</v>
      </c>
      <c r="B24" s="155"/>
      <c r="C24" s="157"/>
      <c r="D24" s="157">
        <f>'24-25 ABP Summary'!B15*'ABP Future Assumptions'!$B$93</f>
        <v>0</v>
      </c>
      <c r="E24" s="157">
        <f>'24-25 ABP Summary'!C15*'ABP Future Assumptions'!$B$93</f>
        <v>6489822.6660358841</v>
      </c>
      <c r="F24" s="157">
        <f>'24-25 ABP Summary'!D15*'ABP Future Assumptions'!$B$93</f>
        <v>6129276.9623672245</v>
      </c>
      <c r="G24" s="157">
        <f>'24-25 ABP Summary'!E15*'ABP Future Assumptions'!$B$93</f>
        <v>6129276.9623672245</v>
      </c>
      <c r="H24" s="157">
        <f>'24-25 ABP Summary'!F15*'ABP Future Assumptions'!$B$93</f>
        <v>6129276.9623672245</v>
      </c>
      <c r="I24" s="157">
        <f>'24-25 ABP Summary'!G15*'ABP Future Assumptions'!$B$93</f>
        <v>6129276.9623672245</v>
      </c>
      <c r="J24" s="157">
        <f>'24-25 ABP Summary'!H15*'ABP Future Assumptions'!$B$93</f>
        <v>6129276.9623672245</v>
      </c>
      <c r="K24" s="157">
        <f>'24-25 ABP Summary'!I15*'ABP Future Assumptions'!$B$93</f>
        <v>6129276.9623672245</v>
      </c>
      <c r="L24" s="157">
        <f>'24-25 ABP Summary'!J15*'ABP Future Assumptions'!$B$93</f>
        <v>0</v>
      </c>
      <c r="M24" s="157">
        <f>'24-25 ABP Summary'!K15*'ABP Future Assumptions'!$B$93</f>
        <v>0</v>
      </c>
      <c r="N24" s="157">
        <f>'24-25 ABP Summary'!L15*'ABP Future Assumptions'!$B$93</f>
        <v>0</v>
      </c>
      <c r="O24" s="157">
        <f>'24-25 ABP Summary'!M15*'ABP Future Assumptions'!$B$93</f>
        <v>0</v>
      </c>
      <c r="P24" s="157">
        <f>'24-25 ABP Summary'!N15*'ABP Future Assumptions'!$B$93</f>
        <v>0</v>
      </c>
      <c r="Q24" s="157">
        <f>'24-25 ABP Summary'!O15*'ABP Future Assumptions'!$B$93</f>
        <v>0</v>
      </c>
      <c r="R24" s="157">
        <f>'24-25 ABP Summary'!P15*'ABP Future Assumptions'!$B$93</f>
        <v>0</v>
      </c>
      <c r="S24" s="157">
        <f>'24-25 ABP Summary'!Q15*'ABP Future Assumptions'!$B$93</f>
        <v>0</v>
      </c>
      <c r="T24" s="157">
        <f>'24-25 ABP Summary'!R15*'ABP Future Assumptions'!$B$93</f>
        <v>0</v>
      </c>
      <c r="U24" s="157">
        <f>'24-25 ABP Summary'!S15*'ABP Future Assumptions'!$B$93</f>
        <v>0</v>
      </c>
    </row>
    <row r="25" spans="1:21" x14ac:dyDescent="0.25">
      <c r="A25" s="155" t="s">
        <v>151</v>
      </c>
      <c r="B25" s="155"/>
      <c r="C25" s="157"/>
      <c r="D25" s="157">
        <f>'24-25 ABP Summary'!B16*'ABP Future Assumptions'!$B$93</f>
        <v>21418036.626195565</v>
      </c>
      <c r="E25" s="157">
        <f>'24-25 ABP Summary'!C16*'ABP Future Assumptions'!$B$93</f>
        <v>20228145.702518042</v>
      </c>
      <c r="F25" s="157">
        <f>'24-25 ABP Summary'!D16*'ABP Future Assumptions'!$B$93</f>
        <v>20228145.702518042</v>
      </c>
      <c r="G25" s="157">
        <f>'24-25 ABP Summary'!E16*'ABP Future Assumptions'!$B$93</f>
        <v>20228145.702518042</v>
      </c>
      <c r="H25" s="157">
        <f>'24-25 ABP Summary'!F16*'ABP Future Assumptions'!$B$93</f>
        <v>20228145.702518042</v>
      </c>
      <c r="I25" s="157">
        <f>'24-25 ABP Summary'!G16*'ABP Future Assumptions'!$B$93</f>
        <v>20228145.702518042</v>
      </c>
      <c r="J25" s="157">
        <f>'24-25 ABP Summary'!H16*'ABP Future Assumptions'!$B$93</f>
        <v>20228145.702518042</v>
      </c>
      <c r="K25" s="157">
        <f>'24-25 ABP Summary'!I16*'ABP Future Assumptions'!$B$93</f>
        <v>0</v>
      </c>
      <c r="L25" s="157">
        <f>'24-25 ABP Summary'!J16*'ABP Future Assumptions'!$B$93</f>
        <v>0</v>
      </c>
      <c r="M25" s="157">
        <f>'24-25 ABP Summary'!K16*'ABP Future Assumptions'!$B$93</f>
        <v>0</v>
      </c>
      <c r="N25" s="157">
        <f>'24-25 ABP Summary'!L16*'ABP Future Assumptions'!$B$93</f>
        <v>0</v>
      </c>
      <c r="O25" s="157">
        <f>'24-25 ABP Summary'!M16*'ABP Future Assumptions'!$B$93</f>
        <v>0</v>
      </c>
      <c r="P25" s="157">
        <f>'24-25 ABP Summary'!N16*'ABP Future Assumptions'!$B$93</f>
        <v>0</v>
      </c>
      <c r="Q25" s="157">
        <f>'24-25 ABP Summary'!O16*'ABP Future Assumptions'!$B$93</f>
        <v>0</v>
      </c>
      <c r="R25" s="157">
        <f>'24-25 ABP Summary'!P16*'ABP Future Assumptions'!$B$93</f>
        <v>0</v>
      </c>
      <c r="S25" s="157">
        <f>'24-25 ABP Summary'!Q16*'ABP Future Assumptions'!$B$93</f>
        <v>0</v>
      </c>
      <c r="T25" s="157">
        <f>'24-25 ABP Summary'!R16*'ABP Future Assumptions'!$B$93</f>
        <v>0</v>
      </c>
      <c r="U25" s="157">
        <f>'24-25 ABP Summary'!S16*'ABP Future Assumptions'!$B$93</f>
        <v>0</v>
      </c>
    </row>
    <row r="26" spans="1:21" x14ac:dyDescent="0.25">
      <c r="A26" s="154" t="s">
        <v>98</v>
      </c>
      <c r="B26" s="154"/>
      <c r="C26" s="16">
        <f t="shared" ref="C26:T26" si="13">SUM(C20:C25)</f>
        <v>0</v>
      </c>
      <c r="D26" s="16">
        <f t="shared" si="13"/>
        <v>235217826.2950297</v>
      </c>
      <c r="E26" s="16">
        <f t="shared" si="13"/>
        <v>70678512.996856526</v>
      </c>
      <c r="F26" s="16">
        <f t="shared" si="13"/>
        <v>70189191.22570768</v>
      </c>
      <c r="G26" s="16">
        <f t="shared" si="13"/>
        <v>70061059.038564906</v>
      </c>
      <c r="H26" s="16">
        <f t="shared" si="13"/>
        <v>69933567.512357831</v>
      </c>
      <c r="I26" s="16">
        <f t="shared" si="13"/>
        <v>69806713.443781808</v>
      </c>
      <c r="J26" s="16">
        <f t="shared" si="13"/>
        <v>69680493.645548657</v>
      </c>
      <c r="K26" s="16">
        <f t="shared" si="13"/>
        <v>31121428.111522391</v>
      </c>
      <c r="L26" s="16">
        <f t="shared" si="13"/>
        <v>24867190.393409386</v>
      </c>
      <c r="M26" s="16">
        <f t="shared" si="13"/>
        <v>24742854.441442341</v>
      </c>
      <c r="N26" s="16">
        <f t="shared" si="13"/>
        <v>24619140.169235133</v>
      </c>
      <c r="O26" s="16">
        <f t="shared" si="13"/>
        <v>24496044.468388956</v>
      </c>
      <c r="P26" s="16">
        <f t="shared" si="13"/>
        <v>24373564.246047013</v>
      </c>
      <c r="Q26" s="16">
        <f t="shared" si="13"/>
        <v>24251696.424816772</v>
      </c>
      <c r="R26" s="16">
        <f t="shared" si="13"/>
        <v>24130437.94269269</v>
      </c>
      <c r="S26" s="16">
        <f t="shared" si="13"/>
        <v>24009785.752979226</v>
      </c>
      <c r="T26" s="16">
        <f t="shared" si="13"/>
        <v>23889736.824214332</v>
      </c>
      <c r="U26" s="16">
        <f t="shared" ref="U26" si="14">SUM(U20:U25)</f>
        <v>23770288.14009326</v>
      </c>
    </row>
    <row r="28" spans="1:21" ht="15.75" x14ac:dyDescent="0.25">
      <c r="A28" s="68">
        <v>2026</v>
      </c>
      <c r="B28" s="208">
        <v>2024</v>
      </c>
      <c r="C28" s="208">
        <v>2025</v>
      </c>
      <c r="D28" s="208">
        <v>2026</v>
      </c>
      <c r="E28" s="208">
        <v>2027</v>
      </c>
      <c r="F28" s="208">
        <v>2028</v>
      </c>
      <c r="G28" s="208">
        <v>2029</v>
      </c>
      <c r="H28" s="208">
        <v>2030</v>
      </c>
      <c r="I28" s="208">
        <v>2031</v>
      </c>
      <c r="J28" s="208">
        <v>2032</v>
      </c>
      <c r="K28" s="208">
        <v>2033</v>
      </c>
      <c r="L28" s="208">
        <v>2034</v>
      </c>
      <c r="M28" s="208">
        <v>2035</v>
      </c>
      <c r="N28" s="208">
        <v>2036</v>
      </c>
      <c r="O28" s="208">
        <v>2037</v>
      </c>
      <c r="P28" s="208">
        <v>2038</v>
      </c>
      <c r="Q28" s="208">
        <v>2039</v>
      </c>
      <c r="R28" s="208">
        <v>2040</v>
      </c>
      <c r="S28" s="208">
        <v>2041</v>
      </c>
      <c r="T28" s="208">
        <v>2042</v>
      </c>
      <c r="U28" s="208">
        <v>2043</v>
      </c>
    </row>
    <row r="29" spans="1:21" x14ac:dyDescent="0.25">
      <c r="A29" s="155" t="s">
        <v>124</v>
      </c>
      <c r="B29" s="155"/>
      <c r="C29" s="157"/>
      <c r="D29" s="157">
        <f>C20*'ABP Future Assumptions'!$B$93*(IF('Indexed REC Activities'!$A$86="Yes",0,1))</f>
        <v>0</v>
      </c>
      <c r="E29" s="157">
        <f>D20*'ABP Future Assumptions'!$B$93*(IF('Indexed REC Activities'!$A$86="Yes",0,1))</f>
        <v>177234428.3887682</v>
      </c>
      <c r="F29" s="157">
        <f>E20*'ABP Future Assumptions'!$B$93*(IF('Indexed REC Activities'!$A$86="Yes",0,1))</f>
        <v>0</v>
      </c>
      <c r="G29" s="157">
        <f>F20*'ABP Future Assumptions'!$B$93*(IF('Indexed REC Activities'!$A$86="Yes",0,1))</f>
        <v>0</v>
      </c>
      <c r="H29" s="157">
        <f>G20*'ABP Future Assumptions'!$B$93*(IF('Indexed REC Activities'!$A$86="Yes",0,1))</f>
        <v>0</v>
      </c>
      <c r="I29" s="157">
        <f>H20*'ABP Future Assumptions'!$B$93*(IF('Indexed REC Activities'!$A$86="Yes",0,1))</f>
        <v>0</v>
      </c>
      <c r="J29" s="157">
        <f>I20*'ABP Future Assumptions'!$B$93*(IF('Indexed REC Activities'!$A$86="Yes",0,1))</f>
        <v>0</v>
      </c>
      <c r="K29" s="157">
        <f>J20*'ABP Future Assumptions'!$B$93*(IF('Indexed REC Activities'!$A$86="Yes",0,1))</f>
        <v>0</v>
      </c>
      <c r="L29" s="157">
        <f>K20*'ABP Future Assumptions'!$B$93*(IF('Indexed REC Activities'!$A$86="Yes",0,1))</f>
        <v>0</v>
      </c>
      <c r="M29" s="157">
        <f>L20*'ABP Future Assumptions'!$B$93*(IF('Indexed REC Activities'!$A$86="Yes",0,1))</f>
        <v>0</v>
      </c>
      <c r="N29" s="157">
        <f>M20*'ABP Future Assumptions'!$B$93*(IF('Indexed REC Activities'!$A$86="Yes",0,1))</f>
        <v>0</v>
      </c>
      <c r="O29" s="157">
        <f>N20*'ABP Future Assumptions'!$B$93*(IF('Indexed REC Activities'!$A$86="Yes",0,1))</f>
        <v>0</v>
      </c>
      <c r="P29" s="157">
        <f>O20*'ABP Future Assumptions'!$B$93*(IF('Indexed REC Activities'!$A$86="Yes",0,1))</f>
        <v>0</v>
      </c>
      <c r="Q29" s="157">
        <f>P20*'ABP Future Assumptions'!$B$93*(IF('Indexed REC Activities'!$A$86="Yes",0,1))</f>
        <v>0</v>
      </c>
      <c r="R29" s="157">
        <f>Q20*'ABP Future Assumptions'!$B$93*(IF('Indexed REC Activities'!$A$86="Yes",0,1))</f>
        <v>0</v>
      </c>
      <c r="S29" s="157">
        <f>R20*'ABP Future Assumptions'!$B$93*(IF('Indexed REC Activities'!$A$86="Yes",0,1))</f>
        <v>0</v>
      </c>
      <c r="T29" s="157">
        <f>S20*'ABP Future Assumptions'!$B$93*(IF('Indexed REC Activities'!$A$86="Yes",0,1))</f>
        <v>0</v>
      </c>
      <c r="U29" s="157">
        <f>T20*'ABP Future Assumptions'!$B$93*(IF('Indexed REC Activities'!$A$86="Yes",0,1))</f>
        <v>0</v>
      </c>
    </row>
    <row r="30" spans="1:21" x14ac:dyDescent="0.25">
      <c r="A30" s="155" t="s">
        <v>130</v>
      </c>
      <c r="B30" s="155"/>
      <c r="C30" s="157"/>
      <c r="D30" s="157">
        <f>C21*'ABP Future Assumptions'!$B$93*(IF('Indexed REC Activities'!$A$86="Yes",0,1))</f>
        <v>0</v>
      </c>
      <c r="E30" s="157">
        <f>D21*'ABP Future Assumptions'!$B$93*(IF('Indexed REC Activities'!$A$86="Yes",0,1))</f>
        <v>18505183.645032968</v>
      </c>
      <c r="F30" s="157">
        <f>E21*'ABP Future Assumptions'!$B$93*(IF('Indexed REC Activities'!$A$86="Yes",0,1))</f>
        <v>17477117.886975586</v>
      </c>
      <c r="G30" s="157">
        <f>F21*'ABP Future Assumptions'!$B$93*(IF('Indexed REC Activities'!$A$86="Yes",0,1))</f>
        <v>17477117.886975586</v>
      </c>
      <c r="H30" s="157">
        <f>G21*'ABP Future Assumptions'!$B$93*(IF('Indexed REC Activities'!$A$86="Yes",0,1))</f>
        <v>17477117.886975586</v>
      </c>
      <c r="I30" s="157">
        <f>H21*'ABP Future Assumptions'!$B$93*(IF('Indexed REC Activities'!$A$86="Yes",0,1))</f>
        <v>17477117.886975586</v>
      </c>
      <c r="J30" s="157">
        <f>I21*'ABP Future Assumptions'!$B$93*(IF('Indexed REC Activities'!$A$86="Yes",0,1))</f>
        <v>17477117.886975586</v>
      </c>
      <c r="K30" s="157">
        <f>J21*'ABP Future Assumptions'!$B$93*(IF('Indexed REC Activities'!$A$86="Yes",0,1))</f>
        <v>17477117.886975586</v>
      </c>
      <c r="L30" s="157">
        <f>K21*'ABP Future Assumptions'!$B$93*(IF('Indexed REC Activities'!$A$86="Yes",0,1))</f>
        <v>0</v>
      </c>
      <c r="M30" s="157">
        <f>L21*'ABP Future Assumptions'!$B$93*(IF('Indexed REC Activities'!$A$86="Yes",0,1))</f>
        <v>0</v>
      </c>
      <c r="N30" s="157">
        <f>M21*'ABP Future Assumptions'!$B$93*(IF('Indexed REC Activities'!$A$86="Yes",0,1))</f>
        <v>0</v>
      </c>
      <c r="O30" s="157">
        <f>N21*'ABP Future Assumptions'!$B$93*(IF('Indexed REC Activities'!$A$86="Yes",0,1))</f>
        <v>0</v>
      </c>
      <c r="P30" s="157">
        <f>O21*'ABP Future Assumptions'!$B$93*(IF('Indexed REC Activities'!$A$86="Yes",0,1))</f>
        <v>0</v>
      </c>
      <c r="Q30" s="157">
        <f>P21*'ABP Future Assumptions'!$B$93*(IF('Indexed REC Activities'!$A$86="Yes",0,1))</f>
        <v>0</v>
      </c>
      <c r="R30" s="157">
        <f>Q21*'ABP Future Assumptions'!$B$93*(IF('Indexed REC Activities'!$A$86="Yes",0,1))</f>
        <v>0</v>
      </c>
      <c r="S30" s="157">
        <f>R21*'ABP Future Assumptions'!$B$93*(IF('Indexed REC Activities'!$A$86="Yes",0,1))</f>
        <v>0</v>
      </c>
      <c r="T30" s="157">
        <f>S21*'ABP Future Assumptions'!$B$93*(IF('Indexed REC Activities'!$A$86="Yes",0,1))</f>
        <v>0</v>
      </c>
      <c r="U30" s="157">
        <f>T21*'ABP Future Assumptions'!$B$93*(IF('Indexed REC Activities'!$A$86="Yes",0,1))</f>
        <v>0</v>
      </c>
    </row>
    <row r="31" spans="1:21" x14ac:dyDescent="0.25">
      <c r="A31" s="155" t="s">
        <v>139</v>
      </c>
      <c r="B31" s="155"/>
      <c r="C31" s="157"/>
      <c r="D31" s="157">
        <f>C22*'ABP Future Assumptions'!$B$93*(IF('Indexed REC Activities'!$A$86="Yes",0,1))</f>
        <v>0</v>
      </c>
      <c r="E31" s="157">
        <f>D22*'ABP Future Assumptions'!$B$93*(IF('Indexed REC Activities'!$A$86="Yes",0,1))</f>
        <v>0</v>
      </c>
      <c r="F31" s="157">
        <f>E22*'ABP Future Assumptions'!$B$93*(IF('Indexed REC Activities'!$A$86="Yes",0,1))</f>
        <v>15264359.838156717</v>
      </c>
      <c r="G31" s="157">
        <f>F22*'ABP Future Assumptions'!$B$93*(IF('Indexed REC Activities'!$A$86="Yes",0,1))</f>
        <v>15188038.038965931</v>
      </c>
      <c r="H31" s="157">
        <f>G22*'ABP Future Assumptions'!$B$93*(IF('Indexed REC Activities'!$A$86="Yes",0,1))</f>
        <v>15112097.848771101</v>
      </c>
      <c r="I31" s="157">
        <f>H22*'ABP Future Assumptions'!$B$93*(IF('Indexed REC Activities'!$A$86="Yes",0,1))</f>
        <v>15036537.359527245</v>
      </c>
      <c r="J31" s="157">
        <f>I22*'ABP Future Assumptions'!$B$93*(IF('Indexed REC Activities'!$A$86="Yes",0,1))</f>
        <v>14961354.672729611</v>
      </c>
      <c r="K31" s="157">
        <f>J22*'ABP Future Assumptions'!$B$93*(IF('Indexed REC Activities'!$A$86="Yes",0,1))</f>
        <v>14886547.899365963</v>
      </c>
      <c r="L31" s="157">
        <f>K22*'ABP Future Assumptions'!$B$93*(IF('Indexed REC Activities'!$A$86="Yes",0,1))</f>
        <v>14812115.159869133</v>
      </c>
      <c r="M31" s="157">
        <f>L22*'ABP Future Assumptions'!$B$93*(IF('Indexed REC Activities'!$A$86="Yes",0,1))</f>
        <v>14738054.584069787</v>
      </c>
      <c r="N31" s="157">
        <f>M22*'ABP Future Assumptions'!$B$93*(IF('Indexed REC Activities'!$A$86="Yes",0,1))</f>
        <v>14664364.311149437</v>
      </c>
      <c r="O31" s="157">
        <f>N22*'ABP Future Assumptions'!$B$93*(IF('Indexed REC Activities'!$A$86="Yes",0,1))</f>
        <v>14591042.489593692</v>
      </c>
      <c r="P31" s="157">
        <f>O22*'ABP Future Assumptions'!$B$93*(IF('Indexed REC Activities'!$A$86="Yes",0,1))</f>
        <v>14518087.277145723</v>
      </c>
      <c r="Q31" s="157">
        <f>P22*'ABP Future Assumptions'!$B$93*(IF('Indexed REC Activities'!$A$86="Yes",0,1))</f>
        <v>14445496.840759994</v>
      </c>
      <c r="R31" s="157">
        <f>Q22*'ABP Future Assumptions'!$B$93*(IF('Indexed REC Activities'!$A$86="Yes",0,1))</f>
        <v>14373269.356556194</v>
      </c>
      <c r="S31" s="157">
        <f>R22*'ABP Future Assumptions'!$B$93*(IF('Indexed REC Activities'!$A$86="Yes",0,1))</f>
        <v>14301403.009773413</v>
      </c>
      <c r="T31" s="157">
        <f>S22*'ABP Future Assumptions'!$B$93*(IF('Indexed REC Activities'!$A$86="Yes",0,1))</f>
        <v>14229895.994724546</v>
      </c>
      <c r="U31" s="157">
        <f>T22*'ABP Future Assumptions'!$B$93*(IF('Indexed REC Activities'!$A$86="Yes",0,1))</f>
        <v>14158746.514750922</v>
      </c>
    </row>
    <row r="32" spans="1:21" x14ac:dyDescent="0.25">
      <c r="A32" s="155" t="s">
        <v>144</v>
      </c>
      <c r="B32" s="155"/>
      <c r="C32" s="157"/>
      <c r="D32" s="157">
        <f>C23*'ABP Future Assumptions'!$B$93*(IF('Indexed REC Activities'!$A$86="Yes",0,1))</f>
        <v>0</v>
      </c>
      <c r="E32" s="157">
        <f>D23*'ABP Future Assumptions'!$B$93*(IF('Indexed REC Activities'!$A$86="Yes",0,1))</f>
        <v>9508186.0482795909</v>
      </c>
      <c r="F32" s="157">
        <f>E23*'ABP Future Assumptions'!$B$93*(IF('Indexed REC Activities'!$A$86="Yes",0,1))</f>
        <v>9460645.1180381924</v>
      </c>
      <c r="G32" s="157">
        <f>F23*'ABP Future Assumptions'!$B$93*(IF('Indexed REC Activities'!$A$86="Yes",0,1))</f>
        <v>9413341.8924480025</v>
      </c>
      <c r="H32" s="157">
        <f>G23*'ABP Future Assumptions'!$B$93*(IF('Indexed REC Activities'!$A$86="Yes",0,1))</f>
        <v>9366275.1829857621</v>
      </c>
      <c r="I32" s="157">
        <f>H23*'ABP Future Assumptions'!$B$93*(IF('Indexed REC Activities'!$A$86="Yes",0,1))</f>
        <v>9319443.8070708327</v>
      </c>
      <c r="J32" s="157">
        <f>I23*'ABP Future Assumptions'!$B$93*(IF('Indexed REC Activities'!$A$86="Yes",0,1))</f>
        <v>9272846.5880354792</v>
      </c>
      <c r="K32" s="157">
        <f>J23*'ABP Future Assumptions'!$B$93*(IF('Indexed REC Activities'!$A$86="Yes",0,1))</f>
        <v>9226482.3550953008</v>
      </c>
      <c r="L32" s="157">
        <f>K23*'ABP Future Assumptions'!$B$93*(IF('Indexed REC Activities'!$A$86="Yes",0,1))</f>
        <v>9180349.9433198255</v>
      </c>
      <c r="M32" s="157">
        <f>L23*'ABP Future Assumptions'!$B$93*(IF('Indexed REC Activities'!$A$86="Yes",0,1))</f>
        <v>9134448.1936032251</v>
      </c>
      <c r="N32" s="157">
        <f>M23*'ABP Future Assumptions'!$B$93*(IF('Indexed REC Activities'!$A$86="Yes",0,1))</f>
        <v>9088775.9526352081</v>
      </c>
      <c r="O32" s="157">
        <f>N23*'ABP Future Assumptions'!$B$93*(IF('Indexed REC Activities'!$A$86="Yes",0,1))</f>
        <v>9043332.0728720333</v>
      </c>
      <c r="P32" s="157">
        <f>O23*'ABP Future Assumptions'!$B$93*(IF('Indexed REC Activities'!$A$86="Yes",0,1))</f>
        <v>8998115.4125076737</v>
      </c>
      <c r="Q32" s="157">
        <f>P23*'ABP Future Assumptions'!$B$93*(IF('Indexed REC Activities'!$A$86="Yes",0,1))</f>
        <v>8953124.8354451377</v>
      </c>
      <c r="R32" s="157">
        <f>Q23*'ABP Future Assumptions'!$B$93*(IF('Indexed REC Activities'!$A$86="Yes",0,1))</f>
        <v>8908359.211267909</v>
      </c>
      <c r="S32" s="157">
        <f>R23*'ABP Future Assumptions'!$B$93*(IF('Indexed REC Activities'!$A$86="Yes",0,1))</f>
        <v>8863817.4152115714</v>
      </c>
      <c r="T32" s="157">
        <f>S23*'ABP Future Assumptions'!$B$93*(IF('Indexed REC Activities'!$A$86="Yes",0,1))</f>
        <v>8819498.3281355109</v>
      </c>
      <c r="U32" s="157">
        <f>T23*'ABP Future Assumptions'!$B$93*(IF('Indexed REC Activities'!$A$86="Yes",0,1))</f>
        <v>8775400.836494837</v>
      </c>
    </row>
    <row r="33" spans="1:21" x14ac:dyDescent="0.25">
      <c r="A33" s="155" t="s">
        <v>148</v>
      </c>
      <c r="B33" s="155"/>
      <c r="C33" s="157"/>
      <c r="D33" s="157">
        <f>C24*'ABP Future Assumptions'!$B$93*(IF('Indexed REC Activities'!$A$86="Yes",0,1))</f>
        <v>0</v>
      </c>
      <c r="E33" s="157">
        <f>D24*'ABP Future Assumptions'!$B$93*(IF('Indexed REC Activities'!$A$86="Yes",0,1))</f>
        <v>0</v>
      </c>
      <c r="F33" s="157">
        <f>E24*'ABP Future Assumptions'!$B$93*(IF('Indexed REC Activities'!$A$86="Yes",0,1))</f>
        <v>6230229.7593944483</v>
      </c>
      <c r="G33" s="157">
        <f>F24*'ABP Future Assumptions'!$B$93*(IF('Indexed REC Activities'!$A$86="Yes",0,1))</f>
        <v>5884105.8838725351</v>
      </c>
      <c r="H33" s="157">
        <f>G24*'ABP Future Assumptions'!$B$93*(IF('Indexed REC Activities'!$A$86="Yes",0,1))</f>
        <v>5884105.8838725351</v>
      </c>
      <c r="I33" s="157">
        <f>H24*'ABP Future Assumptions'!$B$93*(IF('Indexed REC Activities'!$A$86="Yes",0,1))</f>
        <v>5884105.8838725351</v>
      </c>
      <c r="J33" s="157">
        <f>I24*'ABP Future Assumptions'!$B$93*(IF('Indexed REC Activities'!$A$86="Yes",0,1))</f>
        <v>5884105.8838725351</v>
      </c>
      <c r="K33" s="157">
        <f>J24*'ABP Future Assumptions'!$B$93*(IF('Indexed REC Activities'!$A$86="Yes",0,1))</f>
        <v>5884105.8838725351</v>
      </c>
      <c r="L33" s="157">
        <f>K24*'ABP Future Assumptions'!$B$93*(IF('Indexed REC Activities'!$A$86="Yes",0,1))</f>
        <v>5884105.8838725351</v>
      </c>
      <c r="M33" s="157">
        <f>L24*'ABP Future Assumptions'!$B$93*(IF('Indexed REC Activities'!$A$86="Yes",0,1))</f>
        <v>0</v>
      </c>
      <c r="N33" s="157">
        <f>M24*'ABP Future Assumptions'!$B$93*(IF('Indexed REC Activities'!$A$86="Yes",0,1))</f>
        <v>0</v>
      </c>
      <c r="O33" s="157">
        <f>N24*'ABP Future Assumptions'!$B$93*(IF('Indexed REC Activities'!$A$86="Yes",0,1))</f>
        <v>0</v>
      </c>
      <c r="P33" s="157">
        <f>O24*'ABP Future Assumptions'!$B$93*(IF('Indexed REC Activities'!$A$86="Yes",0,1))</f>
        <v>0</v>
      </c>
      <c r="Q33" s="157">
        <f>P24*'ABP Future Assumptions'!$B$93*(IF('Indexed REC Activities'!$A$86="Yes",0,1))</f>
        <v>0</v>
      </c>
      <c r="R33" s="157">
        <f>Q24*'ABP Future Assumptions'!$B$93*(IF('Indexed REC Activities'!$A$86="Yes",0,1))</f>
        <v>0</v>
      </c>
      <c r="S33" s="157">
        <f>R24*'ABP Future Assumptions'!$B$93*(IF('Indexed REC Activities'!$A$86="Yes",0,1))</f>
        <v>0</v>
      </c>
      <c r="T33" s="157">
        <f>S24*'ABP Future Assumptions'!$B$93*(IF('Indexed REC Activities'!$A$86="Yes",0,1))</f>
        <v>0</v>
      </c>
      <c r="U33" s="157">
        <f>T24*'ABP Future Assumptions'!$B$93*(IF('Indexed REC Activities'!$A$86="Yes",0,1))</f>
        <v>0</v>
      </c>
    </row>
    <row r="34" spans="1:21" x14ac:dyDescent="0.25">
      <c r="A34" s="155" t="s">
        <v>151</v>
      </c>
      <c r="B34" s="155"/>
      <c r="C34" s="157"/>
      <c r="D34" s="157">
        <f>C25*'ABP Future Assumptions'!$B$93*(IF('Indexed REC Activities'!$A$86="Yes",0,1))</f>
        <v>0</v>
      </c>
      <c r="E34" s="157">
        <f>D25*'ABP Future Assumptions'!$B$93*(IF('Indexed REC Activities'!$A$86="Yes",0,1))</f>
        <v>20561315.16114774</v>
      </c>
      <c r="F34" s="157">
        <f>E25*'ABP Future Assumptions'!$B$93*(IF('Indexed REC Activities'!$A$86="Yes",0,1))</f>
        <v>19419019.87441732</v>
      </c>
      <c r="G34" s="157">
        <f>F25*'ABP Future Assumptions'!$B$93*(IF('Indexed REC Activities'!$A$86="Yes",0,1))</f>
        <v>19419019.87441732</v>
      </c>
      <c r="H34" s="157">
        <f>G25*'ABP Future Assumptions'!$B$93*(IF('Indexed REC Activities'!$A$86="Yes",0,1))</f>
        <v>19419019.87441732</v>
      </c>
      <c r="I34" s="157">
        <f>H25*'ABP Future Assumptions'!$B$93*(IF('Indexed REC Activities'!$A$86="Yes",0,1))</f>
        <v>19419019.87441732</v>
      </c>
      <c r="J34" s="157">
        <f>I25*'ABP Future Assumptions'!$B$93*(IF('Indexed REC Activities'!$A$86="Yes",0,1))</f>
        <v>19419019.87441732</v>
      </c>
      <c r="K34" s="157">
        <f>J25*'ABP Future Assumptions'!$B$93*(IF('Indexed REC Activities'!$A$86="Yes",0,1))</f>
        <v>19419019.87441732</v>
      </c>
      <c r="L34" s="157">
        <f>K25*'ABP Future Assumptions'!$B$93*(IF('Indexed REC Activities'!$A$86="Yes",0,1))</f>
        <v>0</v>
      </c>
      <c r="M34" s="157">
        <f>L25*'ABP Future Assumptions'!$B$93*(IF('Indexed REC Activities'!$A$86="Yes",0,1))</f>
        <v>0</v>
      </c>
      <c r="N34" s="157">
        <f>M25*'ABP Future Assumptions'!$B$93*(IF('Indexed REC Activities'!$A$86="Yes",0,1))</f>
        <v>0</v>
      </c>
      <c r="O34" s="157">
        <f>N25*'ABP Future Assumptions'!$B$93*(IF('Indexed REC Activities'!$A$86="Yes",0,1))</f>
        <v>0</v>
      </c>
      <c r="P34" s="157">
        <f>O25*'ABP Future Assumptions'!$B$93*(IF('Indexed REC Activities'!$A$86="Yes",0,1))</f>
        <v>0</v>
      </c>
      <c r="Q34" s="157">
        <f>P25*'ABP Future Assumptions'!$B$93*(IF('Indexed REC Activities'!$A$86="Yes",0,1))</f>
        <v>0</v>
      </c>
      <c r="R34" s="157">
        <f>Q25*'ABP Future Assumptions'!$B$93*(IF('Indexed REC Activities'!$A$86="Yes",0,1))</f>
        <v>0</v>
      </c>
      <c r="S34" s="157">
        <f>R25*'ABP Future Assumptions'!$B$93*(IF('Indexed REC Activities'!$A$86="Yes",0,1))</f>
        <v>0</v>
      </c>
      <c r="T34" s="157">
        <f>S25*'ABP Future Assumptions'!$B$93*(IF('Indexed REC Activities'!$A$86="Yes",0,1))</f>
        <v>0</v>
      </c>
      <c r="U34" s="157">
        <f>T25*'ABP Future Assumptions'!$B$93*(IF('Indexed REC Activities'!$A$86="Yes",0,1))</f>
        <v>0</v>
      </c>
    </row>
    <row r="35" spans="1:21" x14ac:dyDescent="0.25">
      <c r="A35" s="154" t="s">
        <v>98</v>
      </c>
      <c r="B35" s="154"/>
      <c r="C35" s="16">
        <f t="shared" ref="C35:T35" si="15">SUM(C29:C34)</f>
        <v>0</v>
      </c>
      <c r="D35" s="16">
        <f t="shared" si="15"/>
        <v>0</v>
      </c>
      <c r="E35" s="16">
        <f t="shared" si="15"/>
        <v>225809113.2432285</v>
      </c>
      <c r="F35" s="16">
        <f t="shared" si="15"/>
        <v>67851372.476982266</v>
      </c>
      <c r="G35" s="16">
        <f t="shared" si="15"/>
        <v>67381623.576679379</v>
      </c>
      <c r="H35" s="16">
        <f t="shared" si="15"/>
        <v>67258616.677022308</v>
      </c>
      <c r="I35" s="16">
        <f t="shared" si="15"/>
        <v>67136224.811863527</v>
      </c>
      <c r="J35" s="16">
        <f t="shared" si="15"/>
        <v>67014444.906030536</v>
      </c>
      <c r="K35" s="16">
        <f t="shared" si="15"/>
        <v>66893273.899726704</v>
      </c>
      <c r="L35" s="16">
        <f t="shared" si="15"/>
        <v>29876570.987061493</v>
      </c>
      <c r="M35" s="16">
        <f t="shared" si="15"/>
        <v>23872502.777673014</v>
      </c>
      <c r="N35" s="16">
        <f t="shared" si="15"/>
        <v>23753140.263784647</v>
      </c>
      <c r="O35" s="16">
        <f t="shared" si="15"/>
        <v>23634374.562465727</v>
      </c>
      <c r="P35" s="16">
        <f t="shared" si="15"/>
        <v>23516202.689653397</v>
      </c>
      <c r="Q35" s="16">
        <f t="shared" si="15"/>
        <v>23398621.676205132</v>
      </c>
      <c r="R35" s="16">
        <f t="shared" si="15"/>
        <v>23281628.567824103</v>
      </c>
      <c r="S35" s="16">
        <f t="shared" si="15"/>
        <v>23165220.424984984</v>
      </c>
      <c r="T35" s="16">
        <f t="shared" si="15"/>
        <v>23049394.322860055</v>
      </c>
      <c r="U35" s="16">
        <f t="shared" ref="U35" si="16">SUM(U29:U34)</f>
        <v>22934147.351245761</v>
      </c>
    </row>
    <row r="37" spans="1:21" ht="15.75" x14ac:dyDescent="0.25">
      <c r="A37" s="68">
        <v>2027</v>
      </c>
      <c r="B37" s="208">
        <v>2024</v>
      </c>
      <c r="C37" s="208">
        <v>2025</v>
      </c>
      <c r="D37" s="208">
        <v>2026</v>
      </c>
      <c r="E37" s="208">
        <v>2027</v>
      </c>
      <c r="F37" s="208">
        <v>2028</v>
      </c>
      <c r="G37" s="208">
        <v>2029</v>
      </c>
      <c r="H37" s="208">
        <v>2030</v>
      </c>
      <c r="I37" s="208">
        <v>2031</v>
      </c>
      <c r="J37" s="208">
        <v>2032</v>
      </c>
      <c r="K37" s="208">
        <v>2033</v>
      </c>
      <c r="L37" s="208">
        <v>2034</v>
      </c>
      <c r="M37" s="208">
        <v>2035</v>
      </c>
      <c r="N37" s="208">
        <v>2036</v>
      </c>
      <c r="O37" s="208">
        <v>2037</v>
      </c>
      <c r="P37" s="208">
        <v>2038</v>
      </c>
      <c r="Q37" s="208">
        <v>2039</v>
      </c>
      <c r="R37" s="208">
        <v>2040</v>
      </c>
      <c r="S37" s="208">
        <v>2041</v>
      </c>
      <c r="T37" s="208">
        <v>2042</v>
      </c>
      <c r="U37" s="208">
        <v>2043</v>
      </c>
    </row>
    <row r="38" spans="1:21" x14ac:dyDescent="0.25">
      <c r="A38" s="155" t="s">
        <v>124</v>
      </c>
      <c r="B38" s="155"/>
      <c r="C38" s="157"/>
      <c r="D38" s="157"/>
      <c r="E38" s="157">
        <f>D29*'ABP Future Assumptions'!$B$93</f>
        <v>0</v>
      </c>
      <c r="F38" s="157">
        <f>E29*'ABP Future Assumptions'!$B$93</f>
        <v>170145051.25321746</v>
      </c>
      <c r="G38" s="157">
        <f>F29*'ABP Future Assumptions'!$B$93</f>
        <v>0</v>
      </c>
      <c r="H38" s="157">
        <f>G29*'ABP Future Assumptions'!$B$93</f>
        <v>0</v>
      </c>
      <c r="I38" s="157">
        <f>H29*'ABP Future Assumptions'!$B$93</f>
        <v>0</v>
      </c>
      <c r="J38" s="157">
        <f>I29*'ABP Future Assumptions'!$B$93</f>
        <v>0</v>
      </c>
      <c r="K38" s="157">
        <f>J29*'ABP Future Assumptions'!$B$93</f>
        <v>0</v>
      </c>
      <c r="L38" s="157">
        <f>K29*'ABP Future Assumptions'!$B$93</f>
        <v>0</v>
      </c>
      <c r="M38" s="157">
        <f>L29*'ABP Future Assumptions'!$B$93</f>
        <v>0</v>
      </c>
      <c r="N38" s="157">
        <f>M29*'ABP Future Assumptions'!$B$93</f>
        <v>0</v>
      </c>
      <c r="O38" s="157">
        <f>N29*'ABP Future Assumptions'!$B$93</f>
        <v>0</v>
      </c>
      <c r="P38" s="157">
        <f>O29*'ABP Future Assumptions'!$B$93</f>
        <v>0</v>
      </c>
      <c r="Q38" s="157">
        <f>P29*'ABP Future Assumptions'!$B$93</f>
        <v>0</v>
      </c>
      <c r="R38" s="157">
        <f>Q29*'ABP Future Assumptions'!$B$93</f>
        <v>0</v>
      </c>
      <c r="S38" s="157">
        <f>R29*'ABP Future Assumptions'!$B$93</f>
        <v>0</v>
      </c>
      <c r="T38" s="157">
        <f>S29*'ABP Future Assumptions'!$B$93</f>
        <v>0</v>
      </c>
      <c r="U38" s="157">
        <f>T29*'ABP Future Assumptions'!$B$93</f>
        <v>0</v>
      </c>
    </row>
    <row r="39" spans="1:21" x14ac:dyDescent="0.25">
      <c r="A39" s="155" t="s">
        <v>130</v>
      </c>
      <c r="B39" s="155"/>
      <c r="C39" s="157"/>
      <c r="D39" s="157"/>
      <c r="E39" s="157">
        <f>D30*'ABP Future Assumptions'!$B$93</f>
        <v>0</v>
      </c>
      <c r="F39" s="157">
        <f>E30*'ABP Future Assumptions'!$B$93</f>
        <v>17764976.299231648</v>
      </c>
      <c r="G39" s="157">
        <f>F30*'ABP Future Assumptions'!$B$93</f>
        <v>16778033.171496563</v>
      </c>
      <c r="H39" s="157">
        <f>G30*'ABP Future Assumptions'!$B$93</f>
        <v>16778033.171496563</v>
      </c>
      <c r="I39" s="157">
        <f>H30*'ABP Future Assumptions'!$B$93</f>
        <v>16778033.171496563</v>
      </c>
      <c r="J39" s="157">
        <f>I30*'ABP Future Assumptions'!$B$93</f>
        <v>16778033.171496563</v>
      </c>
      <c r="K39" s="157">
        <f>J30*'ABP Future Assumptions'!$B$93</f>
        <v>16778033.171496563</v>
      </c>
      <c r="L39" s="157">
        <f>K30*'ABP Future Assumptions'!$B$93</f>
        <v>16778033.171496563</v>
      </c>
      <c r="M39" s="157">
        <f>L30*'ABP Future Assumptions'!$B$93</f>
        <v>0</v>
      </c>
      <c r="N39" s="157">
        <f>M30*'ABP Future Assumptions'!$B$93</f>
        <v>0</v>
      </c>
      <c r="O39" s="157">
        <f>N30*'ABP Future Assumptions'!$B$93</f>
        <v>0</v>
      </c>
      <c r="P39" s="157">
        <f>O30*'ABP Future Assumptions'!$B$93</f>
        <v>0</v>
      </c>
      <c r="Q39" s="157">
        <f>P30*'ABP Future Assumptions'!$B$93</f>
        <v>0</v>
      </c>
      <c r="R39" s="157">
        <f>Q30*'ABP Future Assumptions'!$B$93</f>
        <v>0</v>
      </c>
      <c r="S39" s="157">
        <f>R30*'ABP Future Assumptions'!$B$93</f>
        <v>0</v>
      </c>
      <c r="T39" s="157">
        <f>S30*'ABP Future Assumptions'!$B$93</f>
        <v>0</v>
      </c>
      <c r="U39" s="157">
        <f>T30*'ABP Future Assumptions'!$B$93</f>
        <v>0</v>
      </c>
    </row>
    <row r="40" spans="1:21" x14ac:dyDescent="0.25">
      <c r="A40" s="155" t="s">
        <v>139</v>
      </c>
      <c r="B40" s="155"/>
      <c r="C40" s="157"/>
      <c r="D40" s="157"/>
      <c r="E40" s="157">
        <f>D31*'ABP Future Assumptions'!$B$93</f>
        <v>0</v>
      </c>
      <c r="F40" s="157">
        <f>E31*'ABP Future Assumptions'!$B$93</f>
        <v>0</v>
      </c>
      <c r="G40" s="157">
        <f>F31*'ABP Future Assumptions'!$B$93</f>
        <v>14653785.444630448</v>
      </c>
      <c r="H40" s="157">
        <f>G31*'ABP Future Assumptions'!$B$93</f>
        <v>14580516.517407293</v>
      </c>
      <c r="I40" s="157">
        <f>H31*'ABP Future Assumptions'!$B$93</f>
        <v>14507613.934820257</v>
      </c>
      <c r="J40" s="157">
        <f>I31*'ABP Future Assumptions'!$B$93</f>
        <v>14435075.865146155</v>
      </c>
      <c r="K40" s="157">
        <f>J31*'ABP Future Assumptions'!$B$93</f>
        <v>14362900.485820426</v>
      </c>
      <c r="L40" s="157">
        <f>K31*'ABP Future Assumptions'!$B$93</f>
        <v>14291085.983391324</v>
      </c>
      <c r="M40" s="157">
        <f>L31*'ABP Future Assumptions'!$B$93</f>
        <v>14219630.553474367</v>
      </c>
      <c r="N40" s="157">
        <f>M31*'ABP Future Assumptions'!$B$93</f>
        <v>14148532.400706995</v>
      </c>
      <c r="O40" s="157">
        <f>N31*'ABP Future Assumptions'!$B$93</f>
        <v>14077789.73870346</v>
      </c>
      <c r="P40" s="157">
        <f>O31*'ABP Future Assumptions'!$B$93</f>
        <v>14007400.790009944</v>
      </c>
      <c r="Q40" s="157">
        <f>P31*'ABP Future Assumptions'!$B$93</f>
        <v>13937363.786059894</v>
      </c>
      <c r="R40" s="157">
        <f>Q31*'ABP Future Assumptions'!$B$93</f>
        <v>13867676.967129594</v>
      </c>
      <c r="S40" s="157">
        <f>R31*'ABP Future Assumptions'!$B$93</f>
        <v>13798338.582293946</v>
      </c>
      <c r="T40" s="157">
        <f>S31*'ABP Future Assumptions'!$B$93</f>
        <v>13729346.889382476</v>
      </c>
      <c r="U40" s="157">
        <f>T31*'ABP Future Assumptions'!$B$93</f>
        <v>13660700.154935563</v>
      </c>
    </row>
    <row r="41" spans="1:21" x14ac:dyDescent="0.25">
      <c r="A41" s="155" t="s">
        <v>144</v>
      </c>
      <c r="B41" s="155"/>
      <c r="C41" s="157"/>
      <c r="D41" s="157"/>
      <c r="E41" s="157">
        <f>D32*'ABP Future Assumptions'!$B$93</f>
        <v>0</v>
      </c>
      <c r="F41" s="157">
        <f>E32*'ABP Future Assumptions'!$B$93</f>
        <v>9127858.6063484065</v>
      </c>
      <c r="G41" s="157">
        <f>F32*'ABP Future Assumptions'!$B$93</f>
        <v>9082219.3133166637</v>
      </c>
      <c r="H41" s="157">
        <f>G32*'ABP Future Assumptions'!$B$93</f>
        <v>9036808.2167500816</v>
      </c>
      <c r="I41" s="157">
        <f>H32*'ABP Future Assumptions'!$B$93</f>
        <v>8991624.1756663322</v>
      </c>
      <c r="J41" s="157">
        <f>I32*'ABP Future Assumptions'!$B$93</f>
        <v>8946666.054787999</v>
      </c>
      <c r="K41" s="157">
        <f>J32*'ABP Future Assumptions'!$B$93</f>
        <v>8901932.7245140597</v>
      </c>
      <c r="L41" s="157">
        <f>K32*'ABP Future Assumptions'!$B$93</f>
        <v>8857423.0608914886</v>
      </c>
      <c r="M41" s="157">
        <f>L32*'ABP Future Assumptions'!$B$93</f>
        <v>8813135.9455870315</v>
      </c>
      <c r="N41" s="157">
        <f>M32*'ABP Future Assumptions'!$B$93</f>
        <v>8769070.2658590954</v>
      </c>
      <c r="O41" s="157">
        <f>N32*'ABP Future Assumptions'!$B$93</f>
        <v>8725224.9145298004</v>
      </c>
      <c r="P41" s="157">
        <f>O32*'ABP Future Assumptions'!$B$93</f>
        <v>8681598.7899571508</v>
      </c>
      <c r="Q41" s="157">
        <f>P32*'ABP Future Assumptions'!$B$93</f>
        <v>8638190.7960073669</v>
      </c>
      <c r="R41" s="157">
        <f>Q32*'ABP Future Assumptions'!$B$93</f>
        <v>8594999.8420273326</v>
      </c>
      <c r="S41" s="157">
        <f>R32*'ABP Future Assumptions'!$B$93</f>
        <v>8552024.8428171929</v>
      </c>
      <c r="T41" s="157">
        <f>S32*'ABP Future Assumptions'!$B$93</f>
        <v>8509264.7186031081</v>
      </c>
      <c r="U41" s="157">
        <f>T32*'ABP Future Assumptions'!$B$93</f>
        <v>8466718.3950100895</v>
      </c>
    </row>
    <row r="42" spans="1:21" x14ac:dyDescent="0.25">
      <c r="A42" s="155" t="s">
        <v>148</v>
      </c>
      <c r="B42" s="155"/>
      <c r="C42" s="157"/>
      <c r="D42" s="157"/>
      <c r="E42" s="157">
        <f>D33*'ABP Future Assumptions'!$B$93</f>
        <v>0</v>
      </c>
      <c r="F42" s="157">
        <f>E33*'ABP Future Assumptions'!$B$93</f>
        <v>0</v>
      </c>
      <c r="G42" s="157">
        <f>F33*'ABP Future Assumptions'!$B$93</f>
        <v>5981020.5690186704</v>
      </c>
      <c r="H42" s="157">
        <f>G33*'ABP Future Assumptions'!$B$93</f>
        <v>5648741.6485176338</v>
      </c>
      <c r="I42" s="157">
        <f>H33*'ABP Future Assumptions'!$B$93</f>
        <v>5648741.6485176338</v>
      </c>
      <c r="J42" s="157">
        <f>I33*'ABP Future Assumptions'!$B$93</f>
        <v>5648741.6485176338</v>
      </c>
      <c r="K42" s="157">
        <f>J33*'ABP Future Assumptions'!$B$93</f>
        <v>5648741.6485176338</v>
      </c>
      <c r="L42" s="157">
        <f>K33*'ABP Future Assumptions'!$B$93</f>
        <v>5648741.6485176338</v>
      </c>
      <c r="M42" s="157">
        <f>L33*'ABP Future Assumptions'!$B$93</f>
        <v>5648741.6485176338</v>
      </c>
      <c r="N42" s="157">
        <f>M33*'ABP Future Assumptions'!$B$93</f>
        <v>0</v>
      </c>
      <c r="O42" s="157">
        <f>N33*'ABP Future Assumptions'!$B$93</f>
        <v>0</v>
      </c>
      <c r="P42" s="157">
        <f>O33*'ABP Future Assumptions'!$B$93</f>
        <v>0</v>
      </c>
      <c r="Q42" s="157">
        <f>P33*'ABP Future Assumptions'!$B$93</f>
        <v>0</v>
      </c>
      <c r="R42" s="157">
        <f>Q33*'ABP Future Assumptions'!$B$93</f>
        <v>0</v>
      </c>
      <c r="S42" s="157">
        <f>R33*'ABP Future Assumptions'!$B$93</f>
        <v>0</v>
      </c>
      <c r="T42" s="157">
        <f>S33*'ABP Future Assumptions'!$B$93</f>
        <v>0</v>
      </c>
      <c r="U42" s="157">
        <f>T33*'ABP Future Assumptions'!$B$93</f>
        <v>0</v>
      </c>
    </row>
    <row r="43" spans="1:21" x14ac:dyDescent="0.25">
      <c r="A43" s="155" t="s">
        <v>151</v>
      </c>
      <c r="B43" s="155"/>
      <c r="C43" s="157"/>
      <c r="D43" s="157"/>
      <c r="E43" s="157">
        <f>D34*'ABP Future Assumptions'!$B$93</f>
        <v>0</v>
      </c>
      <c r="F43" s="157">
        <f>E34*'ABP Future Assumptions'!$B$93</f>
        <v>19738862.554701831</v>
      </c>
      <c r="G43" s="157">
        <f>F34*'ABP Future Assumptions'!$B$93</f>
        <v>18642259.079440627</v>
      </c>
      <c r="H43" s="157">
        <f>G34*'ABP Future Assumptions'!$B$93</f>
        <v>18642259.079440627</v>
      </c>
      <c r="I43" s="157">
        <f>H34*'ABP Future Assumptions'!$B$93</f>
        <v>18642259.079440627</v>
      </c>
      <c r="J43" s="157">
        <f>I34*'ABP Future Assumptions'!$B$93</f>
        <v>18642259.079440627</v>
      </c>
      <c r="K43" s="157">
        <f>J34*'ABP Future Assumptions'!$B$93</f>
        <v>18642259.079440627</v>
      </c>
      <c r="L43" s="157">
        <f>K34*'ABP Future Assumptions'!$B$93</f>
        <v>18642259.079440627</v>
      </c>
      <c r="M43" s="157">
        <f>L34*'ABP Future Assumptions'!$B$93</f>
        <v>0</v>
      </c>
      <c r="N43" s="157">
        <f>M34*'ABP Future Assumptions'!$B$93</f>
        <v>0</v>
      </c>
      <c r="O43" s="157">
        <f>N34*'ABP Future Assumptions'!$B$93</f>
        <v>0</v>
      </c>
      <c r="P43" s="157">
        <f>O34*'ABP Future Assumptions'!$B$93</f>
        <v>0</v>
      </c>
      <c r="Q43" s="157">
        <f>P34*'ABP Future Assumptions'!$B$93</f>
        <v>0</v>
      </c>
      <c r="R43" s="157">
        <f>Q34*'ABP Future Assumptions'!$B$93</f>
        <v>0</v>
      </c>
      <c r="S43" s="157">
        <f>R34*'ABP Future Assumptions'!$B$93</f>
        <v>0</v>
      </c>
      <c r="T43" s="157">
        <f>S34*'ABP Future Assumptions'!$B$93</f>
        <v>0</v>
      </c>
      <c r="U43" s="157">
        <f>T34*'ABP Future Assumptions'!$B$93</f>
        <v>0</v>
      </c>
    </row>
    <row r="44" spans="1:21" x14ac:dyDescent="0.25">
      <c r="A44" s="154" t="s">
        <v>98</v>
      </c>
      <c r="B44" s="154"/>
      <c r="C44" s="16">
        <f t="shared" ref="C44:T44" si="17">SUM(C38:C43)</f>
        <v>0</v>
      </c>
      <c r="D44" s="16">
        <f t="shared" si="17"/>
        <v>0</v>
      </c>
      <c r="E44" s="16">
        <f t="shared" si="17"/>
        <v>0</v>
      </c>
      <c r="F44" s="16">
        <f t="shared" si="17"/>
        <v>216776748.71349934</v>
      </c>
      <c r="G44" s="16">
        <f t="shared" si="17"/>
        <v>65137317.577902973</v>
      </c>
      <c r="H44" s="16">
        <f t="shared" si="17"/>
        <v>64686358.633612201</v>
      </c>
      <c r="I44" s="16">
        <f t="shared" si="17"/>
        <v>64568272.009941414</v>
      </c>
      <c r="J44" s="16">
        <f t="shared" si="17"/>
        <v>64450775.819388971</v>
      </c>
      <c r="K44" s="16">
        <f t="shared" si="17"/>
        <v>64333867.109789312</v>
      </c>
      <c r="L44" s="16">
        <f t="shared" si="17"/>
        <v>64217542.943737626</v>
      </c>
      <c r="M44" s="16">
        <f t="shared" si="17"/>
        <v>28681508.147579033</v>
      </c>
      <c r="N44" s="16">
        <f t="shared" si="17"/>
        <v>22917602.666566089</v>
      </c>
      <c r="O44" s="16">
        <f t="shared" si="17"/>
        <v>22803014.65323326</v>
      </c>
      <c r="P44" s="16">
        <f t="shared" si="17"/>
        <v>22688999.579967096</v>
      </c>
      <c r="Q44" s="16">
        <f t="shared" si="17"/>
        <v>22575554.582067259</v>
      </c>
      <c r="R44" s="16">
        <f t="shared" si="17"/>
        <v>22462676.809156924</v>
      </c>
      <c r="S44" s="16">
        <f t="shared" si="17"/>
        <v>22350363.425111137</v>
      </c>
      <c r="T44" s="16">
        <f t="shared" si="17"/>
        <v>22238611.607985586</v>
      </c>
      <c r="U44" s="16">
        <f t="shared" ref="U44" si="18">SUM(U38:U43)</f>
        <v>22127418.549945652</v>
      </c>
    </row>
    <row r="46" spans="1:21" ht="15.75" x14ac:dyDescent="0.25">
      <c r="A46" s="68">
        <v>2028</v>
      </c>
      <c r="B46" s="208">
        <v>2024</v>
      </c>
      <c r="C46" s="208">
        <v>2025</v>
      </c>
      <c r="D46" s="208">
        <v>2026</v>
      </c>
      <c r="E46" s="208">
        <v>2027</v>
      </c>
      <c r="F46" s="208">
        <v>2028</v>
      </c>
      <c r="G46" s="208">
        <v>2029</v>
      </c>
      <c r="H46" s="208">
        <v>2030</v>
      </c>
      <c r="I46" s="208">
        <v>2031</v>
      </c>
      <c r="J46" s="208">
        <v>2032</v>
      </c>
      <c r="K46" s="208">
        <v>2033</v>
      </c>
      <c r="L46" s="208">
        <v>2034</v>
      </c>
      <c r="M46" s="208">
        <v>2035</v>
      </c>
      <c r="N46" s="208">
        <v>2036</v>
      </c>
      <c r="O46" s="208">
        <v>2037</v>
      </c>
      <c r="P46" s="208">
        <v>2038</v>
      </c>
      <c r="Q46" s="208">
        <v>2039</v>
      </c>
      <c r="R46" s="208">
        <v>2040</v>
      </c>
      <c r="S46" s="208">
        <v>2041</v>
      </c>
      <c r="T46" s="208">
        <v>2042</v>
      </c>
      <c r="U46" s="208">
        <v>2043</v>
      </c>
    </row>
    <row r="47" spans="1:21" x14ac:dyDescent="0.25">
      <c r="A47" s="155" t="s">
        <v>124</v>
      </c>
      <c r="B47" s="155"/>
      <c r="C47" s="157"/>
      <c r="D47" s="157"/>
      <c r="E47" s="157"/>
      <c r="F47" s="157">
        <f>E38*'ABP Future Assumptions'!$B$93</f>
        <v>0</v>
      </c>
      <c r="G47" s="157">
        <f>F38*'ABP Future Assumptions'!$B$93</f>
        <v>163339249.20308876</v>
      </c>
      <c r="H47" s="157">
        <f>G38*'ABP Future Assumptions'!$B$93</f>
        <v>0</v>
      </c>
      <c r="I47" s="157">
        <f>H38*'ABP Future Assumptions'!$B$93</f>
        <v>0</v>
      </c>
      <c r="J47" s="157">
        <f>I38*'ABP Future Assumptions'!$B$93</f>
        <v>0</v>
      </c>
      <c r="K47" s="157">
        <f>J38*'ABP Future Assumptions'!$B$93</f>
        <v>0</v>
      </c>
      <c r="L47" s="157">
        <f>K38*'ABP Future Assumptions'!$B$93</f>
        <v>0</v>
      </c>
      <c r="M47" s="157">
        <f>L38*'ABP Future Assumptions'!$B$93</f>
        <v>0</v>
      </c>
      <c r="N47" s="157">
        <f>M38*'ABP Future Assumptions'!$B$93</f>
        <v>0</v>
      </c>
      <c r="O47" s="157">
        <f>N38*'ABP Future Assumptions'!$B$93</f>
        <v>0</v>
      </c>
      <c r="P47" s="157">
        <f>O38*'ABP Future Assumptions'!$B$93</f>
        <v>0</v>
      </c>
      <c r="Q47" s="157">
        <f>P38*'ABP Future Assumptions'!$B$93</f>
        <v>0</v>
      </c>
      <c r="R47" s="157">
        <f>Q38*'ABP Future Assumptions'!$B$93</f>
        <v>0</v>
      </c>
      <c r="S47" s="157">
        <f>R38*'ABP Future Assumptions'!$B$93</f>
        <v>0</v>
      </c>
      <c r="T47" s="157">
        <f>S38*'ABP Future Assumptions'!$B$93</f>
        <v>0</v>
      </c>
      <c r="U47" s="157">
        <f>T38*'ABP Future Assumptions'!$B$93</f>
        <v>0</v>
      </c>
    </row>
    <row r="48" spans="1:21" x14ac:dyDescent="0.25">
      <c r="A48" s="155" t="s">
        <v>130</v>
      </c>
      <c r="B48" s="155"/>
      <c r="C48" s="157"/>
      <c r="D48" s="157"/>
      <c r="E48" s="157"/>
      <c r="F48" s="157">
        <f>E39*'ABP Future Assumptions'!$B$93</f>
        <v>0</v>
      </c>
      <c r="G48" s="157">
        <f>F39*'ABP Future Assumptions'!$B$93</f>
        <v>17054377.247262381</v>
      </c>
      <c r="H48" s="157">
        <f>G39*'ABP Future Assumptions'!$B$93</f>
        <v>16106911.844636699</v>
      </c>
      <c r="I48" s="157">
        <f>H39*'ABP Future Assumptions'!$B$93</f>
        <v>16106911.844636699</v>
      </c>
      <c r="J48" s="157">
        <f>I39*'ABP Future Assumptions'!$B$93</f>
        <v>16106911.844636699</v>
      </c>
      <c r="K48" s="157">
        <f>J39*'ABP Future Assumptions'!$B$93</f>
        <v>16106911.844636699</v>
      </c>
      <c r="L48" s="157">
        <f>K39*'ABP Future Assumptions'!$B$93</f>
        <v>16106911.844636699</v>
      </c>
      <c r="M48" s="157">
        <f>L39*'ABP Future Assumptions'!$B$93</f>
        <v>16106911.844636699</v>
      </c>
      <c r="N48" s="157">
        <f>M39*'ABP Future Assumptions'!$B$93</f>
        <v>0</v>
      </c>
      <c r="O48" s="157">
        <f>N39*'ABP Future Assumptions'!$B$93</f>
        <v>0</v>
      </c>
      <c r="P48" s="157">
        <f>O39*'ABP Future Assumptions'!$B$93</f>
        <v>0</v>
      </c>
      <c r="Q48" s="157">
        <f>P39*'ABP Future Assumptions'!$B$93</f>
        <v>0</v>
      </c>
      <c r="R48" s="157">
        <f>Q39*'ABP Future Assumptions'!$B$93</f>
        <v>0</v>
      </c>
      <c r="S48" s="157">
        <f>R39*'ABP Future Assumptions'!$B$93</f>
        <v>0</v>
      </c>
      <c r="T48" s="157">
        <f>S39*'ABP Future Assumptions'!$B$93</f>
        <v>0</v>
      </c>
      <c r="U48" s="157">
        <f>T39*'ABP Future Assumptions'!$B$93</f>
        <v>0</v>
      </c>
    </row>
    <row r="49" spans="1:21" x14ac:dyDescent="0.25">
      <c r="A49" s="155" t="s">
        <v>139</v>
      </c>
      <c r="B49" s="155"/>
      <c r="C49" s="157"/>
      <c r="D49" s="157"/>
      <c r="E49" s="157"/>
      <c r="F49" s="157">
        <f>E40*'ABP Future Assumptions'!$B$93</f>
        <v>0</v>
      </c>
      <c r="G49" s="157">
        <f>F40*'ABP Future Assumptions'!$B$93</f>
        <v>0</v>
      </c>
      <c r="H49" s="157">
        <f>G40*'ABP Future Assumptions'!$B$93</f>
        <v>14067634.02684523</v>
      </c>
      <c r="I49" s="157">
        <f>H40*'ABP Future Assumptions'!$B$93</f>
        <v>13997295.856711</v>
      </c>
      <c r="J49" s="157">
        <f>I40*'ABP Future Assumptions'!$B$93</f>
        <v>13927309.377427446</v>
      </c>
      <c r="K49" s="157">
        <f>J40*'ABP Future Assumptions'!$B$93</f>
        <v>13857672.830540309</v>
      </c>
      <c r="L49" s="157">
        <f>K40*'ABP Future Assumptions'!$B$93</f>
        <v>13788384.466387609</v>
      </c>
      <c r="M49" s="157">
        <f>L40*'ABP Future Assumptions'!$B$93</f>
        <v>13719442.54405567</v>
      </c>
      <c r="N49" s="157">
        <f>M40*'ABP Future Assumptions'!$B$93</f>
        <v>13650845.331335392</v>
      </c>
      <c r="O49" s="157">
        <f>N40*'ABP Future Assumptions'!$B$93</f>
        <v>13582591.104678715</v>
      </c>
      <c r="P49" s="157">
        <f>O40*'ABP Future Assumptions'!$B$93</f>
        <v>13514678.149155321</v>
      </c>
      <c r="Q49" s="157">
        <f>P40*'ABP Future Assumptions'!$B$93</f>
        <v>13447104.758409545</v>
      </c>
      <c r="R49" s="157">
        <f>Q40*'ABP Future Assumptions'!$B$93</f>
        <v>13379869.234617498</v>
      </c>
      <c r="S49" s="157">
        <f>R40*'ABP Future Assumptions'!$B$93</f>
        <v>13312969.888444409</v>
      </c>
      <c r="T49" s="157">
        <f>S40*'ABP Future Assumptions'!$B$93</f>
        <v>13246405.039002188</v>
      </c>
      <c r="U49" s="157">
        <f>T40*'ABP Future Assumptions'!$B$93</f>
        <v>13180173.013807176</v>
      </c>
    </row>
    <row r="50" spans="1:21" x14ac:dyDescent="0.25">
      <c r="A50" s="155" t="s">
        <v>144</v>
      </c>
      <c r="B50" s="155"/>
      <c r="C50" s="157"/>
      <c r="D50" s="157"/>
      <c r="E50" s="157"/>
      <c r="F50" s="157">
        <f>E41*'ABP Future Assumptions'!$B$93</f>
        <v>0</v>
      </c>
      <c r="G50" s="157">
        <f>F41*'ABP Future Assumptions'!$B$93</f>
        <v>8762744.2620944697</v>
      </c>
      <c r="H50" s="157">
        <f>G41*'ABP Future Assumptions'!$B$93</f>
        <v>8718930.5407839976</v>
      </c>
      <c r="I50" s="157">
        <f>H41*'ABP Future Assumptions'!$B$93</f>
        <v>8675335.8880800772</v>
      </c>
      <c r="J50" s="157">
        <f>I41*'ABP Future Assumptions'!$B$93</f>
        <v>8631959.2086396795</v>
      </c>
      <c r="K50" s="157">
        <f>J41*'ABP Future Assumptions'!$B$93</f>
        <v>8588799.4125964791</v>
      </c>
      <c r="L50" s="157">
        <f>K41*'ABP Future Assumptions'!$B$93</f>
        <v>8545855.4155334979</v>
      </c>
      <c r="M50" s="157">
        <f>L41*'ABP Future Assumptions'!$B$93</f>
        <v>8503126.1384558287</v>
      </c>
      <c r="N50" s="157">
        <f>M41*'ABP Future Assumptions'!$B$93</f>
        <v>8460610.5077635497</v>
      </c>
      <c r="O50" s="157">
        <f>N41*'ABP Future Assumptions'!$B$93</f>
        <v>8418307.4552247319</v>
      </c>
      <c r="P50" s="157">
        <f>O41*'ABP Future Assumptions'!$B$93</f>
        <v>8376215.9179486083</v>
      </c>
      <c r="Q50" s="157">
        <f>P41*'ABP Future Assumptions'!$B$93</f>
        <v>8334334.8383588642</v>
      </c>
      <c r="R50" s="157">
        <f>Q41*'ABP Future Assumptions'!$B$93</f>
        <v>8292663.1641670717</v>
      </c>
      <c r="S50" s="157">
        <f>R41*'ABP Future Assumptions'!$B$93</f>
        <v>8251199.848346239</v>
      </c>
      <c r="T50" s="157">
        <f>S41*'ABP Future Assumptions'!$B$93</f>
        <v>8209943.849104505</v>
      </c>
      <c r="U50" s="157">
        <f>T41*'ABP Future Assumptions'!$B$93</f>
        <v>8168894.1298589837</v>
      </c>
    </row>
    <row r="51" spans="1:21" x14ac:dyDescent="0.25">
      <c r="A51" s="155" t="s">
        <v>148</v>
      </c>
      <c r="B51" s="155"/>
      <c r="C51" s="157"/>
      <c r="D51" s="157"/>
      <c r="E51" s="157"/>
      <c r="F51" s="157">
        <f>E42*'ABP Future Assumptions'!$B$93</f>
        <v>0</v>
      </c>
      <c r="G51" s="157">
        <f>F42*'ABP Future Assumptions'!$B$93</f>
        <v>0</v>
      </c>
      <c r="H51" s="157">
        <f>G42*'ABP Future Assumptions'!$B$93</f>
        <v>5741779.7462579235</v>
      </c>
      <c r="I51" s="157">
        <f>H42*'ABP Future Assumptions'!$B$93</f>
        <v>5422791.9825769281</v>
      </c>
      <c r="J51" s="157">
        <f>I42*'ABP Future Assumptions'!$B$93</f>
        <v>5422791.9825769281</v>
      </c>
      <c r="K51" s="157">
        <f>J42*'ABP Future Assumptions'!$B$93</f>
        <v>5422791.9825769281</v>
      </c>
      <c r="L51" s="157">
        <f>K42*'ABP Future Assumptions'!$B$93</f>
        <v>5422791.9825769281</v>
      </c>
      <c r="M51" s="157">
        <f>L42*'ABP Future Assumptions'!$B$93</f>
        <v>5422791.9825769281</v>
      </c>
      <c r="N51" s="157">
        <f>M42*'ABP Future Assumptions'!$B$93</f>
        <v>5422791.9825769281</v>
      </c>
      <c r="O51" s="157">
        <f>N42*'ABP Future Assumptions'!$B$93</f>
        <v>0</v>
      </c>
      <c r="P51" s="157">
        <f>O42*'ABP Future Assumptions'!$B$93</f>
        <v>0</v>
      </c>
      <c r="Q51" s="157">
        <f>P42*'ABP Future Assumptions'!$B$93</f>
        <v>0</v>
      </c>
      <c r="R51" s="157">
        <f>Q42*'ABP Future Assumptions'!$B$93</f>
        <v>0</v>
      </c>
      <c r="S51" s="157">
        <f>R42*'ABP Future Assumptions'!$B$93</f>
        <v>0</v>
      </c>
      <c r="T51" s="157">
        <f>S42*'ABP Future Assumptions'!$B$93</f>
        <v>0</v>
      </c>
      <c r="U51" s="157">
        <f>T42*'ABP Future Assumptions'!$B$93</f>
        <v>0</v>
      </c>
    </row>
    <row r="52" spans="1:21" x14ac:dyDescent="0.25">
      <c r="A52" s="155" t="s">
        <v>151</v>
      </c>
      <c r="B52" s="155"/>
      <c r="C52" s="157"/>
      <c r="D52" s="157"/>
      <c r="E52" s="157"/>
      <c r="F52" s="157">
        <f>E43*'ABP Future Assumptions'!$B$93</f>
        <v>0</v>
      </c>
      <c r="G52" s="157">
        <f>F43*'ABP Future Assumptions'!$B$93</f>
        <v>18949308.052513756</v>
      </c>
      <c r="H52" s="157">
        <f>G43*'ABP Future Assumptions'!$B$93</f>
        <v>17896568.716263</v>
      </c>
      <c r="I52" s="157">
        <f>H43*'ABP Future Assumptions'!$B$93</f>
        <v>17896568.716263</v>
      </c>
      <c r="J52" s="157">
        <f>I43*'ABP Future Assumptions'!$B$93</f>
        <v>17896568.716263</v>
      </c>
      <c r="K52" s="157">
        <f>J43*'ABP Future Assumptions'!$B$93</f>
        <v>17896568.716263</v>
      </c>
      <c r="L52" s="157">
        <f>K43*'ABP Future Assumptions'!$B$93</f>
        <v>17896568.716263</v>
      </c>
      <c r="M52" s="157">
        <f>L43*'ABP Future Assumptions'!$B$93</f>
        <v>17896568.716263</v>
      </c>
      <c r="N52" s="157">
        <f>M43*'ABP Future Assumptions'!$B$93</f>
        <v>0</v>
      </c>
      <c r="O52" s="157">
        <f>N43*'ABP Future Assumptions'!$B$93</f>
        <v>0</v>
      </c>
      <c r="P52" s="157">
        <f>O43*'ABP Future Assumptions'!$B$93</f>
        <v>0</v>
      </c>
      <c r="Q52" s="157">
        <f>P43*'ABP Future Assumptions'!$B$93</f>
        <v>0</v>
      </c>
      <c r="R52" s="157">
        <f>Q43*'ABP Future Assumptions'!$B$93</f>
        <v>0</v>
      </c>
      <c r="S52" s="157">
        <f>R43*'ABP Future Assumptions'!$B$93</f>
        <v>0</v>
      </c>
      <c r="T52" s="157">
        <f>S43*'ABP Future Assumptions'!$B$93</f>
        <v>0</v>
      </c>
      <c r="U52" s="157">
        <f>T43*'ABP Future Assumptions'!$B$93</f>
        <v>0</v>
      </c>
    </row>
    <row r="53" spans="1:21" x14ac:dyDescent="0.25">
      <c r="A53" s="154" t="s">
        <v>98</v>
      </c>
      <c r="B53" s="154"/>
      <c r="C53" s="16">
        <f t="shared" ref="C53:T53" si="19">SUM(C47:C52)</f>
        <v>0</v>
      </c>
      <c r="D53" s="16">
        <f t="shared" si="19"/>
        <v>0</v>
      </c>
      <c r="E53" s="16">
        <f t="shared" si="19"/>
        <v>0</v>
      </c>
      <c r="F53" s="16">
        <f t="shared" si="19"/>
        <v>0</v>
      </c>
      <c r="G53" s="16">
        <f t="shared" si="19"/>
        <v>208105678.76495937</v>
      </c>
      <c r="H53" s="16">
        <f t="shared" si="19"/>
        <v>62531824.874786854</v>
      </c>
      <c r="I53" s="16">
        <f t="shared" si="19"/>
        <v>62098904.288267702</v>
      </c>
      <c r="J53" s="16">
        <f t="shared" si="19"/>
        <v>61985541.129543751</v>
      </c>
      <c r="K53" s="16">
        <f t="shared" si="19"/>
        <v>61872744.78661342</v>
      </c>
      <c r="L53" s="16">
        <f t="shared" si="19"/>
        <v>61760512.425397739</v>
      </c>
      <c r="M53" s="16">
        <f t="shared" si="19"/>
        <v>61648841.225988135</v>
      </c>
      <c r="N53" s="16">
        <f t="shared" si="19"/>
        <v>27534247.821675871</v>
      </c>
      <c r="O53" s="16">
        <f t="shared" si="19"/>
        <v>22000898.559903447</v>
      </c>
      <c r="P53" s="16">
        <f t="shared" si="19"/>
        <v>21890894.06710393</v>
      </c>
      <c r="Q53" s="16">
        <f t="shared" si="19"/>
        <v>21781439.596768409</v>
      </c>
      <c r="R53" s="16">
        <f t="shared" si="19"/>
        <v>21672532.39878457</v>
      </c>
      <c r="S53" s="16">
        <f t="shared" si="19"/>
        <v>21564169.73679065</v>
      </c>
      <c r="T53" s="16">
        <f t="shared" si="19"/>
        <v>21456348.888106693</v>
      </c>
      <c r="U53" s="16">
        <f t="shared" ref="U53" si="20">SUM(U47:U52)</f>
        <v>21349067.143666159</v>
      </c>
    </row>
    <row r="55" spans="1:21" ht="15.75" x14ac:dyDescent="0.25">
      <c r="A55" s="68">
        <v>2029</v>
      </c>
      <c r="B55" s="208">
        <v>2024</v>
      </c>
      <c r="C55" s="208">
        <v>2025</v>
      </c>
      <c r="D55" s="208">
        <v>2026</v>
      </c>
      <c r="E55" s="208">
        <v>2027</v>
      </c>
      <c r="F55" s="208">
        <v>2028</v>
      </c>
      <c r="G55" s="208">
        <v>2029</v>
      </c>
      <c r="H55" s="208">
        <v>2030</v>
      </c>
      <c r="I55" s="208">
        <v>2031</v>
      </c>
      <c r="J55" s="208">
        <v>2032</v>
      </c>
      <c r="K55" s="208">
        <v>2033</v>
      </c>
      <c r="L55" s="208">
        <v>2034</v>
      </c>
      <c r="M55" s="208">
        <v>2035</v>
      </c>
      <c r="N55" s="208">
        <v>2036</v>
      </c>
      <c r="O55" s="208">
        <v>2037</v>
      </c>
      <c r="P55" s="208">
        <v>2038</v>
      </c>
      <c r="Q55" s="208">
        <v>2039</v>
      </c>
      <c r="R55" s="208">
        <v>2040</v>
      </c>
      <c r="S55" s="208">
        <v>2041</v>
      </c>
      <c r="T55" s="208">
        <v>2042</v>
      </c>
      <c r="U55" s="208">
        <v>2043</v>
      </c>
    </row>
    <row r="56" spans="1:21" x14ac:dyDescent="0.25">
      <c r="A56" s="155" t="s">
        <v>124</v>
      </c>
      <c r="B56" s="155"/>
      <c r="C56" s="157"/>
      <c r="D56" s="157"/>
      <c r="E56" s="157"/>
      <c r="F56" s="157"/>
      <c r="G56" s="157">
        <f>F47*'ABP Future Assumptions'!$B$93</f>
        <v>0</v>
      </c>
      <c r="H56" s="157">
        <f>G47*'ABP Future Assumptions'!$B$93</f>
        <v>156805679.23496521</v>
      </c>
      <c r="I56" s="157">
        <f>H47*'ABP Future Assumptions'!$B$93</f>
        <v>0</v>
      </c>
      <c r="J56" s="157">
        <f>I47*'ABP Future Assumptions'!$B$93</f>
        <v>0</v>
      </c>
      <c r="K56" s="157">
        <f>J47*'ABP Future Assumptions'!$B$93</f>
        <v>0</v>
      </c>
      <c r="L56" s="157">
        <f>K47*'ABP Future Assumptions'!$B$93</f>
        <v>0</v>
      </c>
      <c r="M56" s="157">
        <f>L47*'ABP Future Assumptions'!$B$93</f>
        <v>0</v>
      </c>
      <c r="N56" s="157">
        <f>M47*'ABP Future Assumptions'!$B$93</f>
        <v>0</v>
      </c>
      <c r="O56" s="157">
        <f>N47*'ABP Future Assumptions'!$B$93</f>
        <v>0</v>
      </c>
      <c r="P56" s="157">
        <f>O47*'ABP Future Assumptions'!$B$93</f>
        <v>0</v>
      </c>
      <c r="Q56" s="157">
        <f>P47*'ABP Future Assumptions'!$B$93</f>
        <v>0</v>
      </c>
      <c r="R56" s="157">
        <f>Q47*'ABP Future Assumptions'!$B$93</f>
        <v>0</v>
      </c>
      <c r="S56" s="157">
        <f>R47*'ABP Future Assumptions'!$B$93</f>
        <v>0</v>
      </c>
      <c r="T56" s="157">
        <f>S47*'ABP Future Assumptions'!$B$93</f>
        <v>0</v>
      </c>
      <c r="U56" s="157">
        <f>T47*'ABP Future Assumptions'!$B$93</f>
        <v>0</v>
      </c>
    </row>
    <row r="57" spans="1:21" x14ac:dyDescent="0.25">
      <c r="A57" s="155" t="s">
        <v>130</v>
      </c>
      <c r="B57" s="155"/>
      <c r="C57" s="157"/>
      <c r="D57" s="157"/>
      <c r="E57" s="157"/>
      <c r="F57" s="157"/>
      <c r="G57" s="157">
        <f>F48*'ABP Future Assumptions'!$B$93</f>
        <v>0</v>
      </c>
      <c r="H57" s="157">
        <f>G48*'ABP Future Assumptions'!$B$93</f>
        <v>16372202.157371886</v>
      </c>
      <c r="I57" s="157">
        <f>H48*'ABP Future Assumptions'!$B$93</f>
        <v>15462635.37085123</v>
      </c>
      <c r="J57" s="157">
        <f>I48*'ABP Future Assumptions'!$B$93</f>
        <v>15462635.37085123</v>
      </c>
      <c r="K57" s="157">
        <f>J48*'ABP Future Assumptions'!$B$93</f>
        <v>15462635.37085123</v>
      </c>
      <c r="L57" s="157">
        <f>K48*'ABP Future Assumptions'!$B$93</f>
        <v>15462635.37085123</v>
      </c>
      <c r="M57" s="157">
        <f>L48*'ABP Future Assumptions'!$B$93</f>
        <v>15462635.37085123</v>
      </c>
      <c r="N57" s="157">
        <f>M48*'ABP Future Assumptions'!$B$93</f>
        <v>15462635.37085123</v>
      </c>
      <c r="O57" s="157">
        <f>N48*'ABP Future Assumptions'!$B$93</f>
        <v>0</v>
      </c>
      <c r="P57" s="157">
        <f>O48*'ABP Future Assumptions'!$B$93</f>
        <v>0</v>
      </c>
      <c r="Q57" s="157">
        <f>P48*'ABP Future Assumptions'!$B$93</f>
        <v>0</v>
      </c>
      <c r="R57" s="157">
        <f>Q48*'ABP Future Assumptions'!$B$93</f>
        <v>0</v>
      </c>
      <c r="S57" s="157">
        <f>R48*'ABP Future Assumptions'!$B$93</f>
        <v>0</v>
      </c>
      <c r="T57" s="157">
        <f>S48*'ABP Future Assumptions'!$B$93</f>
        <v>0</v>
      </c>
      <c r="U57" s="157">
        <f>T48*'ABP Future Assumptions'!$B$93</f>
        <v>0</v>
      </c>
    </row>
    <row r="58" spans="1:21" x14ac:dyDescent="0.25">
      <c r="A58" s="155" t="s">
        <v>139</v>
      </c>
      <c r="B58" s="155"/>
      <c r="C58" s="157"/>
      <c r="D58" s="157"/>
      <c r="E58" s="157"/>
      <c r="F58" s="157"/>
      <c r="G58" s="157">
        <f>F49*'ABP Future Assumptions'!$B$93</f>
        <v>0</v>
      </c>
      <c r="H58" s="157">
        <f>G49*'ABP Future Assumptions'!$B$93</f>
        <v>0</v>
      </c>
      <c r="I58" s="157">
        <f>H49*'ABP Future Assumptions'!$B$93</f>
        <v>13504928.665771419</v>
      </c>
      <c r="J58" s="157">
        <f>I49*'ABP Future Assumptions'!$B$93</f>
        <v>13437404.022442559</v>
      </c>
      <c r="K58" s="157">
        <f>J49*'ABP Future Assumptions'!$B$93</f>
        <v>13370217.002330348</v>
      </c>
      <c r="L58" s="157">
        <f>K49*'ABP Future Assumptions'!$B$93</f>
        <v>13303365.917318696</v>
      </c>
      <c r="M58" s="157">
        <f>L49*'ABP Future Assumptions'!$B$93</f>
        <v>13236849.087732105</v>
      </c>
      <c r="N58" s="157">
        <f>M49*'ABP Future Assumptions'!$B$93</f>
        <v>13170664.842293443</v>
      </c>
      <c r="O58" s="157">
        <f>N49*'ABP Future Assumptions'!$B$93</f>
        <v>13104811.518081976</v>
      </c>
      <c r="P58" s="157">
        <f>O49*'ABP Future Assumptions'!$B$93</f>
        <v>13039287.460491566</v>
      </c>
      <c r="Q58" s="157">
        <f>P49*'ABP Future Assumptions'!$B$93</f>
        <v>12974091.023189107</v>
      </c>
      <c r="R58" s="157">
        <f>Q49*'ABP Future Assumptions'!$B$93</f>
        <v>12909220.568073163</v>
      </c>
      <c r="S58" s="157">
        <f>R49*'ABP Future Assumptions'!$B$93</f>
        <v>12844674.465232797</v>
      </c>
      <c r="T58" s="157">
        <f>S49*'ABP Future Assumptions'!$B$93</f>
        <v>12780451.092906632</v>
      </c>
      <c r="U58" s="157">
        <f>T49*'ABP Future Assumptions'!$B$93</f>
        <v>12716548.8374421</v>
      </c>
    </row>
    <row r="59" spans="1:21" x14ac:dyDescent="0.25">
      <c r="A59" s="155" t="s">
        <v>144</v>
      </c>
      <c r="B59" s="155"/>
      <c r="C59" s="157"/>
      <c r="D59" s="157"/>
      <c r="E59" s="157"/>
      <c r="F59" s="157"/>
      <c r="G59" s="157">
        <f>F50*'ABP Future Assumptions'!$B$93</f>
        <v>0</v>
      </c>
      <c r="H59" s="157">
        <f>G50*'ABP Future Assumptions'!$B$93</f>
        <v>8412234.491610691</v>
      </c>
      <c r="I59" s="157">
        <f>H50*'ABP Future Assumptions'!$B$93</f>
        <v>8370173.3191526374</v>
      </c>
      <c r="J59" s="157">
        <f>I50*'ABP Future Assumptions'!$B$93</f>
        <v>8328322.4525568737</v>
      </c>
      <c r="K59" s="157">
        <f>J50*'ABP Future Assumptions'!$B$93</f>
        <v>8286680.840294092</v>
      </c>
      <c r="L59" s="157">
        <f>K50*'ABP Future Assumptions'!$B$93</f>
        <v>8245247.4360926198</v>
      </c>
      <c r="M59" s="157">
        <f>L50*'ABP Future Assumptions'!$B$93</f>
        <v>8204021.1989121577</v>
      </c>
      <c r="N59" s="157">
        <f>M50*'ABP Future Assumptions'!$B$93</f>
        <v>8163001.0929175951</v>
      </c>
      <c r="O59" s="157">
        <f>N50*'ABP Future Assumptions'!$B$93</f>
        <v>8122186.0874530077</v>
      </c>
      <c r="P59" s="157">
        <f>O50*'ABP Future Assumptions'!$B$93</f>
        <v>8081575.1570157427</v>
      </c>
      <c r="Q59" s="157">
        <f>P50*'ABP Future Assumptions'!$B$93</f>
        <v>8041167.2812306639</v>
      </c>
      <c r="R59" s="157">
        <f>Q50*'ABP Future Assumptions'!$B$93</f>
        <v>8000961.4448245093</v>
      </c>
      <c r="S59" s="157">
        <f>R50*'ABP Future Assumptions'!$B$93</f>
        <v>7960956.6376003884</v>
      </c>
      <c r="T59" s="157">
        <f>S50*'ABP Future Assumptions'!$B$93</f>
        <v>7921151.854412389</v>
      </c>
      <c r="U59" s="157">
        <f>T50*'ABP Future Assumptions'!$B$93</f>
        <v>7881546.0951403249</v>
      </c>
    </row>
    <row r="60" spans="1:21" x14ac:dyDescent="0.25">
      <c r="A60" s="155" t="s">
        <v>148</v>
      </c>
      <c r="B60" s="155"/>
      <c r="C60" s="157"/>
      <c r="D60" s="157"/>
      <c r="E60" s="157"/>
      <c r="F60" s="157"/>
      <c r="G60" s="157">
        <f>F51*'ABP Future Assumptions'!$B$93</f>
        <v>0</v>
      </c>
      <c r="H60" s="157">
        <f>G51*'ABP Future Assumptions'!$B$93</f>
        <v>0</v>
      </c>
      <c r="I60" s="157">
        <f>H51*'ABP Future Assumptions'!$B$93</f>
        <v>5512108.5564076062</v>
      </c>
      <c r="J60" s="157">
        <f>I51*'ABP Future Assumptions'!$B$93</f>
        <v>5205880.3032738511</v>
      </c>
      <c r="K60" s="157">
        <f>J51*'ABP Future Assumptions'!$B$93</f>
        <v>5205880.3032738511</v>
      </c>
      <c r="L60" s="157">
        <f>K51*'ABP Future Assumptions'!$B$93</f>
        <v>5205880.3032738511</v>
      </c>
      <c r="M60" s="157">
        <f>L51*'ABP Future Assumptions'!$B$93</f>
        <v>5205880.3032738511</v>
      </c>
      <c r="N60" s="157">
        <f>M51*'ABP Future Assumptions'!$B$93</f>
        <v>5205880.3032738511</v>
      </c>
      <c r="O60" s="157">
        <f>N51*'ABP Future Assumptions'!$B$93</f>
        <v>5205880.3032738511</v>
      </c>
      <c r="P60" s="157">
        <f>O51*'ABP Future Assumptions'!$B$93</f>
        <v>0</v>
      </c>
      <c r="Q60" s="157">
        <f>P51*'ABP Future Assumptions'!$B$93</f>
        <v>0</v>
      </c>
      <c r="R60" s="157">
        <f>Q51*'ABP Future Assumptions'!$B$93</f>
        <v>0</v>
      </c>
      <c r="S60" s="157">
        <f>R51*'ABP Future Assumptions'!$B$93</f>
        <v>0</v>
      </c>
      <c r="T60" s="157">
        <f>S51*'ABP Future Assumptions'!$B$93</f>
        <v>0</v>
      </c>
      <c r="U60" s="157">
        <f>T51*'ABP Future Assumptions'!$B$93</f>
        <v>0</v>
      </c>
    </row>
    <row r="61" spans="1:21" x14ac:dyDescent="0.25">
      <c r="A61" s="155" t="s">
        <v>151</v>
      </c>
      <c r="B61" s="155"/>
      <c r="C61" s="157"/>
      <c r="D61" s="157"/>
      <c r="E61" s="157"/>
      <c r="F61" s="157"/>
      <c r="G61" s="157">
        <f>F52*'ABP Future Assumptions'!$B$93</f>
        <v>0</v>
      </c>
      <c r="H61" s="157">
        <f>G52*'ABP Future Assumptions'!$B$93</f>
        <v>18191335.730413206</v>
      </c>
      <c r="I61" s="157">
        <f>H52*'ABP Future Assumptions'!$B$93</f>
        <v>17180705.967612479</v>
      </c>
      <c r="J61" s="157">
        <f>I52*'ABP Future Assumptions'!$B$93</f>
        <v>17180705.967612479</v>
      </c>
      <c r="K61" s="157">
        <f>J52*'ABP Future Assumptions'!$B$93</f>
        <v>17180705.967612479</v>
      </c>
      <c r="L61" s="157">
        <f>K52*'ABP Future Assumptions'!$B$93</f>
        <v>17180705.967612479</v>
      </c>
      <c r="M61" s="157">
        <f>L52*'ABP Future Assumptions'!$B$93</f>
        <v>17180705.967612479</v>
      </c>
      <c r="N61" s="157">
        <f>M52*'ABP Future Assumptions'!$B$93</f>
        <v>17180705.967612479</v>
      </c>
      <c r="O61" s="157">
        <f>N52*'ABP Future Assumptions'!$B$93</f>
        <v>0</v>
      </c>
      <c r="P61" s="157">
        <f>O52*'ABP Future Assumptions'!$B$93</f>
        <v>0</v>
      </c>
      <c r="Q61" s="157">
        <f>P52*'ABP Future Assumptions'!$B$93</f>
        <v>0</v>
      </c>
      <c r="R61" s="157">
        <f>Q52*'ABP Future Assumptions'!$B$93</f>
        <v>0</v>
      </c>
      <c r="S61" s="157">
        <f>R52*'ABP Future Assumptions'!$B$93</f>
        <v>0</v>
      </c>
      <c r="T61" s="157">
        <f>S52*'ABP Future Assumptions'!$B$93</f>
        <v>0</v>
      </c>
      <c r="U61" s="157">
        <f>T52*'ABP Future Assumptions'!$B$93</f>
        <v>0</v>
      </c>
    </row>
    <row r="62" spans="1:21" x14ac:dyDescent="0.25">
      <c r="A62" s="154" t="s">
        <v>98</v>
      </c>
      <c r="B62" s="154"/>
      <c r="C62" s="16">
        <f t="shared" ref="C62:T62" si="21">SUM(C56:C61)</f>
        <v>0</v>
      </c>
      <c r="D62" s="16">
        <f t="shared" si="21"/>
        <v>0</v>
      </c>
      <c r="E62" s="16">
        <f t="shared" si="21"/>
        <v>0</v>
      </c>
      <c r="F62" s="16">
        <f t="shared" si="21"/>
        <v>0</v>
      </c>
      <c r="G62" s="16">
        <f t="shared" si="21"/>
        <v>0</v>
      </c>
      <c r="H62" s="16">
        <f t="shared" si="21"/>
        <v>199781451.61436099</v>
      </c>
      <c r="I62" s="16">
        <f t="shared" si="21"/>
        <v>60030551.879795372</v>
      </c>
      <c r="J62" s="16">
        <f t="shared" si="21"/>
        <v>59614948.116736993</v>
      </c>
      <c r="K62" s="16">
        <f t="shared" si="21"/>
        <v>59506119.484361991</v>
      </c>
      <c r="L62" s="16">
        <f t="shared" si="21"/>
        <v>59397834.995148882</v>
      </c>
      <c r="M62" s="16">
        <f t="shared" si="21"/>
        <v>59290091.928381816</v>
      </c>
      <c r="N62" s="16">
        <f t="shared" si="21"/>
        <v>59182887.576948598</v>
      </c>
      <c r="O62" s="16">
        <f t="shared" si="21"/>
        <v>26432877.908808835</v>
      </c>
      <c r="P62" s="16">
        <f t="shared" si="21"/>
        <v>21120862.617507309</v>
      </c>
      <c r="Q62" s="16">
        <f t="shared" si="21"/>
        <v>21015258.304419771</v>
      </c>
      <c r="R62" s="16">
        <f t="shared" si="21"/>
        <v>20910182.01289767</v>
      </c>
      <c r="S62" s="16">
        <f t="shared" si="21"/>
        <v>20805631.102833185</v>
      </c>
      <c r="T62" s="16">
        <f t="shared" si="21"/>
        <v>20701602.94731902</v>
      </c>
      <c r="U62" s="16">
        <f t="shared" ref="U62" si="22">SUM(U56:U61)</f>
        <v>20598094.932582423</v>
      </c>
    </row>
    <row r="64" spans="1:21" ht="15.75" x14ac:dyDescent="0.25">
      <c r="A64" s="68">
        <v>2030</v>
      </c>
      <c r="B64" s="208">
        <v>2024</v>
      </c>
      <c r="C64" s="208">
        <v>2025</v>
      </c>
      <c r="D64" s="208">
        <v>2026</v>
      </c>
      <c r="E64" s="208">
        <v>2027</v>
      </c>
      <c r="F64" s="208">
        <v>2028</v>
      </c>
      <c r="G64" s="208">
        <v>2029</v>
      </c>
      <c r="H64" s="208">
        <v>2030</v>
      </c>
      <c r="I64" s="208">
        <v>2031</v>
      </c>
      <c r="J64" s="208">
        <v>2032</v>
      </c>
      <c r="K64" s="208">
        <v>2033</v>
      </c>
      <c r="L64" s="208">
        <v>2034</v>
      </c>
      <c r="M64" s="208">
        <v>2035</v>
      </c>
      <c r="N64" s="208">
        <v>2036</v>
      </c>
      <c r="O64" s="208">
        <v>2037</v>
      </c>
      <c r="P64" s="208">
        <v>2038</v>
      </c>
      <c r="Q64" s="208">
        <v>2039</v>
      </c>
      <c r="R64" s="208">
        <v>2040</v>
      </c>
      <c r="S64" s="208">
        <v>2041</v>
      </c>
      <c r="T64" s="208">
        <v>2042</v>
      </c>
      <c r="U64" s="208">
        <v>2043</v>
      </c>
    </row>
    <row r="65" spans="1:21" x14ac:dyDescent="0.25">
      <c r="A65" s="155" t="s">
        <v>124</v>
      </c>
      <c r="B65" s="155"/>
      <c r="C65" s="157"/>
      <c r="D65" s="157"/>
      <c r="E65" s="157"/>
      <c r="F65" s="157"/>
      <c r="G65" s="157"/>
      <c r="H65" s="157">
        <f>G56*'ABP Future Assumptions'!$B$93</f>
        <v>0</v>
      </c>
      <c r="I65" s="157">
        <f>H56*'ABP Future Assumptions'!$B$93</f>
        <v>150533452.0655666</v>
      </c>
      <c r="J65" s="157">
        <f>I56*'ABP Future Assumptions'!$B$93</f>
        <v>0</v>
      </c>
      <c r="K65" s="157">
        <f>J56*'ABP Future Assumptions'!$B$93</f>
        <v>0</v>
      </c>
      <c r="L65" s="157">
        <f>K56*'ABP Future Assumptions'!$B$93</f>
        <v>0</v>
      </c>
      <c r="M65" s="157">
        <f>L56*'ABP Future Assumptions'!$B$93</f>
        <v>0</v>
      </c>
      <c r="N65" s="157">
        <f>M56*'ABP Future Assumptions'!$B$93</f>
        <v>0</v>
      </c>
      <c r="O65" s="157">
        <f>N56*'ABP Future Assumptions'!$B$93</f>
        <v>0</v>
      </c>
      <c r="P65" s="157">
        <f>O56*'ABP Future Assumptions'!$B$93</f>
        <v>0</v>
      </c>
      <c r="Q65" s="157">
        <f>P56*'ABP Future Assumptions'!$B$93</f>
        <v>0</v>
      </c>
      <c r="R65" s="157">
        <f>Q56*'ABP Future Assumptions'!$B$93</f>
        <v>0</v>
      </c>
      <c r="S65" s="157">
        <f>R56*'ABP Future Assumptions'!$B$93</f>
        <v>0</v>
      </c>
      <c r="T65" s="157">
        <f>S56*'ABP Future Assumptions'!$B$93</f>
        <v>0</v>
      </c>
      <c r="U65" s="157">
        <f>T56*'ABP Future Assumptions'!$B$93</f>
        <v>0</v>
      </c>
    </row>
    <row r="66" spans="1:21" x14ac:dyDescent="0.25">
      <c r="A66" s="155" t="s">
        <v>130</v>
      </c>
      <c r="B66" s="155"/>
      <c r="C66" s="157"/>
      <c r="D66" s="157"/>
      <c r="E66" s="157"/>
      <c r="F66" s="157"/>
      <c r="G66" s="157"/>
      <c r="H66" s="157">
        <f>G57*'ABP Future Assumptions'!$B$93</f>
        <v>0</v>
      </c>
      <c r="I66" s="157">
        <f>H57*'ABP Future Assumptions'!$B$93</f>
        <v>15717314.07107701</v>
      </c>
      <c r="J66" s="157">
        <f>I57*'ABP Future Assumptions'!$B$93</f>
        <v>14844129.956017179</v>
      </c>
      <c r="K66" s="157">
        <f>J57*'ABP Future Assumptions'!$B$93</f>
        <v>14844129.956017179</v>
      </c>
      <c r="L66" s="157">
        <f>K57*'ABP Future Assumptions'!$B$93</f>
        <v>14844129.956017179</v>
      </c>
      <c r="M66" s="157">
        <f>L57*'ABP Future Assumptions'!$B$93</f>
        <v>14844129.956017179</v>
      </c>
      <c r="N66" s="157">
        <f>M57*'ABP Future Assumptions'!$B$93</f>
        <v>14844129.956017179</v>
      </c>
      <c r="O66" s="157">
        <f>N57*'ABP Future Assumptions'!$B$93</f>
        <v>14844129.956017179</v>
      </c>
      <c r="P66" s="157">
        <f>O57*'ABP Future Assumptions'!$B$93</f>
        <v>0</v>
      </c>
      <c r="Q66" s="157">
        <f>P57*'ABP Future Assumptions'!$B$93</f>
        <v>0</v>
      </c>
      <c r="R66" s="157">
        <f>Q57*'ABP Future Assumptions'!$B$93</f>
        <v>0</v>
      </c>
      <c r="S66" s="157">
        <f>R57*'ABP Future Assumptions'!$B$93</f>
        <v>0</v>
      </c>
      <c r="T66" s="157">
        <f>S57*'ABP Future Assumptions'!$B$93</f>
        <v>0</v>
      </c>
      <c r="U66" s="157">
        <f>T57*'ABP Future Assumptions'!$B$93</f>
        <v>0</v>
      </c>
    </row>
    <row r="67" spans="1:21" x14ac:dyDescent="0.25">
      <c r="A67" s="155" t="s">
        <v>139</v>
      </c>
      <c r="B67" s="155"/>
      <c r="C67" s="157"/>
      <c r="D67" s="157"/>
      <c r="E67" s="157"/>
      <c r="F67" s="157"/>
      <c r="G67" s="157"/>
      <c r="H67" s="157">
        <f>G58*'ABP Future Assumptions'!$B$93</f>
        <v>0</v>
      </c>
      <c r="I67" s="157">
        <f>H58*'ABP Future Assumptions'!$B$93</f>
        <v>0</v>
      </c>
      <c r="J67" s="157">
        <f>I58*'ABP Future Assumptions'!$B$93</f>
        <v>12964731.519140562</v>
      </c>
      <c r="K67" s="157">
        <f>J58*'ABP Future Assumptions'!$B$93</f>
        <v>12899907.861544857</v>
      </c>
      <c r="L67" s="157">
        <f>K58*'ABP Future Assumptions'!$B$93</f>
        <v>12835408.322237134</v>
      </c>
      <c r="M67" s="157">
        <f>L58*'ABP Future Assumptions'!$B$93</f>
        <v>12771231.280625949</v>
      </c>
      <c r="N67" s="157">
        <f>M58*'ABP Future Assumptions'!$B$93</f>
        <v>12707375.124222821</v>
      </c>
      <c r="O67" s="157">
        <f>N58*'ABP Future Assumptions'!$B$93</f>
        <v>12643838.248601705</v>
      </c>
      <c r="P67" s="157">
        <f>O58*'ABP Future Assumptions'!$B$93</f>
        <v>12580619.057358697</v>
      </c>
      <c r="Q67" s="157">
        <f>P58*'ABP Future Assumptions'!$B$93</f>
        <v>12517715.962071903</v>
      </c>
      <c r="R67" s="157">
        <f>Q58*'ABP Future Assumptions'!$B$93</f>
        <v>12455127.382261543</v>
      </c>
      <c r="S67" s="157">
        <f>R58*'ABP Future Assumptions'!$B$93</f>
        <v>12392851.745350236</v>
      </c>
      <c r="T67" s="157">
        <f>S58*'ABP Future Assumptions'!$B$93</f>
        <v>12330887.486623485</v>
      </c>
      <c r="U67" s="157">
        <f>T58*'ABP Future Assumptions'!$B$93</f>
        <v>12269233.049190367</v>
      </c>
    </row>
    <row r="68" spans="1:21" x14ac:dyDescent="0.25">
      <c r="A68" s="155" t="s">
        <v>144</v>
      </c>
      <c r="B68" s="155"/>
      <c r="C68" s="157"/>
      <c r="D68" s="157"/>
      <c r="E68" s="157"/>
      <c r="F68" s="157"/>
      <c r="G68" s="157"/>
      <c r="H68" s="157">
        <f>G59*'ABP Future Assumptions'!$B$93</f>
        <v>0</v>
      </c>
      <c r="I68" s="157">
        <f>H59*'ABP Future Assumptions'!$B$93</f>
        <v>8075745.1119462634</v>
      </c>
      <c r="J68" s="157">
        <f>I59*'ABP Future Assumptions'!$B$93</f>
        <v>8035366.3863865314</v>
      </c>
      <c r="K68" s="157">
        <f>J59*'ABP Future Assumptions'!$B$93</f>
        <v>7995189.5544545986</v>
      </c>
      <c r="L68" s="157">
        <f>K59*'ABP Future Assumptions'!$B$93</f>
        <v>7955213.6066823276</v>
      </c>
      <c r="M68" s="157">
        <f>L59*'ABP Future Assumptions'!$B$93</f>
        <v>7915437.5386489145</v>
      </c>
      <c r="N68" s="157">
        <f>M59*'ABP Future Assumptions'!$B$93</f>
        <v>7875860.3509556707</v>
      </c>
      <c r="O68" s="157">
        <f>N59*'ABP Future Assumptions'!$B$93</f>
        <v>7836481.0492008906</v>
      </c>
      <c r="P68" s="157">
        <f>O59*'ABP Future Assumptions'!$B$93</f>
        <v>7797298.6439548871</v>
      </c>
      <c r="Q68" s="157">
        <f>P59*'ABP Future Assumptions'!$B$93</f>
        <v>7758312.1507351128</v>
      </c>
      <c r="R68" s="157">
        <f>Q59*'ABP Future Assumptions'!$B$93</f>
        <v>7719520.5899814367</v>
      </c>
      <c r="S68" s="157">
        <f>R59*'ABP Future Assumptions'!$B$93</f>
        <v>7680922.9870315287</v>
      </c>
      <c r="T68" s="157">
        <f>S59*'ABP Future Assumptions'!$B$93</f>
        <v>7642518.3720963728</v>
      </c>
      <c r="U68" s="157">
        <f>T59*'ABP Future Assumptions'!$B$93</f>
        <v>7604305.7802358931</v>
      </c>
    </row>
    <row r="69" spans="1:21" x14ac:dyDescent="0.25">
      <c r="A69" s="155" t="s">
        <v>148</v>
      </c>
      <c r="B69" s="155"/>
      <c r="C69" s="157"/>
      <c r="D69" s="157"/>
      <c r="E69" s="157"/>
      <c r="F69" s="157"/>
      <c r="G69" s="157"/>
      <c r="H69" s="157">
        <f>G60*'ABP Future Assumptions'!$B$93</f>
        <v>0</v>
      </c>
      <c r="I69" s="157">
        <f>H60*'ABP Future Assumptions'!$B$93</f>
        <v>0</v>
      </c>
      <c r="J69" s="157">
        <f>I60*'ABP Future Assumptions'!$B$93</f>
        <v>5291624.2141513014</v>
      </c>
      <c r="K69" s="157">
        <f>J60*'ABP Future Assumptions'!$B$93</f>
        <v>4997645.0911428966</v>
      </c>
      <c r="L69" s="157">
        <f>K60*'ABP Future Assumptions'!$B$93</f>
        <v>4997645.0911428966</v>
      </c>
      <c r="M69" s="157">
        <f>L60*'ABP Future Assumptions'!$B$93</f>
        <v>4997645.0911428966</v>
      </c>
      <c r="N69" s="157">
        <f>M60*'ABP Future Assumptions'!$B$93</f>
        <v>4997645.0911428966</v>
      </c>
      <c r="O69" s="157">
        <f>N60*'ABP Future Assumptions'!$B$93</f>
        <v>4997645.0911428966</v>
      </c>
      <c r="P69" s="157">
        <f>O60*'ABP Future Assumptions'!$B$93</f>
        <v>4997645.0911428966</v>
      </c>
      <c r="Q69" s="157">
        <f>P60*'ABP Future Assumptions'!$B$93</f>
        <v>0</v>
      </c>
      <c r="R69" s="157">
        <f>Q60*'ABP Future Assumptions'!$B$93</f>
        <v>0</v>
      </c>
      <c r="S69" s="157">
        <f>R60*'ABP Future Assumptions'!$B$93</f>
        <v>0</v>
      </c>
      <c r="T69" s="157">
        <f>S60*'ABP Future Assumptions'!$B$93</f>
        <v>0</v>
      </c>
      <c r="U69" s="157">
        <f>T60*'ABP Future Assumptions'!$B$93</f>
        <v>0</v>
      </c>
    </row>
    <row r="70" spans="1:21" x14ac:dyDescent="0.25">
      <c r="A70" s="155" t="s">
        <v>151</v>
      </c>
      <c r="B70" s="155"/>
      <c r="C70" s="157"/>
      <c r="D70" s="157"/>
      <c r="E70" s="157"/>
      <c r="F70" s="157"/>
      <c r="G70" s="157"/>
      <c r="H70" s="157">
        <f>G61*'ABP Future Assumptions'!$B$93</f>
        <v>0</v>
      </c>
      <c r="I70" s="157">
        <f>H61*'ABP Future Assumptions'!$B$93</f>
        <v>17463682.301196676</v>
      </c>
      <c r="J70" s="157">
        <f>I61*'ABP Future Assumptions'!$B$93</f>
        <v>16493477.72890798</v>
      </c>
      <c r="K70" s="157">
        <f>J61*'ABP Future Assumptions'!$B$93</f>
        <v>16493477.72890798</v>
      </c>
      <c r="L70" s="157">
        <f>K61*'ABP Future Assumptions'!$B$93</f>
        <v>16493477.72890798</v>
      </c>
      <c r="M70" s="157">
        <f>L61*'ABP Future Assumptions'!$B$93</f>
        <v>16493477.72890798</v>
      </c>
      <c r="N70" s="157">
        <f>M61*'ABP Future Assumptions'!$B$93</f>
        <v>16493477.72890798</v>
      </c>
      <c r="O70" s="157">
        <f>N61*'ABP Future Assumptions'!$B$93</f>
        <v>16493477.72890798</v>
      </c>
      <c r="P70" s="157">
        <f>O61*'ABP Future Assumptions'!$B$93</f>
        <v>0</v>
      </c>
      <c r="Q70" s="157">
        <f>P61*'ABP Future Assumptions'!$B$93</f>
        <v>0</v>
      </c>
      <c r="R70" s="157">
        <f>Q61*'ABP Future Assumptions'!$B$93</f>
        <v>0</v>
      </c>
      <c r="S70" s="157">
        <f>R61*'ABP Future Assumptions'!$B$93</f>
        <v>0</v>
      </c>
      <c r="T70" s="157">
        <f>S61*'ABP Future Assumptions'!$B$93</f>
        <v>0</v>
      </c>
      <c r="U70" s="157">
        <f>T61*'ABP Future Assumptions'!$B$93</f>
        <v>0</v>
      </c>
    </row>
    <row r="71" spans="1:21" x14ac:dyDescent="0.25">
      <c r="A71" s="154" t="s">
        <v>98</v>
      </c>
      <c r="B71" s="154"/>
      <c r="C71" s="16">
        <f t="shared" ref="C71:T71" si="23">SUM(C65:C70)</f>
        <v>0</v>
      </c>
      <c r="D71" s="16">
        <f t="shared" si="23"/>
        <v>0</v>
      </c>
      <c r="E71" s="16">
        <f t="shared" si="23"/>
        <v>0</v>
      </c>
      <c r="F71" s="16">
        <f t="shared" si="23"/>
        <v>0</v>
      </c>
      <c r="G71" s="16">
        <f t="shared" si="23"/>
        <v>0</v>
      </c>
      <c r="H71" s="16">
        <f t="shared" si="23"/>
        <v>0</v>
      </c>
      <c r="I71" s="16">
        <f t="shared" si="23"/>
        <v>191790193.54978654</v>
      </c>
      <c r="J71" s="16">
        <f t="shared" si="23"/>
        <v>57629329.804603554</v>
      </c>
      <c r="K71" s="16">
        <f t="shared" si="23"/>
        <v>57230350.192067511</v>
      </c>
      <c r="L71" s="16">
        <f t="shared" si="23"/>
        <v>57125874.704987518</v>
      </c>
      <c r="M71" s="16">
        <f t="shared" si="23"/>
        <v>57021921.595342912</v>
      </c>
      <c r="N71" s="16">
        <f t="shared" si="23"/>
        <v>56918488.251246549</v>
      </c>
      <c r="O71" s="16">
        <f t="shared" si="23"/>
        <v>56815572.073870651</v>
      </c>
      <c r="P71" s="16">
        <f t="shared" si="23"/>
        <v>25375562.792456482</v>
      </c>
      <c r="Q71" s="16">
        <f t="shared" si="23"/>
        <v>20276028.112807017</v>
      </c>
      <c r="R71" s="16">
        <f t="shared" si="23"/>
        <v>20174647.972242981</v>
      </c>
      <c r="S71" s="16">
        <f t="shared" si="23"/>
        <v>20073774.732381765</v>
      </c>
      <c r="T71" s="16">
        <f t="shared" si="23"/>
        <v>19973405.858719856</v>
      </c>
      <c r="U71" s="16">
        <f t="shared" ref="U71" si="24">SUM(U65:U70)</f>
        <v>19873538.829426259</v>
      </c>
    </row>
    <row r="73" spans="1:21" ht="15.75" x14ac:dyDescent="0.25">
      <c r="A73" s="68">
        <v>2031</v>
      </c>
      <c r="B73" s="208">
        <v>2024</v>
      </c>
      <c r="C73" s="208">
        <v>2025</v>
      </c>
      <c r="D73" s="208">
        <v>2026</v>
      </c>
      <c r="E73" s="208">
        <v>2027</v>
      </c>
      <c r="F73" s="208">
        <v>2028</v>
      </c>
      <c r="G73" s="208">
        <v>2029</v>
      </c>
      <c r="H73" s="208">
        <v>2030</v>
      </c>
      <c r="I73" s="208">
        <v>2031</v>
      </c>
      <c r="J73" s="208">
        <v>2032</v>
      </c>
      <c r="K73" s="208">
        <v>2033</v>
      </c>
      <c r="L73" s="208">
        <v>2034</v>
      </c>
      <c r="M73" s="208">
        <v>2035</v>
      </c>
      <c r="N73" s="208">
        <v>2036</v>
      </c>
      <c r="O73" s="208">
        <v>2037</v>
      </c>
      <c r="P73" s="208">
        <v>2038</v>
      </c>
      <c r="Q73" s="208">
        <v>2039</v>
      </c>
      <c r="R73" s="208">
        <v>2040</v>
      </c>
      <c r="S73" s="208">
        <v>2041</v>
      </c>
      <c r="T73" s="208">
        <v>2042</v>
      </c>
      <c r="U73" s="208">
        <v>2043</v>
      </c>
    </row>
    <row r="74" spans="1:21" x14ac:dyDescent="0.25">
      <c r="A74" s="155" t="s">
        <v>124</v>
      </c>
      <c r="B74" s="155"/>
      <c r="C74" s="157"/>
      <c r="D74" s="157"/>
      <c r="E74" s="157"/>
      <c r="F74" s="157"/>
      <c r="G74" s="157"/>
      <c r="H74" s="157"/>
      <c r="I74" s="157">
        <f>H65*'ABP Future Assumptions'!$B$93</f>
        <v>0</v>
      </c>
      <c r="J74" s="157">
        <f>I65*'ABP Future Assumptions'!$B$93</f>
        <v>144512113.98294392</v>
      </c>
      <c r="K74" s="157">
        <f>J65*'ABP Future Assumptions'!$B$93</f>
        <v>0</v>
      </c>
      <c r="L74" s="157">
        <f>K65*'ABP Future Assumptions'!$B$93</f>
        <v>0</v>
      </c>
      <c r="M74" s="157">
        <f>L65*'ABP Future Assumptions'!$B$93</f>
        <v>0</v>
      </c>
      <c r="N74" s="157">
        <f>M65*'ABP Future Assumptions'!$B$93</f>
        <v>0</v>
      </c>
      <c r="O74" s="157">
        <f>N65*'ABP Future Assumptions'!$B$93</f>
        <v>0</v>
      </c>
      <c r="P74" s="157">
        <f>O65*'ABP Future Assumptions'!$B$93</f>
        <v>0</v>
      </c>
      <c r="Q74" s="157">
        <f>P65*'ABP Future Assumptions'!$B$93</f>
        <v>0</v>
      </c>
      <c r="R74" s="157">
        <f>Q65*'ABP Future Assumptions'!$B$93</f>
        <v>0</v>
      </c>
      <c r="S74" s="157">
        <f>R65*'ABP Future Assumptions'!$B$93</f>
        <v>0</v>
      </c>
      <c r="T74" s="157">
        <f>S65*'ABP Future Assumptions'!$B$93</f>
        <v>0</v>
      </c>
      <c r="U74" s="157">
        <f>T65*'ABP Future Assumptions'!$B$93</f>
        <v>0</v>
      </c>
    </row>
    <row r="75" spans="1:21" x14ac:dyDescent="0.25">
      <c r="A75" s="155" t="s">
        <v>130</v>
      </c>
      <c r="B75" s="155"/>
      <c r="C75" s="157"/>
      <c r="D75" s="157"/>
      <c r="E75" s="157"/>
      <c r="F75" s="157"/>
      <c r="G75" s="157"/>
      <c r="H75" s="157"/>
      <c r="I75" s="157">
        <f>H66*'ABP Future Assumptions'!$B$93</f>
        <v>0</v>
      </c>
      <c r="J75" s="157">
        <f>I66*'ABP Future Assumptions'!$B$93</f>
        <v>15088621.508233929</v>
      </c>
      <c r="K75" s="157">
        <f>J66*'ABP Future Assumptions'!$B$93</f>
        <v>14250364.757776491</v>
      </c>
      <c r="L75" s="157">
        <f>K66*'ABP Future Assumptions'!$B$93</f>
        <v>14250364.757776491</v>
      </c>
      <c r="M75" s="157">
        <f>L66*'ABP Future Assumptions'!$B$93</f>
        <v>14250364.757776491</v>
      </c>
      <c r="N75" s="157">
        <f>M66*'ABP Future Assumptions'!$B$93</f>
        <v>14250364.757776491</v>
      </c>
      <c r="O75" s="157">
        <f>N66*'ABP Future Assumptions'!$B$93</f>
        <v>14250364.757776491</v>
      </c>
      <c r="P75" s="157">
        <f>O66*'ABP Future Assumptions'!$B$93</f>
        <v>14250364.757776491</v>
      </c>
      <c r="Q75" s="157">
        <f>P66*'ABP Future Assumptions'!$B$93</f>
        <v>0</v>
      </c>
      <c r="R75" s="157">
        <f>Q66*'ABP Future Assumptions'!$B$93</f>
        <v>0</v>
      </c>
      <c r="S75" s="157">
        <f>R66*'ABP Future Assumptions'!$B$93</f>
        <v>0</v>
      </c>
      <c r="T75" s="157">
        <f>S66*'ABP Future Assumptions'!$B$93</f>
        <v>0</v>
      </c>
      <c r="U75" s="157">
        <f>T66*'ABP Future Assumptions'!$B$93</f>
        <v>0</v>
      </c>
    </row>
    <row r="76" spans="1:21" x14ac:dyDescent="0.25">
      <c r="A76" s="155" t="s">
        <v>139</v>
      </c>
      <c r="B76" s="155"/>
      <c r="C76" s="157"/>
      <c r="D76" s="157"/>
      <c r="E76" s="157"/>
      <c r="F76" s="157"/>
      <c r="G76" s="157"/>
      <c r="H76" s="157"/>
      <c r="I76" s="157">
        <f>H67*'ABP Future Assumptions'!$B$93</f>
        <v>0</v>
      </c>
      <c r="J76" s="157">
        <f>I67*'ABP Future Assumptions'!$B$93</f>
        <v>0</v>
      </c>
      <c r="K76" s="157">
        <f>J67*'ABP Future Assumptions'!$B$93</f>
        <v>12446142.258374939</v>
      </c>
      <c r="L76" s="157">
        <f>K67*'ABP Future Assumptions'!$B$93</f>
        <v>12383911.547083061</v>
      </c>
      <c r="M76" s="157">
        <f>L67*'ABP Future Assumptions'!$B$93</f>
        <v>12321991.989347648</v>
      </c>
      <c r="N76" s="157">
        <f>M67*'ABP Future Assumptions'!$B$93</f>
        <v>12260382.029400911</v>
      </c>
      <c r="O76" s="157">
        <f>N67*'ABP Future Assumptions'!$B$93</f>
        <v>12199080.119253907</v>
      </c>
      <c r="P76" s="157">
        <f>O67*'ABP Future Assumptions'!$B$93</f>
        <v>12138084.718657637</v>
      </c>
      <c r="Q76" s="157">
        <f>P67*'ABP Future Assumptions'!$B$93</f>
        <v>12077394.295064349</v>
      </c>
      <c r="R76" s="157">
        <f>Q67*'ABP Future Assumptions'!$B$93</f>
        <v>12017007.323589027</v>
      </c>
      <c r="S76" s="157">
        <f>R67*'ABP Future Assumptions'!$B$93</f>
        <v>11956922.286971081</v>
      </c>
      <c r="T76" s="157">
        <f>S67*'ABP Future Assumptions'!$B$93</f>
        <v>11897137.675536226</v>
      </c>
      <c r="U76" s="157">
        <f>T67*'ABP Future Assumptions'!$B$93</f>
        <v>11837651.987158544</v>
      </c>
    </row>
    <row r="77" spans="1:21" x14ac:dyDescent="0.25">
      <c r="A77" s="155" t="s">
        <v>144</v>
      </c>
      <c r="B77" s="155"/>
      <c r="C77" s="157"/>
      <c r="D77" s="157"/>
      <c r="E77" s="157"/>
      <c r="F77" s="157"/>
      <c r="G77" s="157"/>
      <c r="H77" s="157"/>
      <c r="I77" s="157">
        <f>H68*'ABP Future Assumptions'!$B$93</f>
        <v>0</v>
      </c>
      <c r="J77" s="157">
        <f>I68*'ABP Future Assumptions'!$B$93</f>
        <v>7752715.3074684124</v>
      </c>
      <c r="K77" s="157">
        <f>J68*'ABP Future Assumptions'!$B$93</f>
        <v>7713951.7309310697</v>
      </c>
      <c r="L77" s="157">
        <f>K68*'ABP Future Assumptions'!$B$93</f>
        <v>7675381.9722764147</v>
      </c>
      <c r="M77" s="157">
        <f>L68*'ABP Future Assumptions'!$B$93</f>
        <v>7637005.0624150345</v>
      </c>
      <c r="N77" s="157">
        <f>M68*'ABP Future Assumptions'!$B$93</f>
        <v>7598820.0371029573</v>
      </c>
      <c r="O77" s="157">
        <f>N68*'ABP Future Assumptions'!$B$93</f>
        <v>7560825.9369174438</v>
      </c>
      <c r="P77" s="157">
        <f>O68*'ABP Future Assumptions'!$B$93</f>
        <v>7523021.8072328549</v>
      </c>
      <c r="Q77" s="157">
        <f>P68*'ABP Future Assumptions'!$B$93</f>
        <v>7485406.6981966915</v>
      </c>
      <c r="R77" s="157">
        <f>Q68*'ABP Future Assumptions'!$B$93</f>
        <v>7447979.6647057077</v>
      </c>
      <c r="S77" s="157">
        <f>R68*'ABP Future Assumptions'!$B$93</f>
        <v>7410739.7663821792</v>
      </c>
      <c r="T77" s="157">
        <f>S68*'ABP Future Assumptions'!$B$93</f>
        <v>7373686.0675502671</v>
      </c>
      <c r="U77" s="157">
        <f>T68*'ABP Future Assumptions'!$B$93</f>
        <v>7336817.6372125177</v>
      </c>
    </row>
    <row r="78" spans="1:21" x14ac:dyDescent="0.25">
      <c r="A78" s="155" t="s">
        <v>148</v>
      </c>
      <c r="B78" s="155"/>
      <c r="C78" s="157"/>
      <c r="D78" s="157"/>
      <c r="E78" s="157"/>
      <c r="F78" s="157"/>
      <c r="G78" s="157"/>
      <c r="H78" s="157"/>
      <c r="I78" s="157">
        <f>H69*'ABP Future Assumptions'!$B$93</f>
        <v>0</v>
      </c>
      <c r="J78" s="157">
        <f>I69*'ABP Future Assumptions'!$B$93</f>
        <v>0</v>
      </c>
      <c r="K78" s="157">
        <f>J69*'ABP Future Assumptions'!$B$93</f>
        <v>5079959.2455852488</v>
      </c>
      <c r="L78" s="157">
        <f>K69*'ABP Future Assumptions'!$B$93</f>
        <v>4797739.2874971805</v>
      </c>
      <c r="M78" s="157">
        <f>L69*'ABP Future Assumptions'!$B$93</f>
        <v>4797739.2874971805</v>
      </c>
      <c r="N78" s="157">
        <f>M69*'ABP Future Assumptions'!$B$93</f>
        <v>4797739.2874971805</v>
      </c>
      <c r="O78" s="157">
        <f>N69*'ABP Future Assumptions'!$B$93</f>
        <v>4797739.2874971805</v>
      </c>
      <c r="P78" s="157">
        <f>O69*'ABP Future Assumptions'!$B$93</f>
        <v>4797739.2874971805</v>
      </c>
      <c r="Q78" s="157">
        <f>P69*'ABP Future Assumptions'!$B$93</f>
        <v>4797739.2874971805</v>
      </c>
      <c r="R78" s="157">
        <f>Q69*'ABP Future Assumptions'!$B$93</f>
        <v>0</v>
      </c>
      <c r="S78" s="157">
        <f>R69*'ABP Future Assumptions'!$B$93</f>
        <v>0</v>
      </c>
      <c r="T78" s="157">
        <f>S69*'ABP Future Assumptions'!$B$93</f>
        <v>0</v>
      </c>
      <c r="U78" s="157">
        <f>T69*'ABP Future Assumptions'!$B$93</f>
        <v>0</v>
      </c>
    </row>
    <row r="79" spans="1:21" x14ac:dyDescent="0.25">
      <c r="A79" s="155" t="s">
        <v>151</v>
      </c>
      <c r="B79" s="155"/>
      <c r="C79" s="157"/>
      <c r="D79" s="157"/>
      <c r="E79" s="157"/>
      <c r="F79" s="157"/>
      <c r="G79" s="157"/>
      <c r="H79" s="157"/>
      <c r="I79" s="157">
        <f>H70*'ABP Future Assumptions'!$B$93</f>
        <v>0</v>
      </c>
      <c r="J79" s="157">
        <f>I70*'ABP Future Assumptions'!$B$93</f>
        <v>16765135.009148808</v>
      </c>
      <c r="K79" s="157">
        <f>J70*'ABP Future Assumptions'!$B$93</f>
        <v>15833738.61975166</v>
      </c>
      <c r="L79" s="157">
        <f>K70*'ABP Future Assumptions'!$B$93</f>
        <v>15833738.61975166</v>
      </c>
      <c r="M79" s="157">
        <f>L70*'ABP Future Assumptions'!$B$93</f>
        <v>15833738.61975166</v>
      </c>
      <c r="N79" s="157">
        <f>M70*'ABP Future Assumptions'!$B$93</f>
        <v>15833738.61975166</v>
      </c>
      <c r="O79" s="157">
        <f>N70*'ABP Future Assumptions'!$B$93</f>
        <v>15833738.61975166</v>
      </c>
      <c r="P79" s="157">
        <f>O70*'ABP Future Assumptions'!$B$93</f>
        <v>15833738.61975166</v>
      </c>
      <c r="Q79" s="157">
        <f>P70*'ABP Future Assumptions'!$B$93</f>
        <v>0</v>
      </c>
      <c r="R79" s="157">
        <f>Q70*'ABP Future Assumptions'!$B$93</f>
        <v>0</v>
      </c>
      <c r="S79" s="157">
        <f>R70*'ABP Future Assumptions'!$B$93</f>
        <v>0</v>
      </c>
      <c r="T79" s="157">
        <f>S70*'ABP Future Assumptions'!$B$93</f>
        <v>0</v>
      </c>
      <c r="U79" s="157">
        <f>T70*'ABP Future Assumptions'!$B$93</f>
        <v>0</v>
      </c>
    </row>
    <row r="80" spans="1:21" x14ac:dyDescent="0.25">
      <c r="A80" s="154" t="s">
        <v>98</v>
      </c>
      <c r="B80" s="154"/>
      <c r="C80" s="16">
        <f t="shared" ref="C80:T80" si="25">SUM(C74:C79)</f>
        <v>0</v>
      </c>
      <c r="D80" s="16">
        <f t="shared" si="25"/>
        <v>0</v>
      </c>
      <c r="E80" s="16">
        <f t="shared" si="25"/>
        <v>0</v>
      </c>
      <c r="F80" s="16">
        <f t="shared" si="25"/>
        <v>0</v>
      </c>
      <c r="G80" s="16">
        <f t="shared" si="25"/>
        <v>0</v>
      </c>
      <c r="H80" s="16">
        <f t="shared" si="25"/>
        <v>0</v>
      </c>
      <c r="I80" s="16">
        <f t="shared" si="25"/>
        <v>0</v>
      </c>
      <c r="J80" s="16">
        <f t="shared" si="25"/>
        <v>184118585.80779508</v>
      </c>
      <c r="K80" s="16">
        <f t="shared" si="25"/>
        <v>55324156.612419412</v>
      </c>
      <c r="L80" s="16">
        <f t="shared" si="25"/>
        <v>54941136.184384808</v>
      </c>
      <c r="M80" s="16">
        <f t="shared" si="25"/>
        <v>54840839.716788016</v>
      </c>
      <c r="N80" s="16">
        <f t="shared" si="25"/>
        <v>54741044.731529199</v>
      </c>
      <c r="O80" s="16">
        <f t="shared" si="25"/>
        <v>54641748.721196681</v>
      </c>
      <c r="P80" s="16">
        <f t="shared" si="25"/>
        <v>54542949.190915823</v>
      </c>
      <c r="Q80" s="16">
        <f t="shared" si="25"/>
        <v>24360540.280758221</v>
      </c>
      <c r="R80" s="16">
        <f t="shared" si="25"/>
        <v>19464986.988294736</v>
      </c>
      <c r="S80" s="16">
        <f t="shared" si="25"/>
        <v>19367662.053353261</v>
      </c>
      <c r="T80" s="16">
        <f t="shared" si="25"/>
        <v>19270823.743086495</v>
      </c>
      <c r="U80" s="16">
        <f t="shared" ref="U80" si="26">SUM(U74:U79)</f>
        <v>19174469.624371063</v>
      </c>
    </row>
    <row r="82" spans="1:21" ht="15.75" x14ac:dyDescent="0.25">
      <c r="A82" s="68">
        <v>2032</v>
      </c>
      <c r="B82" s="208">
        <v>2024</v>
      </c>
      <c r="C82" s="208">
        <v>2025</v>
      </c>
      <c r="D82" s="208">
        <v>2026</v>
      </c>
      <c r="E82" s="208">
        <v>2027</v>
      </c>
      <c r="F82" s="208">
        <v>2028</v>
      </c>
      <c r="G82" s="208">
        <v>2029</v>
      </c>
      <c r="H82" s="208">
        <v>2030</v>
      </c>
      <c r="I82" s="208">
        <v>2031</v>
      </c>
      <c r="J82" s="208">
        <v>2032</v>
      </c>
      <c r="K82" s="208">
        <v>2033</v>
      </c>
      <c r="L82" s="208">
        <v>2034</v>
      </c>
      <c r="M82" s="208">
        <v>2035</v>
      </c>
      <c r="N82" s="208">
        <v>2036</v>
      </c>
      <c r="O82" s="208">
        <v>2037</v>
      </c>
      <c r="P82" s="208">
        <v>2038</v>
      </c>
      <c r="Q82" s="208">
        <v>2039</v>
      </c>
      <c r="R82" s="208">
        <v>2040</v>
      </c>
      <c r="S82" s="208">
        <v>2041</v>
      </c>
      <c r="T82" s="208">
        <v>2042</v>
      </c>
      <c r="U82" s="208">
        <v>2043</v>
      </c>
    </row>
    <row r="83" spans="1:21" x14ac:dyDescent="0.25">
      <c r="A83" s="155" t="s">
        <v>124</v>
      </c>
      <c r="B83" s="155"/>
      <c r="C83" s="157"/>
      <c r="D83" s="157"/>
      <c r="E83" s="157"/>
      <c r="F83" s="157"/>
      <c r="G83" s="157"/>
      <c r="H83" s="157"/>
      <c r="I83" s="157"/>
      <c r="J83" s="157">
        <f>I74*'ABP Future Assumptions'!$B$93</f>
        <v>0</v>
      </c>
      <c r="K83" s="157">
        <f>J74*'ABP Future Assumptions'!$B$93</f>
        <v>138731629.42362615</v>
      </c>
      <c r="L83" s="157">
        <f>K74*'ABP Future Assumptions'!$B$93</f>
        <v>0</v>
      </c>
      <c r="M83" s="157">
        <f>L74*'ABP Future Assumptions'!$B$93</f>
        <v>0</v>
      </c>
      <c r="N83" s="157">
        <f>M74*'ABP Future Assumptions'!$B$93</f>
        <v>0</v>
      </c>
      <c r="O83" s="157">
        <f>N74*'ABP Future Assumptions'!$B$93</f>
        <v>0</v>
      </c>
      <c r="P83" s="157">
        <f>O74*'ABP Future Assumptions'!$B$93</f>
        <v>0</v>
      </c>
      <c r="Q83" s="157">
        <f>P74*'ABP Future Assumptions'!$B$93</f>
        <v>0</v>
      </c>
      <c r="R83" s="157">
        <f>Q74*'ABP Future Assumptions'!$B$93</f>
        <v>0</v>
      </c>
      <c r="S83" s="157">
        <f>R74*'ABP Future Assumptions'!$B$93</f>
        <v>0</v>
      </c>
      <c r="T83" s="157">
        <f>S74*'ABP Future Assumptions'!$B$93</f>
        <v>0</v>
      </c>
      <c r="U83" s="157">
        <f>T74*'ABP Future Assumptions'!$B$93</f>
        <v>0</v>
      </c>
    </row>
    <row r="84" spans="1:21" x14ac:dyDescent="0.25">
      <c r="A84" s="155" t="s">
        <v>130</v>
      </c>
      <c r="B84" s="155"/>
      <c r="C84" s="157"/>
      <c r="D84" s="157"/>
      <c r="E84" s="157"/>
      <c r="F84" s="157"/>
      <c r="G84" s="157"/>
      <c r="H84" s="157"/>
      <c r="I84" s="157"/>
      <c r="J84" s="157">
        <f>I75*'ABP Future Assumptions'!$B$93</f>
        <v>0</v>
      </c>
      <c r="K84" s="157">
        <f>J75*'ABP Future Assumptions'!$B$93</f>
        <v>14485076.647904571</v>
      </c>
      <c r="L84" s="157">
        <f>K75*'ABP Future Assumptions'!$B$93</f>
        <v>13680350.167465432</v>
      </c>
      <c r="M84" s="157">
        <f>L75*'ABP Future Assumptions'!$B$93</f>
        <v>13680350.167465432</v>
      </c>
      <c r="N84" s="157">
        <f>M75*'ABP Future Assumptions'!$B$93</f>
        <v>13680350.167465432</v>
      </c>
      <c r="O84" s="157">
        <f>N75*'ABP Future Assumptions'!$B$93</f>
        <v>13680350.167465432</v>
      </c>
      <c r="P84" s="157">
        <f>O75*'ABP Future Assumptions'!$B$93</f>
        <v>13680350.167465432</v>
      </c>
      <c r="Q84" s="157">
        <f>P75*'ABP Future Assumptions'!$B$93</f>
        <v>13680350.167465432</v>
      </c>
      <c r="R84" s="157">
        <f>Q75*'ABP Future Assumptions'!$B$93</f>
        <v>0</v>
      </c>
      <c r="S84" s="157">
        <f>R75*'ABP Future Assumptions'!$B$93</f>
        <v>0</v>
      </c>
      <c r="T84" s="157">
        <f>S75*'ABP Future Assumptions'!$B$93</f>
        <v>0</v>
      </c>
      <c r="U84" s="157">
        <f>T75*'ABP Future Assumptions'!$B$93</f>
        <v>0</v>
      </c>
    </row>
    <row r="85" spans="1:21" x14ac:dyDescent="0.25">
      <c r="A85" s="155" t="s">
        <v>139</v>
      </c>
      <c r="B85" s="155"/>
      <c r="C85" s="157"/>
      <c r="D85" s="157"/>
      <c r="E85" s="157"/>
      <c r="F85" s="157"/>
      <c r="G85" s="157"/>
      <c r="H85" s="157"/>
      <c r="I85" s="157"/>
      <c r="J85" s="157">
        <f>I76*'ABP Future Assumptions'!$B$93</f>
        <v>0</v>
      </c>
      <c r="K85" s="157">
        <f>J76*'ABP Future Assumptions'!$B$93</f>
        <v>0</v>
      </c>
      <c r="L85" s="157">
        <f>K76*'ABP Future Assumptions'!$B$93</f>
        <v>11948296.568039941</v>
      </c>
      <c r="M85" s="157">
        <f>L76*'ABP Future Assumptions'!$B$93</f>
        <v>11888555.085199738</v>
      </c>
      <c r="N85" s="157">
        <f>M76*'ABP Future Assumptions'!$B$93</f>
        <v>11829112.309773741</v>
      </c>
      <c r="O85" s="157">
        <f>N76*'ABP Future Assumptions'!$B$93</f>
        <v>11769966.748224875</v>
      </c>
      <c r="P85" s="157">
        <f>O76*'ABP Future Assumptions'!$B$93</f>
        <v>11711116.91448375</v>
      </c>
      <c r="Q85" s="157">
        <f>P76*'ABP Future Assumptions'!$B$93</f>
        <v>11652561.329911331</v>
      </c>
      <c r="R85" s="157">
        <f>Q76*'ABP Future Assumptions'!$B$93</f>
        <v>11594298.523261774</v>
      </c>
      <c r="S85" s="157">
        <f>R76*'ABP Future Assumptions'!$B$93</f>
        <v>11536327.030645465</v>
      </c>
      <c r="T85" s="157">
        <f>S76*'ABP Future Assumptions'!$B$93</f>
        <v>11478645.395492237</v>
      </c>
      <c r="U85" s="157">
        <f>T76*'ABP Future Assumptions'!$B$93</f>
        <v>11421252.168514777</v>
      </c>
    </row>
    <row r="86" spans="1:21" x14ac:dyDescent="0.25">
      <c r="A86" s="155" t="s">
        <v>144</v>
      </c>
      <c r="B86" s="155"/>
      <c r="C86" s="157"/>
      <c r="D86" s="157"/>
      <c r="E86" s="157"/>
      <c r="F86" s="157"/>
      <c r="G86" s="157"/>
      <c r="H86" s="157"/>
      <c r="I86" s="157"/>
      <c r="J86" s="157">
        <f>I77*'ABP Future Assumptions'!$B$93</f>
        <v>0</v>
      </c>
      <c r="K86" s="157">
        <f>J77*'ABP Future Assumptions'!$B$93</f>
        <v>7442606.6951696761</v>
      </c>
      <c r="L86" s="157">
        <f>K77*'ABP Future Assumptions'!$B$93</f>
        <v>7405393.6616938263</v>
      </c>
      <c r="M86" s="157">
        <f>L77*'ABP Future Assumptions'!$B$93</f>
        <v>7368366.693385358</v>
      </c>
      <c r="N86" s="157">
        <f>M77*'ABP Future Assumptions'!$B$93</f>
        <v>7331524.8599184332</v>
      </c>
      <c r="O86" s="157">
        <f>N77*'ABP Future Assumptions'!$B$93</f>
        <v>7294867.235618839</v>
      </c>
      <c r="P86" s="157">
        <f>O77*'ABP Future Assumptions'!$B$93</f>
        <v>7258392.8994407458</v>
      </c>
      <c r="Q86" s="157">
        <f>P77*'ABP Future Assumptions'!$B$93</f>
        <v>7222100.93494354</v>
      </c>
      <c r="R86" s="157">
        <f>Q77*'ABP Future Assumptions'!$B$93</f>
        <v>7185990.4302688232</v>
      </c>
      <c r="S86" s="157">
        <f>R77*'ABP Future Assumptions'!$B$93</f>
        <v>7150060.478117479</v>
      </c>
      <c r="T86" s="157">
        <f>S77*'ABP Future Assumptions'!$B$93</f>
        <v>7114310.1757268915</v>
      </c>
      <c r="U86" s="157">
        <f>T77*'ABP Future Assumptions'!$B$93</f>
        <v>7078738.6248482559</v>
      </c>
    </row>
    <row r="87" spans="1:21" x14ac:dyDescent="0.25">
      <c r="A87" s="155" t="s">
        <v>148</v>
      </c>
      <c r="B87" s="155"/>
      <c r="C87" s="157"/>
      <c r="D87" s="157"/>
      <c r="E87" s="157"/>
      <c r="F87" s="157"/>
      <c r="G87" s="157"/>
      <c r="H87" s="157"/>
      <c r="I87" s="157"/>
      <c r="J87" s="157">
        <f>I78*'ABP Future Assumptions'!$B$93</f>
        <v>0</v>
      </c>
      <c r="K87" s="157">
        <f>J78*'ABP Future Assumptions'!$B$93</f>
        <v>0</v>
      </c>
      <c r="L87" s="157">
        <f>K78*'ABP Future Assumptions'!$B$93</f>
        <v>4876760.8757618386</v>
      </c>
      <c r="M87" s="157">
        <f>L78*'ABP Future Assumptions'!$B$93</f>
        <v>4605829.7159972927</v>
      </c>
      <c r="N87" s="157">
        <f>M78*'ABP Future Assumptions'!$B$93</f>
        <v>4605829.7159972927</v>
      </c>
      <c r="O87" s="157">
        <f>N78*'ABP Future Assumptions'!$B$93</f>
        <v>4605829.7159972927</v>
      </c>
      <c r="P87" s="157">
        <f>O78*'ABP Future Assumptions'!$B$93</f>
        <v>4605829.7159972927</v>
      </c>
      <c r="Q87" s="157">
        <f>P78*'ABP Future Assumptions'!$B$93</f>
        <v>4605829.7159972927</v>
      </c>
      <c r="R87" s="157">
        <f>Q78*'ABP Future Assumptions'!$B$93</f>
        <v>4605829.7159972927</v>
      </c>
      <c r="S87" s="157">
        <f>R78*'ABP Future Assumptions'!$B$93</f>
        <v>0</v>
      </c>
      <c r="T87" s="157">
        <f>S78*'ABP Future Assumptions'!$B$93</f>
        <v>0</v>
      </c>
      <c r="U87" s="157">
        <f>T78*'ABP Future Assumptions'!$B$93</f>
        <v>0</v>
      </c>
    </row>
    <row r="88" spans="1:21" x14ac:dyDescent="0.25">
      <c r="A88" s="155" t="s">
        <v>151</v>
      </c>
      <c r="B88" s="155"/>
      <c r="C88" s="157"/>
      <c r="D88" s="157"/>
      <c r="E88" s="157"/>
      <c r="F88" s="157"/>
      <c r="G88" s="157"/>
      <c r="H88" s="157"/>
      <c r="I88" s="157"/>
      <c r="J88" s="157">
        <f>I79*'ABP Future Assumptions'!$B$93</f>
        <v>0</v>
      </c>
      <c r="K88" s="157">
        <f>J79*'ABP Future Assumptions'!$B$93</f>
        <v>16094529.608782856</v>
      </c>
      <c r="L88" s="157">
        <f>K79*'ABP Future Assumptions'!$B$93</f>
        <v>15200389.074961593</v>
      </c>
      <c r="M88" s="157">
        <f>L79*'ABP Future Assumptions'!$B$93</f>
        <v>15200389.074961593</v>
      </c>
      <c r="N88" s="157">
        <f>M79*'ABP Future Assumptions'!$B$93</f>
        <v>15200389.074961593</v>
      </c>
      <c r="O88" s="157">
        <f>N79*'ABP Future Assumptions'!$B$93</f>
        <v>15200389.074961593</v>
      </c>
      <c r="P88" s="157">
        <f>O79*'ABP Future Assumptions'!$B$93</f>
        <v>15200389.074961593</v>
      </c>
      <c r="Q88" s="157">
        <f>P79*'ABP Future Assumptions'!$B$93</f>
        <v>15200389.074961593</v>
      </c>
      <c r="R88" s="157">
        <f>Q79*'ABP Future Assumptions'!$B$93</f>
        <v>0</v>
      </c>
      <c r="S88" s="157">
        <f>R79*'ABP Future Assumptions'!$B$93</f>
        <v>0</v>
      </c>
      <c r="T88" s="157">
        <f>S79*'ABP Future Assumptions'!$B$93</f>
        <v>0</v>
      </c>
      <c r="U88" s="157">
        <f>T79*'ABP Future Assumptions'!$B$93</f>
        <v>0</v>
      </c>
    </row>
    <row r="89" spans="1:21" x14ac:dyDescent="0.25">
      <c r="A89" s="154" t="s">
        <v>98</v>
      </c>
      <c r="B89" s="154"/>
      <c r="C89" s="16">
        <f t="shared" ref="C89:T89" si="27">SUM(C83:C88)</f>
        <v>0</v>
      </c>
      <c r="D89" s="16">
        <f t="shared" si="27"/>
        <v>0</v>
      </c>
      <c r="E89" s="16">
        <f t="shared" si="27"/>
        <v>0</v>
      </c>
      <c r="F89" s="16">
        <f t="shared" si="27"/>
        <v>0</v>
      </c>
      <c r="G89" s="16">
        <f t="shared" si="27"/>
        <v>0</v>
      </c>
      <c r="H89" s="16">
        <f t="shared" si="27"/>
        <v>0</v>
      </c>
      <c r="I89" s="16">
        <f t="shared" si="27"/>
        <v>0</v>
      </c>
      <c r="J89" s="16">
        <f t="shared" si="27"/>
        <v>0</v>
      </c>
      <c r="K89" s="16">
        <f t="shared" si="27"/>
        <v>176753842.37548327</v>
      </c>
      <c r="L89" s="16">
        <f t="shared" si="27"/>
        <v>53111190.347922631</v>
      </c>
      <c r="M89" s="16">
        <f t="shared" si="27"/>
        <v>52743490.737009414</v>
      </c>
      <c r="N89" s="16">
        <f t="shared" si="27"/>
        <v>52647206.128116496</v>
      </c>
      <c r="O89" s="16">
        <f t="shared" si="27"/>
        <v>52551402.942268036</v>
      </c>
      <c r="P89" s="16">
        <f t="shared" si="27"/>
        <v>52456078.772348814</v>
      </c>
      <c r="Q89" s="16">
        <f t="shared" si="27"/>
        <v>52361231.223279193</v>
      </c>
      <c r="R89" s="16">
        <f t="shared" si="27"/>
        <v>23386118.669527892</v>
      </c>
      <c r="S89" s="16">
        <f t="shared" si="27"/>
        <v>18686387.508762944</v>
      </c>
      <c r="T89" s="16">
        <f t="shared" si="27"/>
        <v>18592955.571219128</v>
      </c>
      <c r="U89" s="16">
        <f t="shared" ref="U89" si="28">SUM(U83:U88)</f>
        <v>18499990.793363035</v>
      </c>
    </row>
    <row r="91" spans="1:21" ht="15.75" x14ac:dyDescent="0.25">
      <c r="A91" s="68">
        <v>2033</v>
      </c>
      <c r="B91" s="208">
        <v>2024</v>
      </c>
      <c r="C91" s="208">
        <v>2025</v>
      </c>
      <c r="D91" s="208">
        <v>2026</v>
      </c>
      <c r="E91" s="208">
        <v>2027</v>
      </c>
      <c r="F91" s="208">
        <v>2028</v>
      </c>
      <c r="G91" s="208">
        <v>2029</v>
      </c>
      <c r="H91" s="208">
        <v>2030</v>
      </c>
      <c r="I91" s="208">
        <v>2031</v>
      </c>
      <c r="J91" s="208">
        <v>2032</v>
      </c>
      <c r="K91" s="208">
        <v>2033</v>
      </c>
      <c r="L91" s="208">
        <v>2034</v>
      </c>
      <c r="M91" s="208">
        <v>2035</v>
      </c>
      <c r="N91" s="208">
        <v>2036</v>
      </c>
      <c r="O91" s="208">
        <v>2037</v>
      </c>
      <c r="P91" s="208">
        <v>2038</v>
      </c>
      <c r="Q91" s="208">
        <v>2039</v>
      </c>
      <c r="R91" s="208">
        <v>2040</v>
      </c>
      <c r="S91" s="208">
        <v>2041</v>
      </c>
      <c r="T91" s="208">
        <v>2042</v>
      </c>
      <c r="U91" s="208">
        <v>2043</v>
      </c>
    </row>
    <row r="92" spans="1:21" x14ac:dyDescent="0.25">
      <c r="A92" s="155" t="s">
        <v>124</v>
      </c>
      <c r="B92" s="155"/>
      <c r="C92" s="157"/>
      <c r="D92" s="157"/>
      <c r="E92" s="157"/>
      <c r="F92" s="157"/>
      <c r="G92" s="157"/>
      <c r="H92" s="157"/>
      <c r="I92" s="157"/>
      <c r="J92" s="157"/>
      <c r="K92" s="157">
        <f>J83*'ABP Future Assumptions'!$B$93/2</f>
        <v>0</v>
      </c>
      <c r="L92" s="157">
        <f>K83*'ABP Future Assumptions'!$B$93/2</f>
        <v>66591182.123340555</v>
      </c>
      <c r="M92" s="157">
        <f>L83*'ABP Future Assumptions'!$B$93/2</f>
        <v>0</v>
      </c>
      <c r="N92" s="157">
        <f>M83*'ABP Future Assumptions'!$B$93/2</f>
        <v>0</v>
      </c>
      <c r="O92" s="157">
        <f>N83*'ABP Future Assumptions'!$B$93/2</f>
        <v>0</v>
      </c>
      <c r="P92" s="157">
        <f>O83*'ABP Future Assumptions'!$B$93/2</f>
        <v>0</v>
      </c>
      <c r="Q92" s="157">
        <f>P83*'ABP Future Assumptions'!$B$93/2</f>
        <v>0</v>
      </c>
      <c r="R92" s="157">
        <f>Q83*'ABP Future Assumptions'!$B$93/2</f>
        <v>0</v>
      </c>
      <c r="S92" s="157">
        <f>R83*'ABP Future Assumptions'!$B$93/2</f>
        <v>0</v>
      </c>
      <c r="T92" s="157">
        <f>S83*'ABP Future Assumptions'!$B$93/2</f>
        <v>0</v>
      </c>
      <c r="U92" s="157">
        <f>T83*'ABP Future Assumptions'!$B$93/2</f>
        <v>0</v>
      </c>
    </row>
    <row r="93" spans="1:21" x14ac:dyDescent="0.25">
      <c r="A93" s="155" t="s">
        <v>130</v>
      </c>
      <c r="B93" s="155"/>
      <c r="C93" s="157"/>
      <c r="D93" s="157"/>
      <c r="E93" s="157"/>
      <c r="F93" s="157"/>
      <c r="G93" s="157"/>
      <c r="H93" s="157"/>
      <c r="I93" s="157"/>
      <c r="J93" s="157"/>
      <c r="K93" s="157">
        <f>J84*'ABP Future Assumptions'!$B$93/2</f>
        <v>0</v>
      </c>
      <c r="L93" s="157">
        <f>K84*'ABP Future Assumptions'!$B$93/2</f>
        <v>6952836.7909941943</v>
      </c>
      <c r="M93" s="157">
        <f>L84*'ABP Future Assumptions'!$B$93/2</f>
        <v>6566568.080383407</v>
      </c>
      <c r="N93" s="157">
        <f>M84*'ABP Future Assumptions'!$B$93/2</f>
        <v>6566568.080383407</v>
      </c>
      <c r="O93" s="157">
        <f>N84*'ABP Future Assumptions'!$B$93/2</f>
        <v>6566568.080383407</v>
      </c>
      <c r="P93" s="157">
        <f>O84*'ABP Future Assumptions'!$B$93/2</f>
        <v>6566568.080383407</v>
      </c>
      <c r="Q93" s="157">
        <f>P84*'ABP Future Assumptions'!$B$93/2</f>
        <v>6566568.080383407</v>
      </c>
      <c r="R93" s="157">
        <f>Q84*'ABP Future Assumptions'!$B$93/2</f>
        <v>6566568.080383407</v>
      </c>
      <c r="S93" s="157">
        <f>R84*'ABP Future Assumptions'!$B$93/2</f>
        <v>0</v>
      </c>
      <c r="T93" s="157">
        <f>S84*'ABP Future Assumptions'!$B$93/2</f>
        <v>0</v>
      </c>
      <c r="U93" s="157">
        <f>T84*'ABP Future Assumptions'!$B$93/2</f>
        <v>0</v>
      </c>
    </row>
    <row r="94" spans="1:21" x14ac:dyDescent="0.25">
      <c r="A94" s="155" t="s">
        <v>139</v>
      </c>
      <c r="B94" s="155"/>
      <c r="C94" s="157"/>
      <c r="D94" s="157"/>
      <c r="E94" s="157"/>
      <c r="F94" s="157"/>
      <c r="G94" s="157"/>
      <c r="H94" s="157"/>
      <c r="I94" s="157"/>
      <c r="J94" s="157"/>
      <c r="K94" s="157">
        <f>J85*'ABP Future Assumptions'!$B$93/2</f>
        <v>0</v>
      </c>
      <c r="L94" s="157">
        <f>K85*'ABP Future Assumptions'!$B$93/2</f>
        <v>0</v>
      </c>
      <c r="M94" s="157">
        <f>L85*'ABP Future Assumptions'!$B$93/2</f>
        <v>5735182.3526591714</v>
      </c>
      <c r="N94" s="157">
        <f>M85*'ABP Future Assumptions'!$B$93/2</f>
        <v>5706506.4408958741</v>
      </c>
      <c r="O94" s="157">
        <f>N85*'ABP Future Assumptions'!$B$93/2</f>
        <v>5677973.908691396</v>
      </c>
      <c r="P94" s="157">
        <f>O85*'ABP Future Assumptions'!$B$93/2</f>
        <v>5649584.0391479395</v>
      </c>
      <c r="Q94" s="157">
        <f>P85*'ABP Future Assumptions'!$B$93/2</f>
        <v>5621336.1189521998</v>
      </c>
      <c r="R94" s="157">
        <f>Q85*'ABP Future Assumptions'!$B$93/2</f>
        <v>5593229.4383574389</v>
      </c>
      <c r="S94" s="157">
        <f>R85*'ABP Future Assumptions'!$B$93/2</f>
        <v>5565263.2911656518</v>
      </c>
      <c r="T94" s="157">
        <f>S85*'ABP Future Assumptions'!$B$93/2</f>
        <v>5537436.9747098228</v>
      </c>
      <c r="U94" s="157">
        <f>T85*'ABP Future Assumptions'!$B$93/2</f>
        <v>5509749.7898362735</v>
      </c>
    </row>
    <row r="95" spans="1:21" x14ac:dyDescent="0.25">
      <c r="A95" s="155" t="s">
        <v>144</v>
      </c>
      <c r="B95" s="155"/>
      <c r="C95" s="157"/>
      <c r="D95" s="157"/>
      <c r="E95" s="157"/>
      <c r="F95" s="157"/>
      <c r="G95" s="157"/>
      <c r="H95" s="157"/>
      <c r="I95" s="157"/>
      <c r="J95" s="157"/>
      <c r="K95" s="157">
        <f>J86*'ABP Future Assumptions'!$B$93/2</f>
        <v>0</v>
      </c>
      <c r="L95" s="157">
        <f>K86*'ABP Future Assumptions'!$B$93/2</f>
        <v>3572451.2136814445</v>
      </c>
      <c r="M95" s="157">
        <f>L86*'ABP Future Assumptions'!$B$93/2</f>
        <v>3554588.9576130365</v>
      </c>
      <c r="N95" s="157">
        <f>M86*'ABP Future Assumptions'!$B$93/2</f>
        <v>3536816.0128249717</v>
      </c>
      <c r="O95" s="157">
        <f>N86*'ABP Future Assumptions'!$B$93/2</f>
        <v>3519131.9327608477</v>
      </c>
      <c r="P95" s="157">
        <f>O86*'ABP Future Assumptions'!$B$93/2</f>
        <v>3501536.2730970425</v>
      </c>
      <c r="Q95" s="157">
        <f>P86*'ABP Future Assumptions'!$B$93/2</f>
        <v>3484028.5917315581</v>
      </c>
      <c r="R95" s="157">
        <f>Q86*'ABP Future Assumptions'!$B$93/2</f>
        <v>3466608.4487728989</v>
      </c>
      <c r="S95" s="157">
        <f>R86*'ABP Future Assumptions'!$B$93/2</f>
        <v>3449275.406529035</v>
      </c>
      <c r="T95" s="157">
        <f>S86*'ABP Future Assumptions'!$B$93/2</f>
        <v>3432029.0294963899</v>
      </c>
      <c r="U95" s="157">
        <f>T86*'ABP Future Assumptions'!$B$93/2</f>
        <v>3414868.884348908</v>
      </c>
    </row>
    <row r="96" spans="1:21" x14ac:dyDescent="0.25">
      <c r="A96" s="155" t="s">
        <v>148</v>
      </c>
      <c r="B96" s="155"/>
      <c r="C96" s="157"/>
      <c r="D96" s="157"/>
      <c r="E96" s="157"/>
      <c r="F96" s="157"/>
      <c r="G96" s="157"/>
      <c r="H96" s="157"/>
      <c r="I96" s="157"/>
      <c r="J96" s="157"/>
      <c r="K96" s="157">
        <f>J87*'ABP Future Assumptions'!$B$93/2</f>
        <v>0</v>
      </c>
      <c r="L96" s="157">
        <f>K87*'ABP Future Assumptions'!$B$93/2</f>
        <v>0</v>
      </c>
      <c r="M96" s="157">
        <f>L87*'ABP Future Assumptions'!$B$93/2</f>
        <v>2340845.2203656826</v>
      </c>
      <c r="N96" s="157">
        <f>M87*'ABP Future Assumptions'!$B$93/2</f>
        <v>2210798.2636787002</v>
      </c>
      <c r="O96" s="157">
        <f>N87*'ABP Future Assumptions'!$B$93/2</f>
        <v>2210798.2636787002</v>
      </c>
      <c r="P96" s="157">
        <f>O87*'ABP Future Assumptions'!$B$93/2</f>
        <v>2210798.2636787002</v>
      </c>
      <c r="Q96" s="157">
        <f>P87*'ABP Future Assumptions'!$B$93/2</f>
        <v>2210798.2636787002</v>
      </c>
      <c r="R96" s="157">
        <f>Q87*'ABP Future Assumptions'!$B$93/2</f>
        <v>2210798.2636787002</v>
      </c>
      <c r="S96" s="157">
        <f>R87*'ABP Future Assumptions'!$B$93/2</f>
        <v>2210798.2636787002</v>
      </c>
      <c r="T96" s="157">
        <f>S87*'ABP Future Assumptions'!$B$93/2</f>
        <v>0</v>
      </c>
      <c r="U96" s="157">
        <f>T87*'ABP Future Assumptions'!$B$93/2</f>
        <v>0</v>
      </c>
    </row>
    <row r="97" spans="1:21" x14ac:dyDescent="0.25">
      <c r="A97" s="155" t="s">
        <v>151</v>
      </c>
      <c r="B97" s="155"/>
      <c r="C97" s="157"/>
      <c r="D97" s="157"/>
      <c r="E97" s="157"/>
      <c r="F97" s="157"/>
      <c r="G97" s="157"/>
      <c r="H97" s="157"/>
      <c r="I97" s="157"/>
      <c r="J97" s="157"/>
      <c r="K97" s="157">
        <f>J88*'ABP Future Assumptions'!$B$93/2</f>
        <v>0</v>
      </c>
      <c r="L97" s="157">
        <f>K88*'ABP Future Assumptions'!$B$93/2</f>
        <v>7725374.21221577</v>
      </c>
      <c r="M97" s="157">
        <f>L88*'ABP Future Assumptions'!$B$93/2</f>
        <v>7296186.7559815645</v>
      </c>
      <c r="N97" s="157">
        <f>M88*'ABP Future Assumptions'!$B$93/2</f>
        <v>7296186.7559815645</v>
      </c>
      <c r="O97" s="157">
        <f>N88*'ABP Future Assumptions'!$B$93/2</f>
        <v>7296186.7559815645</v>
      </c>
      <c r="P97" s="157">
        <f>O88*'ABP Future Assumptions'!$B$93/2</f>
        <v>7296186.7559815645</v>
      </c>
      <c r="Q97" s="157">
        <f>P88*'ABP Future Assumptions'!$B$93/2</f>
        <v>7296186.7559815645</v>
      </c>
      <c r="R97" s="157">
        <f>Q88*'ABP Future Assumptions'!$B$93/2</f>
        <v>7296186.7559815645</v>
      </c>
      <c r="S97" s="157">
        <f>R88*'ABP Future Assumptions'!$B$93/2</f>
        <v>0</v>
      </c>
      <c r="T97" s="157">
        <f>S88*'ABP Future Assumptions'!$B$93/2</f>
        <v>0</v>
      </c>
      <c r="U97" s="157">
        <f>T88*'ABP Future Assumptions'!$B$93/2</f>
        <v>0</v>
      </c>
    </row>
    <row r="98" spans="1:21" x14ac:dyDescent="0.25">
      <c r="A98" s="154" t="s">
        <v>98</v>
      </c>
      <c r="B98" s="154"/>
      <c r="C98" s="16">
        <f t="shared" ref="C98:T98" si="29">SUM(C92:C97)</f>
        <v>0</v>
      </c>
      <c r="D98" s="16">
        <f t="shared" si="29"/>
        <v>0</v>
      </c>
      <c r="E98" s="16">
        <f t="shared" si="29"/>
        <v>0</v>
      </c>
      <c r="F98" s="16">
        <f t="shared" si="29"/>
        <v>0</v>
      </c>
      <c r="G98" s="16">
        <f t="shared" si="29"/>
        <v>0</v>
      </c>
      <c r="H98" s="16">
        <f t="shared" si="29"/>
        <v>0</v>
      </c>
      <c r="I98" s="16">
        <f t="shared" si="29"/>
        <v>0</v>
      </c>
      <c r="J98" s="16">
        <f t="shared" si="29"/>
        <v>0</v>
      </c>
      <c r="K98" s="16">
        <f t="shared" si="29"/>
        <v>0</v>
      </c>
      <c r="L98" s="16">
        <f t="shared" si="29"/>
        <v>84841844.340231955</v>
      </c>
      <c r="M98" s="16">
        <f t="shared" si="29"/>
        <v>25493371.36700286</v>
      </c>
      <c r="N98" s="16">
        <f t="shared" si="29"/>
        <v>25316875.553764518</v>
      </c>
      <c r="O98" s="16">
        <f t="shared" si="29"/>
        <v>25270658.941495918</v>
      </c>
      <c r="P98" s="16">
        <f t="shared" si="29"/>
        <v>25224673.412288655</v>
      </c>
      <c r="Q98" s="16">
        <f t="shared" si="29"/>
        <v>25178917.810727429</v>
      </c>
      <c r="R98" s="16">
        <f t="shared" si="29"/>
        <v>25133390.987174008</v>
      </c>
      <c r="S98" s="16">
        <f t="shared" si="29"/>
        <v>11225336.961373387</v>
      </c>
      <c r="T98" s="16">
        <f t="shared" si="29"/>
        <v>8969466.0042062122</v>
      </c>
      <c r="U98" s="16">
        <f t="shared" ref="U98" si="30">SUM(U92:U97)</f>
        <v>8924618.674185181</v>
      </c>
    </row>
    <row r="100" spans="1:21" ht="15.75" x14ac:dyDescent="0.25">
      <c r="A100" s="68">
        <v>2034</v>
      </c>
      <c r="B100" s="208">
        <v>2024</v>
      </c>
      <c r="C100" s="208">
        <v>2025</v>
      </c>
      <c r="D100" s="208">
        <v>2026</v>
      </c>
      <c r="E100" s="208">
        <v>2027</v>
      </c>
      <c r="F100" s="208">
        <v>2028</v>
      </c>
      <c r="G100" s="208">
        <v>2029</v>
      </c>
      <c r="H100" s="208">
        <v>2030</v>
      </c>
      <c r="I100" s="208">
        <v>2031</v>
      </c>
      <c r="J100" s="208">
        <v>2032</v>
      </c>
      <c r="K100" s="208">
        <v>2033</v>
      </c>
      <c r="L100" s="208">
        <v>2034</v>
      </c>
      <c r="M100" s="208">
        <v>2035</v>
      </c>
      <c r="N100" s="208">
        <v>2036</v>
      </c>
      <c r="O100" s="208">
        <v>2037</v>
      </c>
      <c r="P100" s="208">
        <v>2038</v>
      </c>
      <c r="Q100" s="208">
        <v>2039</v>
      </c>
      <c r="R100" s="208">
        <v>2040</v>
      </c>
      <c r="S100" s="208">
        <v>2041</v>
      </c>
      <c r="T100" s="208">
        <v>2042</v>
      </c>
      <c r="U100" s="208">
        <v>2043</v>
      </c>
    </row>
    <row r="101" spans="1:21" x14ac:dyDescent="0.25">
      <c r="A101" s="155" t="s">
        <v>124</v>
      </c>
      <c r="B101" s="155"/>
      <c r="C101" s="157"/>
      <c r="D101" s="157"/>
      <c r="E101" s="157"/>
      <c r="F101" s="157"/>
      <c r="G101" s="157"/>
      <c r="H101" s="157"/>
      <c r="I101" s="157"/>
      <c r="J101" s="157"/>
      <c r="K101" s="157"/>
      <c r="L101" s="157">
        <f>K92*'ABP Future Assumptions'!$B$93</f>
        <v>0</v>
      </c>
      <c r="M101" s="157">
        <f>L92*'ABP Future Assumptions'!$B$93</f>
        <v>63927534.838406928</v>
      </c>
      <c r="N101" s="157">
        <f>M92*'ABP Future Assumptions'!$B$93</f>
        <v>0</v>
      </c>
      <c r="O101" s="157">
        <f>N92*'ABP Future Assumptions'!$B$93</f>
        <v>0</v>
      </c>
      <c r="P101" s="157">
        <f>O92*'ABP Future Assumptions'!$B$93</f>
        <v>0</v>
      </c>
      <c r="Q101" s="157">
        <f>P92*'ABP Future Assumptions'!$B$93</f>
        <v>0</v>
      </c>
      <c r="R101" s="157">
        <f>Q92*'ABP Future Assumptions'!$B$93</f>
        <v>0</v>
      </c>
      <c r="S101" s="157">
        <f>R92*'ABP Future Assumptions'!$B$93</f>
        <v>0</v>
      </c>
      <c r="T101" s="157">
        <f>S92*'ABP Future Assumptions'!$B$93</f>
        <v>0</v>
      </c>
      <c r="U101" s="157">
        <f>T92*'ABP Future Assumptions'!$B$93</f>
        <v>0</v>
      </c>
    </row>
    <row r="102" spans="1:21" x14ac:dyDescent="0.25">
      <c r="A102" s="155" t="s">
        <v>130</v>
      </c>
      <c r="B102" s="155"/>
      <c r="C102" s="157"/>
      <c r="D102" s="157"/>
      <c r="E102" s="157"/>
      <c r="F102" s="157"/>
      <c r="G102" s="157"/>
      <c r="H102" s="157"/>
      <c r="I102" s="157"/>
      <c r="J102" s="157"/>
      <c r="K102" s="157"/>
      <c r="L102" s="157">
        <f>K93*'ABP Future Assumptions'!$B$93</f>
        <v>0</v>
      </c>
      <c r="M102" s="157">
        <f>L93*'ABP Future Assumptions'!$B$93</f>
        <v>6674723.3193544261</v>
      </c>
      <c r="N102" s="157">
        <f>M93*'ABP Future Assumptions'!$B$93</f>
        <v>6303905.35716807</v>
      </c>
      <c r="O102" s="157">
        <f>N93*'ABP Future Assumptions'!$B$93</f>
        <v>6303905.35716807</v>
      </c>
      <c r="P102" s="157">
        <f>O93*'ABP Future Assumptions'!$B$93</f>
        <v>6303905.35716807</v>
      </c>
      <c r="Q102" s="157">
        <f>P93*'ABP Future Assumptions'!$B$93</f>
        <v>6303905.35716807</v>
      </c>
      <c r="R102" s="157">
        <f>Q93*'ABP Future Assumptions'!$B$93</f>
        <v>6303905.35716807</v>
      </c>
      <c r="S102" s="157">
        <f>R93*'ABP Future Assumptions'!$B$93</f>
        <v>6303905.35716807</v>
      </c>
      <c r="T102" s="157">
        <f>S93*'ABP Future Assumptions'!$B$93</f>
        <v>0</v>
      </c>
      <c r="U102" s="157">
        <f>T93*'ABP Future Assumptions'!$B$93</f>
        <v>0</v>
      </c>
    </row>
    <row r="103" spans="1:21" x14ac:dyDescent="0.25">
      <c r="A103" s="155" t="s">
        <v>139</v>
      </c>
      <c r="B103" s="155"/>
      <c r="C103" s="157"/>
      <c r="D103" s="157"/>
      <c r="E103" s="157"/>
      <c r="F103" s="157"/>
      <c r="G103" s="157"/>
      <c r="H103" s="157"/>
      <c r="I103" s="157"/>
      <c r="J103" s="157"/>
      <c r="K103" s="157"/>
      <c r="L103" s="157">
        <f>K94*'ABP Future Assumptions'!$B$93</f>
        <v>0</v>
      </c>
      <c r="M103" s="157">
        <f>L94*'ABP Future Assumptions'!$B$93</f>
        <v>0</v>
      </c>
      <c r="N103" s="157">
        <f>M94*'ABP Future Assumptions'!$B$93</f>
        <v>5505775.0585528044</v>
      </c>
      <c r="O103" s="157">
        <f>N94*'ABP Future Assumptions'!$B$93</f>
        <v>5478246.1832600385</v>
      </c>
      <c r="P103" s="157">
        <f>O94*'ABP Future Assumptions'!$B$93</f>
        <v>5450854.9523437396</v>
      </c>
      <c r="Q103" s="157">
        <f>P94*'ABP Future Assumptions'!$B$93</f>
        <v>5423600.6775820218</v>
      </c>
      <c r="R103" s="157">
        <f>Q94*'ABP Future Assumptions'!$B$93</f>
        <v>5396482.6741941115</v>
      </c>
      <c r="S103" s="157">
        <f>R94*'ABP Future Assumptions'!$B$93</f>
        <v>5369500.2608231409</v>
      </c>
      <c r="T103" s="157">
        <f>S94*'ABP Future Assumptions'!$B$93</f>
        <v>5342652.7595190257</v>
      </c>
      <c r="U103" s="157">
        <f>T94*'ABP Future Assumptions'!$B$93</f>
        <v>5315939.4957214296</v>
      </c>
    </row>
    <row r="104" spans="1:21" x14ac:dyDescent="0.25">
      <c r="A104" s="155" t="s">
        <v>144</v>
      </c>
      <c r="B104" s="155"/>
      <c r="C104" s="157"/>
      <c r="D104" s="157"/>
      <c r="E104" s="157"/>
      <c r="F104" s="157"/>
      <c r="G104" s="157"/>
      <c r="H104" s="157"/>
      <c r="I104" s="157"/>
      <c r="J104" s="157"/>
      <c r="K104" s="157"/>
      <c r="L104" s="157">
        <f>K95*'ABP Future Assumptions'!$B$93</f>
        <v>0</v>
      </c>
      <c r="M104" s="157">
        <f>L95*'ABP Future Assumptions'!$B$93</f>
        <v>3429553.1651341864</v>
      </c>
      <c r="N104" s="157">
        <f>M95*'ABP Future Assumptions'!$B$93</f>
        <v>3412405.3993085148</v>
      </c>
      <c r="O104" s="157">
        <f>N95*'ABP Future Assumptions'!$B$93</f>
        <v>3395343.3723119725</v>
      </c>
      <c r="P104" s="157">
        <f>O95*'ABP Future Assumptions'!$B$93</f>
        <v>3378366.6554504135</v>
      </c>
      <c r="Q104" s="157">
        <f>P95*'ABP Future Assumptions'!$B$93</f>
        <v>3361474.8221731605</v>
      </c>
      <c r="R104" s="157">
        <f>Q95*'ABP Future Assumptions'!$B$93</f>
        <v>3344667.4480622956</v>
      </c>
      <c r="S104" s="157">
        <f>R95*'ABP Future Assumptions'!$B$93</f>
        <v>3327944.1108219828</v>
      </c>
      <c r="T104" s="157">
        <f>S95*'ABP Future Assumptions'!$B$93</f>
        <v>3311304.3902678736</v>
      </c>
      <c r="U104" s="157">
        <f>T95*'ABP Future Assumptions'!$B$93</f>
        <v>3294747.868316534</v>
      </c>
    </row>
    <row r="105" spans="1:21" x14ac:dyDescent="0.25">
      <c r="A105" s="155" t="s">
        <v>148</v>
      </c>
      <c r="B105" s="155"/>
      <c r="C105" s="157"/>
      <c r="D105" s="157"/>
      <c r="E105" s="157"/>
      <c r="F105" s="157"/>
      <c r="G105" s="157"/>
      <c r="H105" s="157"/>
      <c r="I105" s="157"/>
      <c r="J105" s="157"/>
      <c r="K105" s="157"/>
      <c r="L105" s="157">
        <f>K96*'ABP Future Assumptions'!$B$93</f>
        <v>0</v>
      </c>
      <c r="M105" s="157">
        <f>L96*'ABP Future Assumptions'!$B$93</f>
        <v>0</v>
      </c>
      <c r="N105" s="157">
        <f>M96*'ABP Future Assumptions'!$B$93</f>
        <v>2247211.411551055</v>
      </c>
      <c r="O105" s="157">
        <f>N96*'ABP Future Assumptions'!$B$93</f>
        <v>2122366.3331315522</v>
      </c>
      <c r="P105" s="157">
        <f>O96*'ABP Future Assumptions'!$B$93</f>
        <v>2122366.3331315522</v>
      </c>
      <c r="Q105" s="157">
        <f>P96*'ABP Future Assumptions'!$B$93</f>
        <v>2122366.3331315522</v>
      </c>
      <c r="R105" s="157">
        <f>Q96*'ABP Future Assumptions'!$B$93</f>
        <v>2122366.3331315522</v>
      </c>
      <c r="S105" s="157">
        <f>R96*'ABP Future Assumptions'!$B$93</f>
        <v>2122366.3331315522</v>
      </c>
      <c r="T105" s="157">
        <f>S96*'ABP Future Assumptions'!$B$93</f>
        <v>2122366.3331315522</v>
      </c>
      <c r="U105" s="157">
        <f>T96*'ABP Future Assumptions'!$B$93</f>
        <v>0</v>
      </c>
    </row>
    <row r="106" spans="1:21" x14ac:dyDescent="0.25">
      <c r="A106" s="155" t="s">
        <v>151</v>
      </c>
      <c r="B106" s="155"/>
      <c r="C106" s="157"/>
      <c r="D106" s="157"/>
      <c r="E106" s="157"/>
      <c r="F106" s="157"/>
      <c r="G106" s="157"/>
      <c r="H106" s="157"/>
      <c r="I106" s="157"/>
      <c r="J106" s="157"/>
      <c r="K106" s="157"/>
      <c r="L106" s="157">
        <f>K97*'ABP Future Assumptions'!$B$93</f>
        <v>0</v>
      </c>
      <c r="M106" s="157">
        <f>L97*'ABP Future Assumptions'!$B$93</f>
        <v>7416359.2437271392</v>
      </c>
      <c r="N106" s="157">
        <f>M97*'ABP Future Assumptions'!$B$93</f>
        <v>7004339.2857423015</v>
      </c>
      <c r="O106" s="157">
        <f>N97*'ABP Future Assumptions'!$B$93</f>
        <v>7004339.2857423015</v>
      </c>
      <c r="P106" s="157">
        <f>O97*'ABP Future Assumptions'!$B$93</f>
        <v>7004339.2857423015</v>
      </c>
      <c r="Q106" s="157">
        <f>P97*'ABP Future Assumptions'!$B$93</f>
        <v>7004339.2857423015</v>
      </c>
      <c r="R106" s="157">
        <f>Q97*'ABP Future Assumptions'!$B$93</f>
        <v>7004339.2857423015</v>
      </c>
      <c r="S106" s="157">
        <f>R97*'ABP Future Assumptions'!$B$93</f>
        <v>7004339.2857423015</v>
      </c>
      <c r="T106" s="157">
        <f>S97*'ABP Future Assumptions'!$B$93</f>
        <v>0</v>
      </c>
      <c r="U106" s="157">
        <f>T97*'ABP Future Assumptions'!$B$93</f>
        <v>0</v>
      </c>
    </row>
    <row r="107" spans="1:21" x14ac:dyDescent="0.25">
      <c r="A107" s="154" t="s">
        <v>98</v>
      </c>
      <c r="B107" s="154"/>
      <c r="C107" s="16">
        <f t="shared" ref="C107:T107" si="31">SUM(C101:C106)</f>
        <v>0</v>
      </c>
      <c r="D107" s="16">
        <f t="shared" si="31"/>
        <v>0</v>
      </c>
      <c r="E107" s="16">
        <f t="shared" si="31"/>
        <v>0</v>
      </c>
      <c r="F107" s="16">
        <f t="shared" si="31"/>
        <v>0</v>
      </c>
      <c r="G107" s="16">
        <f t="shared" si="31"/>
        <v>0</v>
      </c>
      <c r="H107" s="16">
        <f t="shared" si="31"/>
        <v>0</v>
      </c>
      <c r="I107" s="16">
        <f t="shared" si="31"/>
        <v>0</v>
      </c>
      <c r="J107" s="16">
        <f t="shared" si="31"/>
        <v>0</v>
      </c>
      <c r="K107" s="16">
        <f t="shared" si="31"/>
        <v>0</v>
      </c>
      <c r="L107" s="16">
        <f t="shared" si="31"/>
        <v>0</v>
      </c>
      <c r="M107" s="16">
        <f t="shared" si="31"/>
        <v>81448170.566622674</v>
      </c>
      <c r="N107" s="16">
        <f t="shared" si="31"/>
        <v>24473636.512322746</v>
      </c>
      <c r="O107" s="16">
        <f t="shared" si="31"/>
        <v>24304200.531613935</v>
      </c>
      <c r="P107" s="16">
        <f t="shared" si="31"/>
        <v>24259832.583836079</v>
      </c>
      <c r="Q107" s="16">
        <f t="shared" si="31"/>
        <v>24215686.475797106</v>
      </c>
      <c r="R107" s="16">
        <f t="shared" si="31"/>
        <v>24171761.09829833</v>
      </c>
      <c r="S107" s="16">
        <f t="shared" si="31"/>
        <v>24128055.347687047</v>
      </c>
      <c r="T107" s="16">
        <f t="shared" si="31"/>
        <v>10776323.482918451</v>
      </c>
      <c r="U107" s="16">
        <f t="shared" ref="U107" si="32">SUM(U101:U106)</f>
        <v>8610687.3640379645</v>
      </c>
    </row>
    <row r="109" spans="1:21" ht="15.75" x14ac:dyDescent="0.25">
      <c r="A109" s="68">
        <v>2035</v>
      </c>
      <c r="B109" s="208">
        <v>2024</v>
      </c>
      <c r="C109" s="208">
        <v>2025</v>
      </c>
      <c r="D109" s="208">
        <v>2026</v>
      </c>
      <c r="E109" s="208">
        <v>2027</v>
      </c>
      <c r="F109" s="208">
        <v>2028</v>
      </c>
      <c r="G109" s="208">
        <v>2029</v>
      </c>
      <c r="H109" s="208">
        <v>2030</v>
      </c>
      <c r="I109" s="208">
        <v>2031</v>
      </c>
      <c r="J109" s="208">
        <v>2032</v>
      </c>
      <c r="K109" s="208">
        <v>2033</v>
      </c>
      <c r="L109" s="208">
        <v>2034</v>
      </c>
      <c r="M109" s="208">
        <v>2035</v>
      </c>
      <c r="N109" s="208">
        <v>2036</v>
      </c>
      <c r="O109" s="208">
        <v>2037</v>
      </c>
      <c r="P109" s="208">
        <v>2038</v>
      </c>
      <c r="Q109" s="208">
        <v>2039</v>
      </c>
      <c r="R109" s="208">
        <v>2040</v>
      </c>
      <c r="S109" s="208">
        <v>2041</v>
      </c>
      <c r="T109" s="208">
        <v>2042</v>
      </c>
      <c r="U109" s="208">
        <v>2043</v>
      </c>
    </row>
    <row r="110" spans="1:21" x14ac:dyDescent="0.25">
      <c r="A110" s="155" t="s">
        <v>124</v>
      </c>
      <c r="B110" s="155"/>
      <c r="C110" s="157"/>
      <c r="D110" s="157"/>
      <c r="E110" s="157"/>
      <c r="F110" s="157"/>
      <c r="G110" s="157"/>
      <c r="H110" s="157"/>
      <c r="I110" s="157"/>
      <c r="J110" s="157"/>
      <c r="K110" s="157"/>
      <c r="L110" s="157"/>
      <c r="M110" s="157">
        <f>L101*'ABP Future Assumptions'!$B$93</f>
        <v>0</v>
      </c>
      <c r="N110" s="157">
        <f>M101*'ABP Future Assumptions'!$B$93</f>
        <v>61370433.444870651</v>
      </c>
      <c r="O110" s="157">
        <f>N101*'ABP Future Assumptions'!$B$93</f>
        <v>0</v>
      </c>
      <c r="P110" s="157">
        <f>O101*'ABP Future Assumptions'!$B$93</f>
        <v>0</v>
      </c>
      <c r="Q110" s="157">
        <f>P101*'ABP Future Assumptions'!$B$93</f>
        <v>0</v>
      </c>
      <c r="R110" s="157">
        <f>Q101*'ABP Future Assumptions'!$B$93</f>
        <v>0</v>
      </c>
      <c r="S110" s="157">
        <f>R101*'ABP Future Assumptions'!$B$93</f>
        <v>0</v>
      </c>
      <c r="T110" s="157">
        <f>S101*'ABP Future Assumptions'!$B$93</f>
        <v>0</v>
      </c>
      <c r="U110" s="157">
        <f>T101*'ABP Future Assumptions'!$B$93</f>
        <v>0</v>
      </c>
    </row>
    <row r="111" spans="1:21" x14ac:dyDescent="0.25">
      <c r="A111" s="155" t="s">
        <v>130</v>
      </c>
      <c r="B111" s="155"/>
      <c r="C111" s="157"/>
      <c r="D111" s="157"/>
      <c r="E111" s="157"/>
      <c r="F111" s="157"/>
      <c r="G111" s="157"/>
      <c r="H111" s="157"/>
      <c r="I111" s="157"/>
      <c r="J111" s="157"/>
      <c r="K111" s="157"/>
      <c r="L111" s="157"/>
      <c r="M111" s="157">
        <f>L102*'ABP Future Assumptions'!$B$93</f>
        <v>0</v>
      </c>
      <c r="N111" s="157">
        <f>M102*'ABP Future Assumptions'!$B$93</f>
        <v>6407734.3865802493</v>
      </c>
      <c r="O111" s="157">
        <f>N102*'ABP Future Assumptions'!$B$93</f>
        <v>6051749.1428813469</v>
      </c>
      <c r="P111" s="157">
        <f>O102*'ABP Future Assumptions'!$B$93</f>
        <v>6051749.1428813469</v>
      </c>
      <c r="Q111" s="157">
        <f>P102*'ABP Future Assumptions'!$B$93</f>
        <v>6051749.1428813469</v>
      </c>
      <c r="R111" s="157">
        <f>Q102*'ABP Future Assumptions'!$B$93</f>
        <v>6051749.1428813469</v>
      </c>
      <c r="S111" s="157">
        <f>R102*'ABP Future Assumptions'!$B$93</f>
        <v>6051749.1428813469</v>
      </c>
      <c r="T111" s="157">
        <f>S102*'ABP Future Assumptions'!$B$93</f>
        <v>6051749.1428813469</v>
      </c>
      <c r="U111" s="157">
        <f>T102*'ABP Future Assumptions'!$B$93</f>
        <v>0</v>
      </c>
    </row>
    <row r="112" spans="1:21" x14ac:dyDescent="0.25">
      <c r="A112" s="155" t="s">
        <v>139</v>
      </c>
      <c r="B112" s="155"/>
      <c r="C112" s="157"/>
      <c r="D112" s="157"/>
      <c r="E112" s="157"/>
      <c r="F112" s="157"/>
      <c r="G112" s="157"/>
      <c r="H112" s="157"/>
      <c r="I112" s="157"/>
      <c r="J112" s="157"/>
      <c r="K112" s="157"/>
      <c r="L112" s="157"/>
      <c r="M112" s="157">
        <f>L103*'ABP Future Assumptions'!$B$93</f>
        <v>0</v>
      </c>
      <c r="N112" s="157">
        <f>M103*'ABP Future Assumptions'!$B$93</f>
        <v>0</v>
      </c>
      <c r="O112" s="157">
        <f>N103*'ABP Future Assumptions'!$B$93</f>
        <v>5285544.056210692</v>
      </c>
      <c r="P112" s="157">
        <f>O103*'ABP Future Assumptions'!$B$93</f>
        <v>5259116.3359296368</v>
      </c>
      <c r="Q112" s="157">
        <f>P103*'ABP Future Assumptions'!$B$93</f>
        <v>5232820.75424999</v>
      </c>
      <c r="R112" s="157">
        <f>Q103*'ABP Future Assumptions'!$B$93</f>
        <v>5206656.6504787412</v>
      </c>
      <c r="S112" s="157">
        <f>R103*'ABP Future Assumptions'!$B$93</f>
        <v>5180623.3672263464</v>
      </c>
      <c r="T112" s="157">
        <f>S103*'ABP Future Assumptions'!$B$93</f>
        <v>5154720.2503902148</v>
      </c>
      <c r="U112" s="157">
        <f>T103*'ABP Future Assumptions'!$B$93</f>
        <v>5128946.6491382644</v>
      </c>
    </row>
    <row r="113" spans="1:21" x14ac:dyDescent="0.25">
      <c r="A113" s="155" t="s">
        <v>144</v>
      </c>
      <c r="B113" s="155"/>
      <c r="C113" s="157"/>
      <c r="D113" s="157"/>
      <c r="E113" s="157"/>
      <c r="F113" s="157"/>
      <c r="G113" s="157"/>
      <c r="H113" s="157"/>
      <c r="I113" s="157"/>
      <c r="J113" s="157"/>
      <c r="K113" s="157"/>
      <c r="L113" s="157"/>
      <c r="M113" s="157">
        <f>L104*'ABP Future Assumptions'!$B$93</f>
        <v>0</v>
      </c>
      <c r="N113" s="157">
        <f>M104*'ABP Future Assumptions'!$B$93</f>
        <v>3292371.0385288186</v>
      </c>
      <c r="O113" s="157">
        <f>N104*'ABP Future Assumptions'!$B$93</f>
        <v>3275909.1833361741</v>
      </c>
      <c r="P113" s="157">
        <f>O104*'ABP Future Assumptions'!$B$93</f>
        <v>3259529.6374194934</v>
      </c>
      <c r="Q113" s="157">
        <f>P104*'ABP Future Assumptions'!$B$93</f>
        <v>3243231.9892323967</v>
      </c>
      <c r="R113" s="157">
        <f>Q104*'ABP Future Assumptions'!$B$93</f>
        <v>3227015.829286234</v>
      </c>
      <c r="S113" s="157">
        <f>R104*'ABP Future Assumptions'!$B$93</f>
        <v>3210880.7501398036</v>
      </c>
      <c r="T113" s="157">
        <f>S104*'ABP Future Assumptions'!$B$93</f>
        <v>3194826.3463891032</v>
      </c>
      <c r="U113" s="157">
        <f>T104*'ABP Future Assumptions'!$B$93</f>
        <v>3178852.2146571586</v>
      </c>
    </row>
    <row r="114" spans="1:21" x14ac:dyDescent="0.25">
      <c r="A114" s="155" t="s">
        <v>148</v>
      </c>
      <c r="B114" s="155"/>
      <c r="C114" s="157"/>
      <c r="D114" s="157"/>
      <c r="E114" s="157"/>
      <c r="F114" s="157"/>
      <c r="G114" s="157"/>
      <c r="H114" s="157"/>
      <c r="I114" s="157"/>
      <c r="J114" s="157"/>
      <c r="K114" s="157"/>
      <c r="L114" s="157"/>
      <c r="M114" s="157">
        <f>L105*'ABP Future Assumptions'!$B$93</f>
        <v>0</v>
      </c>
      <c r="N114" s="157">
        <f>M105*'ABP Future Assumptions'!$B$93</f>
        <v>0</v>
      </c>
      <c r="O114" s="157">
        <f>N105*'ABP Future Assumptions'!$B$93</f>
        <v>2157322.9550890126</v>
      </c>
      <c r="P114" s="157">
        <f>O105*'ABP Future Assumptions'!$B$93</f>
        <v>2037471.67980629</v>
      </c>
      <c r="Q114" s="157">
        <f>P105*'ABP Future Assumptions'!$B$93</f>
        <v>2037471.67980629</v>
      </c>
      <c r="R114" s="157">
        <f>Q105*'ABP Future Assumptions'!$B$93</f>
        <v>2037471.67980629</v>
      </c>
      <c r="S114" s="157">
        <f>R105*'ABP Future Assumptions'!$B$93</f>
        <v>2037471.67980629</v>
      </c>
      <c r="T114" s="157">
        <f>S105*'ABP Future Assumptions'!$B$93</f>
        <v>2037471.67980629</v>
      </c>
      <c r="U114" s="157">
        <f>T105*'ABP Future Assumptions'!$B$93</f>
        <v>2037471.67980629</v>
      </c>
    </row>
    <row r="115" spans="1:21" x14ac:dyDescent="0.25">
      <c r="A115" s="155" t="s">
        <v>151</v>
      </c>
      <c r="B115" s="155"/>
      <c r="C115" s="157"/>
      <c r="D115" s="157"/>
      <c r="E115" s="157"/>
      <c r="F115" s="157"/>
      <c r="G115" s="157"/>
      <c r="H115" s="157"/>
      <c r="I115" s="157"/>
      <c r="J115" s="157"/>
      <c r="K115" s="157"/>
      <c r="L115" s="157"/>
      <c r="M115" s="157">
        <f>L106*'ABP Future Assumptions'!$B$93</f>
        <v>0</v>
      </c>
      <c r="N115" s="157">
        <f>M106*'ABP Future Assumptions'!$B$93</f>
        <v>7119704.8739780532</v>
      </c>
      <c r="O115" s="157">
        <f>N106*'ABP Future Assumptions'!$B$93</f>
        <v>6724165.7143126093</v>
      </c>
      <c r="P115" s="157">
        <f>O106*'ABP Future Assumptions'!$B$93</f>
        <v>6724165.7143126093</v>
      </c>
      <c r="Q115" s="157">
        <f>P106*'ABP Future Assumptions'!$B$93</f>
        <v>6724165.7143126093</v>
      </c>
      <c r="R115" s="157">
        <f>Q106*'ABP Future Assumptions'!$B$93</f>
        <v>6724165.7143126093</v>
      </c>
      <c r="S115" s="157">
        <f>R106*'ABP Future Assumptions'!$B$93</f>
        <v>6724165.7143126093</v>
      </c>
      <c r="T115" s="157">
        <f>S106*'ABP Future Assumptions'!$B$93</f>
        <v>6724165.7143126093</v>
      </c>
      <c r="U115" s="157">
        <f>T106*'ABP Future Assumptions'!$B$93</f>
        <v>0</v>
      </c>
    </row>
    <row r="116" spans="1:21" x14ac:dyDescent="0.25">
      <c r="A116" s="154" t="s">
        <v>98</v>
      </c>
      <c r="B116" s="154"/>
      <c r="C116" s="16">
        <f t="shared" ref="C116:T116" si="33">SUM(C110:C115)</f>
        <v>0</v>
      </c>
      <c r="D116" s="16">
        <f t="shared" si="33"/>
        <v>0</v>
      </c>
      <c r="E116" s="16">
        <f t="shared" si="33"/>
        <v>0</v>
      </c>
      <c r="F116" s="16">
        <f t="shared" si="33"/>
        <v>0</v>
      </c>
      <c r="G116" s="16">
        <f t="shared" si="33"/>
        <v>0</v>
      </c>
      <c r="H116" s="16">
        <f t="shared" si="33"/>
        <v>0</v>
      </c>
      <c r="I116" s="16">
        <f t="shared" si="33"/>
        <v>0</v>
      </c>
      <c r="J116" s="16">
        <f t="shared" si="33"/>
        <v>0</v>
      </c>
      <c r="K116" s="16">
        <f t="shared" si="33"/>
        <v>0</v>
      </c>
      <c r="L116" s="16">
        <f t="shared" si="33"/>
        <v>0</v>
      </c>
      <c r="M116" s="16">
        <f t="shared" si="33"/>
        <v>0</v>
      </c>
      <c r="N116" s="16">
        <f t="shared" si="33"/>
        <v>78190243.743957758</v>
      </c>
      <c r="O116" s="16">
        <f t="shared" si="33"/>
        <v>23494691.051829834</v>
      </c>
      <c r="P116" s="16">
        <f t="shared" si="33"/>
        <v>23332032.510349378</v>
      </c>
      <c r="Q116" s="16">
        <f t="shared" si="33"/>
        <v>23289439.280482635</v>
      </c>
      <c r="R116" s="16">
        <f t="shared" si="33"/>
        <v>23247059.016765222</v>
      </c>
      <c r="S116" s="16">
        <f t="shared" si="33"/>
        <v>23204890.654366396</v>
      </c>
      <c r="T116" s="16">
        <f t="shared" si="33"/>
        <v>23162933.133779563</v>
      </c>
      <c r="U116" s="16">
        <f t="shared" ref="U116" si="34">SUM(U110:U115)</f>
        <v>10345270.543601712</v>
      </c>
    </row>
    <row r="118" spans="1:21" ht="15.75" x14ac:dyDescent="0.25">
      <c r="A118" s="68">
        <v>2036</v>
      </c>
      <c r="B118" s="208">
        <v>2024</v>
      </c>
      <c r="C118" s="208">
        <v>2025</v>
      </c>
      <c r="D118" s="208">
        <v>2026</v>
      </c>
      <c r="E118" s="208">
        <v>2027</v>
      </c>
      <c r="F118" s="208">
        <v>2028</v>
      </c>
      <c r="G118" s="208">
        <v>2029</v>
      </c>
      <c r="H118" s="208">
        <v>2030</v>
      </c>
      <c r="I118" s="208">
        <v>2031</v>
      </c>
      <c r="J118" s="208">
        <v>2032</v>
      </c>
      <c r="K118" s="208">
        <v>2033</v>
      </c>
      <c r="L118" s="208">
        <v>2034</v>
      </c>
      <c r="M118" s="208">
        <v>2035</v>
      </c>
      <c r="N118" s="208">
        <v>2036</v>
      </c>
      <c r="O118" s="208">
        <v>2037</v>
      </c>
      <c r="P118" s="208">
        <v>2038</v>
      </c>
      <c r="Q118" s="208">
        <v>2039</v>
      </c>
      <c r="R118" s="208">
        <v>2040</v>
      </c>
      <c r="S118" s="208">
        <v>2041</v>
      </c>
      <c r="T118" s="208">
        <v>2042</v>
      </c>
      <c r="U118" s="208">
        <v>2043</v>
      </c>
    </row>
    <row r="119" spans="1:21" x14ac:dyDescent="0.25">
      <c r="A119" s="155" t="s">
        <v>124</v>
      </c>
      <c r="B119" s="155"/>
      <c r="C119" s="157"/>
      <c r="D119" s="157"/>
      <c r="E119" s="157"/>
      <c r="F119" s="157"/>
      <c r="G119" s="157"/>
      <c r="H119" s="157"/>
      <c r="I119" s="157"/>
      <c r="J119" s="157"/>
      <c r="K119" s="157"/>
      <c r="L119" s="157"/>
      <c r="M119" s="157"/>
      <c r="N119" s="157">
        <f>M110*'ABP Future Assumptions'!$B$93</f>
        <v>0</v>
      </c>
      <c r="O119" s="157">
        <f>N110*'ABP Future Assumptions'!$B$93</f>
        <v>58915616.107075825</v>
      </c>
      <c r="P119" s="157">
        <f>O110*'ABP Future Assumptions'!$B$93</f>
        <v>0</v>
      </c>
      <c r="Q119" s="157">
        <f>P110*'ABP Future Assumptions'!$B$93</f>
        <v>0</v>
      </c>
      <c r="R119" s="157">
        <f>Q110*'ABP Future Assumptions'!$B$93</f>
        <v>0</v>
      </c>
      <c r="S119" s="157">
        <f>R110*'ABP Future Assumptions'!$B$93</f>
        <v>0</v>
      </c>
      <c r="T119" s="157">
        <f>S110*'ABP Future Assumptions'!$B$93</f>
        <v>0</v>
      </c>
      <c r="U119" s="157">
        <f>T110*'ABP Future Assumptions'!$B$93</f>
        <v>0</v>
      </c>
    </row>
    <row r="120" spans="1:21" x14ac:dyDescent="0.25">
      <c r="A120" s="155" t="s">
        <v>130</v>
      </c>
      <c r="B120" s="155"/>
      <c r="C120" s="157"/>
      <c r="D120" s="157"/>
      <c r="E120" s="157"/>
      <c r="F120" s="157"/>
      <c r="G120" s="157"/>
      <c r="H120" s="157"/>
      <c r="I120" s="157"/>
      <c r="J120" s="157"/>
      <c r="K120" s="157"/>
      <c r="L120" s="157"/>
      <c r="M120" s="157"/>
      <c r="N120" s="157">
        <f>M111*'ABP Future Assumptions'!$B$93</f>
        <v>0</v>
      </c>
      <c r="O120" s="157">
        <f>N111*'ABP Future Assumptions'!$B$93</f>
        <v>6151425.0111170392</v>
      </c>
      <c r="P120" s="157">
        <f>O111*'ABP Future Assumptions'!$B$93</f>
        <v>5809679.1771660931</v>
      </c>
      <c r="Q120" s="157">
        <f>P111*'ABP Future Assumptions'!$B$93</f>
        <v>5809679.1771660931</v>
      </c>
      <c r="R120" s="157">
        <f>Q111*'ABP Future Assumptions'!$B$93</f>
        <v>5809679.1771660931</v>
      </c>
      <c r="S120" s="157">
        <f>R111*'ABP Future Assumptions'!$B$93</f>
        <v>5809679.1771660931</v>
      </c>
      <c r="T120" s="157">
        <f>S111*'ABP Future Assumptions'!$B$93</f>
        <v>5809679.1771660931</v>
      </c>
      <c r="U120" s="157">
        <f>T111*'ABP Future Assumptions'!$B$93</f>
        <v>5809679.1771660931</v>
      </c>
    </row>
    <row r="121" spans="1:21" x14ac:dyDescent="0.25">
      <c r="A121" s="155" t="s">
        <v>139</v>
      </c>
      <c r="B121" s="155"/>
      <c r="C121" s="157"/>
      <c r="D121" s="157"/>
      <c r="E121" s="157"/>
      <c r="F121" s="157"/>
      <c r="G121" s="157"/>
      <c r="H121" s="157"/>
      <c r="I121" s="157"/>
      <c r="J121" s="157"/>
      <c r="K121" s="157"/>
      <c r="L121" s="157"/>
      <c r="M121" s="157"/>
      <c r="N121" s="157">
        <f>M112*'ABP Future Assumptions'!$B$93</f>
        <v>0</v>
      </c>
      <c r="O121" s="157">
        <f>N112*'ABP Future Assumptions'!$B$93</f>
        <v>0</v>
      </c>
      <c r="P121" s="157">
        <f>O112*'ABP Future Assumptions'!$B$93</f>
        <v>5074122.2939622644</v>
      </c>
      <c r="Q121" s="157">
        <f>P112*'ABP Future Assumptions'!$B$93</f>
        <v>5048751.6824924508</v>
      </c>
      <c r="R121" s="157">
        <f>Q112*'ABP Future Assumptions'!$B$93</f>
        <v>5023507.92407999</v>
      </c>
      <c r="S121" s="157">
        <f>R112*'ABP Future Assumptions'!$B$93</f>
        <v>4998390.3844595915</v>
      </c>
      <c r="T121" s="157">
        <f>S112*'ABP Future Assumptions'!$B$93</f>
        <v>4973398.4325372921</v>
      </c>
      <c r="U121" s="157">
        <f>T112*'ABP Future Assumptions'!$B$93</f>
        <v>4948531.4403746063</v>
      </c>
    </row>
    <row r="122" spans="1:21" x14ac:dyDescent="0.25">
      <c r="A122" s="155" t="s">
        <v>144</v>
      </c>
      <c r="B122" s="155"/>
      <c r="C122" s="157"/>
      <c r="D122" s="157"/>
      <c r="E122" s="157"/>
      <c r="F122" s="157"/>
      <c r="G122" s="157"/>
      <c r="H122" s="157"/>
      <c r="I122" s="157"/>
      <c r="J122" s="157"/>
      <c r="K122" s="157"/>
      <c r="L122" s="157"/>
      <c r="M122" s="157"/>
      <c r="N122" s="157">
        <f>M113*'ABP Future Assumptions'!$B$93</f>
        <v>0</v>
      </c>
      <c r="O122" s="157">
        <f>N113*'ABP Future Assumptions'!$B$93</f>
        <v>3160676.1969876657</v>
      </c>
      <c r="P122" s="157">
        <f>O113*'ABP Future Assumptions'!$B$93</f>
        <v>3144872.816002727</v>
      </c>
      <c r="Q122" s="157">
        <f>P113*'ABP Future Assumptions'!$B$93</f>
        <v>3129148.4519227138</v>
      </c>
      <c r="R122" s="157">
        <f>Q113*'ABP Future Assumptions'!$B$93</f>
        <v>3113502.7096631005</v>
      </c>
      <c r="S122" s="157">
        <f>R113*'ABP Future Assumptions'!$B$93</f>
        <v>3097935.1961147846</v>
      </c>
      <c r="T122" s="157">
        <f>S113*'ABP Future Assumptions'!$B$93</f>
        <v>3082445.5201342115</v>
      </c>
      <c r="U122" s="157">
        <f>T113*'ABP Future Assumptions'!$B$93</f>
        <v>3067033.2925335388</v>
      </c>
    </row>
    <row r="123" spans="1:21" x14ac:dyDescent="0.25">
      <c r="A123" s="155" t="s">
        <v>148</v>
      </c>
      <c r="B123" s="155"/>
      <c r="C123" s="157"/>
      <c r="D123" s="157"/>
      <c r="E123" s="157"/>
      <c r="F123" s="157"/>
      <c r="G123" s="157"/>
      <c r="H123" s="157"/>
      <c r="I123" s="157"/>
      <c r="J123" s="157"/>
      <c r="K123" s="157"/>
      <c r="L123" s="157"/>
      <c r="M123" s="157"/>
      <c r="N123" s="157">
        <f>M114*'ABP Future Assumptions'!$B$93</f>
        <v>0</v>
      </c>
      <c r="O123" s="157">
        <f>N114*'ABP Future Assumptions'!$B$93</f>
        <v>0</v>
      </c>
      <c r="P123" s="157">
        <f>O114*'ABP Future Assumptions'!$B$93</f>
        <v>2071030.036885452</v>
      </c>
      <c r="Q123" s="157">
        <f>P114*'ABP Future Assumptions'!$B$93</f>
        <v>1955972.8126140384</v>
      </c>
      <c r="R123" s="157">
        <f>Q114*'ABP Future Assumptions'!$B$93</f>
        <v>1955972.8126140384</v>
      </c>
      <c r="S123" s="157">
        <f>R114*'ABP Future Assumptions'!$B$93</f>
        <v>1955972.8126140384</v>
      </c>
      <c r="T123" s="157">
        <f>S114*'ABP Future Assumptions'!$B$93</f>
        <v>1955972.8126140384</v>
      </c>
      <c r="U123" s="157">
        <f>T114*'ABP Future Assumptions'!$B$93</f>
        <v>1955972.8126140384</v>
      </c>
    </row>
    <row r="124" spans="1:21" x14ac:dyDescent="0.25">
      <c r="A124" s="155" t="s">
        <v>151</v>
      </c>
      <c r="B124" s="155"/>
      <c r="C124" s="157"/>
      <c r="D124" s="157"/>
      <c r="E124" s="157"/>
      <c r="F124" s="157"/>
      <c r="G124" s="157"/>
      <c r="H124" s="157"/>
      <c r="I124" s="157"/>
      <c r="J124" s="157"/>
      <c r="K124" s="157"/>
      <c r="L124" s="157"/>
      <c r="M124" s="157"/>
      <c r="N124" s="157">
        <f>M115*'ABP Future Assumptions'!$B$93</f>
        <v>0</v>
      </c>
      <c r="O124" s="157">
        <f>N115*'ABP Future Assumptions'!$B$93</f>
        <v>6834916.6790189305</v>
      </c>
      <c r="P124" s="157">
        <f>O115*'ABP Future Assumptions'!$B$93</f>
        <v>6455199.0857401043</v>
      </c>
      <c r="Q124" s="157">
        <f>P115*'ABP Future Assumptions'!$B$93</f>
        <v>6455199.0857401043</v>
      </c>
      <c r="R124" s="157">
        <f>Q115*'ABP Future Assumptions'!$B$93</f>
        <v>6455199.0857401043</v>
      </c>
      <c r="S124" s="157">
        <f>R115*'ABP Future Assumptions'!$B$93</f>
        <v>6455199.0857401043</v>
      </c>
      <c r="T124" s="157">
        <f>S115*'ABP Future Assumptions'!$B$93</f>
        <v>6455199.0857401043</v>
      </c>
      <c r="U124" s="157">
        <f>T115*'ABP Future Assumptions'!$B$93</f>
        <v>6455199.0857401043</v>
      </c>
    </row>
    <row r="125" spans="1:21" x14ac:dyDescent="0.25">
      <c r="A125" s="154" t="s">
        <v>98</v>
      </c>
      <c r="B125" s="154"/>
      <c r="C125" s="16">
        <f t="shared" ref="C125:T125" si="35">SUM(C119:C124)</f>
        <v>0</v>
      </c>
      <c r="D125" s="16">
        <f t="shared" si="35"/>
        <v>0</v>
      </c>
      <c r="E125" s="16">
        <f t="shared" si="35"/>
        <v>0</v>
      </c>
      <c r="F125" s="16">
        <f t="shared" si="35"/>
        <v>0</v>
      </c>
      <c r="G125" s="16">
        <f t="shared" si="35"/>
        <v>0</v>
      </c>
      <c r="H125" s="16">
        <f t="shared" si="35"/>
        <v>0</v>
      </c>
      <c r="I125" s="16">
        <f t="shared" si="35"/>
        <v>0</v>
      </c>
      <c r="J125" s="16">
        <f t="shared" si="35"/>
        <v>0</v>
      </c>
      <c r="K125" s="16">
        <f t="shared" si="35"/>
        <v>0</v>
      </c>
      <c r="L125" s="16">
        <f t="shared" si="35"/>
        <v>0</v>
      </c>
      <c r="M125" s="16">
        <f t="shared" si="35"/>
        <v>0</v>
      </c>
      <c r="N125" s="16">
        <f t="shared" si="35"/>
        <v>0</v>
      </c>
      <c r="O125" s="16">
        <f t="shared" si="35"/>
        <v>75062633.994199455</v>
      </c>
      <c r="P125" s="16">
        <f t="shared" si="35"/>
        <v>22554903.409756638</v>
      </c>
      <c r="Q125" s="16">
        <f t="shared" si="35"/>
        <v>22398751.209935401</v>
      </c>
      <c r="R125" s="16">
        <f t="shared" si="35"/>
        <v>22357861.709263325</v>
      </c>
      <c r="S125" s="16">
        <f t="shared" si="35"/>
        <v>22317176.656094611</v>
      </c>
      <c r="T125" s="16">
        <f t="shared" si="35"/>
        <v>22276695.028191738</v>
      </c>
      <c r="U125" s="16">
        <f t="shared" ref="U125" si="36">SUM(U119:U124)</f>
        <v>22236415.808428381</v>
      </c>
    </row>
    <row r="127" spans="1:21" ht="15.75" x14ac:dyDescent="0.25">
      <c r="A127" s="68">
        <v>2037</v>
      </c>
      <c r="B127" s="208">
        <v>2024</v>
      </c>
      <c r="C127" s="208">
        <v>2025</v>
      </c>
      <c r="D127" s="208">
        <v>2026</v>
      </c>
      <c r="E127" s="208">
        <v>2027</v>
      </c>
      <c r="F127" s="208">
        <v>2028</v>
      </c>
      <c r="G127" s="208">
        <v>2029</v>
      </c>
      <c r="H127" s="208">
        <v>2030</v>
      </c>
      <c r="I127" s="208">
        <v>2031</v>
      </c>
      <c r="J127" s="208">
        <v>2032</v>
      </c>
      <c r="K127" s="208">
        <v>2033</v>
      </c>
      <c r="L127" s="208">
        <v>2034</v>
      </c>
      <c r="M127" s="208">
        <v>2035</v>
      </c>
      <c r="N127" s="208">
        <v>2036</v>
      </c>
      <c r="O127" s="208">
        <v>2037</v>
      </c>
      <c r="P127" s="208">
        <v>2038</v>
      </c>
      <c r="Q127" s="208">
        <v>2039</v>
      </c>
      <c r="R127" s="208">
        <v>2040</v>
      </c>
      <c r="S127" s="208">
        <v>2041</v>
      </c>
      <c r="T127" s="208">
        <v>2042</v>
      </c>
      <c r="U127" s="208">
        <v>2043</v>
      </c>
    </row>
    <row r="128" spans="1:21" x14ac:dyDescent="0.25">
      <c r="A128" s="155" t="s">
        <v>124</v>
      </c>
      <c r="B128" s="155"/>
      <c r="C128" s="157"/>
      <c r="D128" s="157"/>
      <c r="E128" s="157"/>
      <c r="F128" s="157"/>
      <c r="G128" s="157"/>
      <c r="H128" s="157"/>
      <c r="I128" s="157"/>
      <c r="J128" s="157"/>
      <c r="K128" s="157"/>
      <c r="L128" s="157"/>
      <c r="M128" s="157"/>
      <c r="N128" s="157"/>
      <c r="O128" s="157">
        <f>N119*'ABP Future Assumptions'!$B$93</f>
        <v>0</v>
      </c>
      <c r="P128" s="157">
        <f>O119*'ABP Future Assumptions'!$B$93</f>
        <v>56558991.462792791</v>
      </c>
      <c r="Q128" s="157">
        <f>P119*'ABP Future Assumptions'!$B$93</f>
        <v>0</v>
      </c>
      <c r="R128" s="157">
        <f>Q119*'ABP Future Assumptions'!$B$93</f>
        <v>0</v>
      </c>
      <c r="S128" s="157">
        <f>R119*'ABP Future Assumptions'!$B$93</f>
        <v>0</v>
      </c>
      <c r="T128" s="157">
        <f>S119*'ABP Future Assumptions'!$B$93</f>
        <v>0</v>
      </c>
      <c r="U128" s="157">
        <f>T119*'ABP Future Assumptions'!$B$93</f>
        <v>0</v>
      </c>
    </row>
    <row r="129" spans="1:21" x14ac:dyDescent="0.25">
      <c r="A129" s="155" t="s">
        <v>130</v>
      </c>
      <c r="B129" s="155"/>
      <c r="C129" s="157"/>
      <c r="D129" s="157"/>
      <c r="E129" s="157"/>
      <c r="F129" s="157"/>
      <c r="G129" s="157"/>
      <c r="H129" s="157"/>
      <c r="I129" s="157"/>
      <c r="J129" s="157"/>
      <c r="K129" s="157"/>
      <c r="L129" s="157"/>
      <c r="M129" s="157"/>
      <c r="N129" s="157"/>
      <c r="O129" s="157">
        <f>N120*'ABP Future Assumptions'!$B$93</f>
        <v>0</v>
      </c>
      <c r="P129" s="157">
        <f>O120*'ABP Future Assumptions'!$B$93</f>
        <v>5905368.0106723579</v>
      </c>
      <c r="Q129" s="157">
        <f>P120*'ABP Future Assumptions'!$B$93</f>
        <v>5577292.010079449</v>
      </c>
      <c r="R129" s="157">
        <f>Q120*'ABP Future Assumptions'!$B$93</f>
        <v>5577292.010079449</v>
      </c>
      <c r="S129" s="157">
        <f>R120*'ABP Future Assumptions'!$B$93</f>
        <v>5577292.010079449</v>
      </c>
      <c r="T129" s="157">
        <f>S120*'ABP Future Assumptions'!$B$93</f>
        <v>5577292.010079449</v>
      </c>
      <c r="U129" s="157">
        <f>T120*'ABP Future Assumptions'!$B$93</f>
        <v>5577292.010079449</v>
      </c>
    </row>
    <row r="130" spans="1:21" x14ac:dyDescent="0.25">
      <c r="A130" s="155" t="s">
        <v>139</v>
      </c>
      <c r="B130" s="155"/>
      <c r="C130" s="157"/>
      <c r="D130" s="157"/>
      <c r="E130" s="157"/>
      <c r="F130" s="157"/>
      <c r="G130" s="157"/>
      <c r="H130" s="157"/>
      <c r="I130" s="157"/>
      <c r="J130" s="157"/>
      <c r="K130" s="157"/>
      <c r="L130" s="157"/>
      <c r="M130" s="157"/>
      <c r="N130" s="157"/>
      <c r="O130" s="157">
        <f>N121*'ABP Future Assumptions'!$B$93</f>
        <v>0</v>
      </c>
      <c r="P130" s="157">
        <f>O121*'ABP Future Assumptions'!$B$93</f>
        <v>0</v>
      </c>
      <c r="Q130" s="157">
        <f>P121*'ABP Future Assumptions'!$B$93</f>
        <v>4871157.4022037741</v>
      </c>
      <c r="R130" s="157">
        <f>Q121*'ABP Future Assumptions'!$B$93</f>
        <v>4846801.6151927523</v>
      </c>
      <c r="S130" s="157">
        <f>R121*'ABP Future Assumptions'!$B$93</f>
        <v>4822567.6071167905</v>
      </c>
      <c r="T130" s="157">
        <f>S121*'ABP Future Assumptions'!$B$93</f>
        <v>4798454.7690812079</v>
      </c>
      <c r="U130" s="157">
        <f>T121*'ABP Future Assumptions'!$B$93</f>
        <v>4774462.4952357998</v>
      </c>
    </row>
    <row r="131" spans="1:21" x14ac:dyDescent="0.25">
      <c r="A131" s="155" t="s">
        <v>144</v>
      </c>
      <c r="B131" s="155"/>
      <c r="C131" s="157"/>
      <c r="D131" s="157"/>
      <c r="E131" s="157"/>
      <c r="F131" s="157"/>
      <c r="G131" s="157"/>
      <c r="H131" s="157"/>
      <c r="I131" s="157"/>
      <c r="J131" s="157"/>
      <c r="K131" s="157"/>
      <c r="L131" s="157"/>
      <c r="M131" s="157"/>
      <c r="N131" s="157"/>
      <c r="O131" s="157">
        <f>N122*'ABP Future Assumptions'!$B$93</f>
        <v>0</v>
      </c>
      <c r="P131" s="157">
        <f>O122*'ABP Future Assumptions'!$B$93</f>
        <v>3034249.1491081589</v>
      </c>
      <c r="Q131" s="157">
        <f>P122*'ABP Future Assumptions'!$B$93</f>
        <v>3019077.9033626178</v>
      </c>
      <c r="R131" s="157">
        <f>Q122*'ABP Future Assumptions'!$B$93</f>
        <v>3003982.5138458051</v>
      </c>
      <c r="S131" s="157">
        <f>R122*'ABP Future Assumptions'!$B$93</f>
        <v>2988962.6012765765</v>
      </c>
      <c r="T131" s="157">
        <f>S122*'ABP Future Assumptions'!$B$93</f>
        <v>2974017.7882701932</v>
      </c>
      <c r="U131" s="157">
        <f>T122*'ABP Future Assumptions'!$B$93</f>
        <v>2959147.699328843</v>
      </c>
    </row>
    <row r="132" spans="1:21" x14ac:dyDescent="0.25">
      <c r="A132" s="155" t="s">
        <v>148</v>
      </c>
      <c r="B132" s="155"/>
      <c r="C132" s="157"/>
      <c r="D132" s="157"/>
      <c r="E132" s="157"/>
      <c r="F132" s="157"/>
      <c r="G132" s="157"/>
      <c r="H132" s="157"/>
      <c r="I132" s="157"/>
      <c r="J132" s="157"/>
      <c r="K132" s="157"/>
      <c r="L132" s="157"/>
      <c r="M132" s="157"/>
      <c r="N132" s="157"/>
      <c r="O132" s="157">
        <f>N123*'ABP Future Assumptions'!$B$93</f>
        <v>0</v>
      </c>
      <c r="P132" s="157">
        <f>O123*'ABP Future Assumptions'!$B$93</f>
        <v>0</v>
      </c>
      <c r="Q132" s="157">
        <f>P123*'ABP Future Assumptions'!$B$93</f>
        <v>1988188.8354100338</v>
      </c>
      <c r="R132" s="157">
        <f>Q123*'ABP Future Assumptions'!$B$93</f>
        <v>1877733.9001094766</v>
      </c>
      <c r="S132" s="157">
        <f>R123*'ABP Future Assumptions'!$B$93</f>
        <v>1877733.9001094766</v>
      </c>
      <c r="T132" s="157">
        <f>S123*'ABP Future Assumptions'!$B$93</f>
        <v>1877733.9001094766</v>
      </c>
      <c r="U132" s="157">
        <f>T123*'ABP Future Assumptions'!$B$93</f>
        <v>1877733.9001094766</v>
      </c>
    </row>
    <row r="133" spans="1:21" x14ac:dyDescent="0.25">
      <c r="A133" s="155" t="s">
        <v>151</v>
      </c>
      <c r="B133" s="155"/>
      <c r="C133" s="157"/>
      <c r="D133" s="157"/>
      <c r="E133" s="157"/>
      <c r="F133" s="157"/>
      <c r="G133" s="157"/>
      <c r="H133" s="157"/>
      <c r="I133" s="157"/>
      <c r="J133" s="157"/>
      <c r="K133" s="157"/>
      <c r="L133" s="157"/>
      <c r="M133" s="157"/>
      <c r="N133" s="157"/>
      <c r="O133" s="157">
        <f>N124*'ABP Future Assumptions'!$B$93</f>
        <v>0</v>
      </c>
      <c r="P133" s="157">
        <f>O124*'ABP Future Assumptions'!$B$93</f>
        <v>6561520.0118581727</v>
      </c>
      <c r="Q133" s="157">
        <f>P124*'ABP Future Assumptions'!$B$93</f>
        <v>6196991.1223104997</v>
      </c>
      <c r="R133" s="157">
        <f>Q124*'ABP Future Assumptions'!$B$93</f>
        <v>6196991.1223104997</v>
      </c>
      <c r="S133" s="157">
        <f>R124*'ABP Future Assumptions'!$B$93</f>
        <v>6196991.1223104997</v>
      </c>
      <c r="T133" s="157">
        <f>S124*'ABP Future Assumptions'!$B$93</f>
        <v>6196991.1223104997</v>
      </c>
      <c r="U133" s="157">
        <f>T124*'ABP Future Assumptions'!$B$93</f>
        <v>6196991.1223104997</v>
      </c>
    </row>
    <row r="134" spans="1:21" x14ac:dyDescent="0.25">
      <c r="A134" s="154" t="s">
        <v>98</v>
      </c>
      <c r="B134" s="154"/>
      <c r="C134" s="16">
        <f t="shared" ref="C134:T134" si="37">SUM(C128:C133)</f>
        <v>0</v>
      </c>
      <c r="D134" s="16">
        <f t="shared" si="37"/>
        <v>0</v>
      </c>
      <c r="E134" s="16">
        <f t="shared" si="37"/>
        <v>0</v>
      </c>
      <c r="F134" s="16">
        <f t="shared" si="37"/>
        <v>0</v>
      </c>
      <c r="G134" s="16">
        <f t="shared" si="37"/>
        <v>0</v>
      </c>
      <c r="H134" s="16">
        <f t="shared" si="37"/>
        <v>0</v>
      </c>
      <c r="I134" s="16">
        <f t="shared" si="37"/>
        <v>0</v>
      </c>
      <c r="J134" s="16">
        <f t="shared" si="37"/>
        <v>0</v>
      </c>
      <c r="K134" s="16">
        <f t="shared" si="37"/>
        <v>0</v>
      </c>
      <c r="L134" s="16">
        <f t="shared" si="37"/>
        <v>0</v>
      </c>
      <c r="M134" s="16">
        <f t="shared" si="37"/>
        <v>0</v>
      </c>
      <c r="N134" s="16">
        <f t="shared" si="37"/>
        <v>0</v>
      </c>
      <c r="O134" s="16">
        <f t="shared" si="37"/>
        <v>0</v>
      </c>
      <c r="P134" s="16">
        <f t="shared" si="37"/>
        <v>72060128.634431481</v>
      </c>
      <c r="Q134" s="16">
        <f t="shared" si="37"/>
        <v>21652707.273366373</v>
      </c>
      <c r="R134" s="16">
        <f t="shared" si="37"/>
        <v>21502801.161537983</v>
      </c>
      <c r="S134" s="16">
        <f t="shared" si="37"/>
        <v>21463547.240892794</v>
      </c>
      <c r="T134" s="16">
        <f t="shared" si="37"/>
        <v>21424489.589850828</v>
      </c>
      <c r="U134" s="16">
        <f t="shared" ref="U134" si="38">SUM(U128:U133)</f>
        <v>21385627.227064069</v>
      </c>
    </row>
    <row r="136" spans="1:21" ht="15.75" x14ac:dyDescent="0.25">
      <c r="A136" s="68">
        <v>2038</v>
      </c>
      <c r="B136" s="208">
        <v>2024</v>
      </c>
      <c r="C136" s="208">
        <v>2025</v>
      </c>
      <c r="D136" s="208">
        <v>2026</v>
      </c>
      <c r="E136" s="208">
        <v>2027</v>
      </c>
      <c r="F136" s="208">
        <v>2028</v>
      </c>
      <c r="G136" s="208">
        <v>2029</v>
      </c>
      <c r="H136" s="208">
        <v>2030</v>
      </c>
      <c r="I136" s="208">
        <v>2031</v>
      </c>
      <c r="J136" s="208">
        <v>2032</v>
      </c>
      <c r="K136" s="208">
        <v>2033</v>
      </c>
      <c r="L136" s="208">
        <v>2034</v>
      </c>
      <c r="M136" s="208">
        <v>2035</v>
      </c>
      <c r="N136" s="208">
        <v>2036</v>
      </c>
      <c r="O136" s="208">
        <v>2037</v>
      </c>
      <c r="P136" s="208">
        <v>2038</v>
      </c>
      <c r="Q136" s="208">
        <v>2039</v>
      </c>
      <c r="R136" s="208">
        <v>2040</v>
      </c>
      <c r="S136" s="208">
        <v>2041</v>
      </c>
      <c r="T136" s="208">
        <v>2042</v>
      </c>
      <c r="U136" s="208">
        <v>2043</v>
      </c>
    </row>
    <row r="137" spans="1:21" x14ac:dyDescent="0.25">
      <c r="A137" s="155" t="s">
        <v>124</v>
      </c>
      <c r="B137" s="155"/>
      <c r="C137" s="157"/>
      <c r="D137" s="157"/>
      <c r="E137" s="157"/>
      <c r="F137" s="157"/>
      <c r="G137" s="157"/>
      <c r="H137" s="157"/>
      <c r="I137" s="157"/>
      <c r="J137" s="157"/>
      <c r="K137" s="157"/>
      <c r="L137" s="157"/>
      <c r="M137" s="157"/>
      <c r="N137" s="157"/>
      <c r="O137" s="157"/>
      <c r="P137" s="157">
        <f>O128*'ABP Future Assumptions'!$B$93</f>
        <v>0</v>
      </c>
      <c r="Q137" s="157">
        <f>P128*'ABP Future Assumptions'!$B$93</f>
        <v>54296631.804281078</v>
      </c>
      <c r="R137" s="157">
        <f>Q128*'ABP Future Assumptions'!$B$93</f>
        <v>0</v>
      </c>
      <c r="S137" s="157">
        <f>R128*'ABP Future Assumptions'!$B$93</f>
        <v>0</v>
      </c>
      <c r="T137" s="157">
        <f>S128*'ABP Future Assumptions'!$B$93</f>
        <v>0</v>
      </c>
      <c r="U137" s="157">
        <f>T128*'ABP Future Assumptions'!$B$93</f>
        <v>0</v>
      </c>
    </row>
    <row r="138" spans="1:21" x14ac:dyDescent="0.25">
      <c r="A138" s="155" t="s">
        <v>130</v>
      </c>
      <c r="B138" s="155"/>
      <c r="C138" s="157"/>
      <c r="D138" s="157"/>
      <c r="E138" s="157"/>
      <c r="F138" s="157"/>
      <c r="G138" s="157"/>
      <c r="H138" s="157"/>
      <c r="I138" s="157"/>
      <c r="J138" s="157"/>
      <c r="K138" s="157"/>
      <c r="L138" s="157"/>
      <c r="M138" s="157"/>
      <c r="N138" s="157"/>
      <c r="O138" s="157"/>
      <c r="P138" s="157">
        <f>O129*'ABP Future Assumptions'!$B$93</f>
        <v>0</v>
      </c>
      <c r="Q138" s="157">
        <f>P129*'ABP Future Assumptions'!$B$93</f>
        <v>5669153.2902454631</v>
      </c>
      <c r="R138" s="157">
        <f>Q129*'ABP Future Assumptions'!$B$93</f>
        <v>5354200.3296762705</v>
      </c>
      <c r="S138" s="157">
        <f>R129*'ABP Future Assumptions'!$B$93</f>
        <v>5354200.3296762705</v>
      </c>
      <c r="T138" s="157">
        <f>S129*'ABP Future Assumptions'!$B$93</f>
        <v>5354200.3296762705</v>
      </c>
      <c r="U138" s="157">
        <f>T129*'ABP Future Assumptions'!$B$93</f>
        <v>5354200.3296762705</v>
      </c>
    </row>
    <row r="139" spans="1:21" x14ac:dyDescent="0.25">
      <c r="A139" s="155" t="s">
        <v>139</v>
      </c>
      <c r="B139" s="155"/>
      <c r="C139" s="157"/>
      <c r="D139" s="157"/>
      <c r="E139" s="157"/>
      <c r="F139" s="157"/>
      <c r="G139" s="157"/>
      <c r="H139" s="157"/>
      <c r="I139" s="157"/>
      <c r="J139" s="157"/>
      <c r="K139" s="157"/>
      <c r="L139" s="157"/>
      <c r="M139" s="157"/>
      <c r="N139" s="157"/>
      <c r="O139" s="157"/>
      <c r="P139" s="157">
        <f>O130*'ABP Future Assumptions'!$B$93</f>
        <v>0</v>
      </c>
      <c r="Q139" s="157">
        <f>P130*'ABP Future Assumptions'!$B$93</f>
        <v>0</v>
      </c>
      <c r="R139" s="157">
        <f>Q130*'ABP Future Assumptions'!$B$93</f>
        <v>4676311.1061156234</v>
      </c>
      <c r="S139" s="157">
        <f>R130*'ABP Future Assumptions'!$B$93</f>
        <v>4652929.5505850418</v>
      </c>
      <c r="T139" s="157">
        <f>S130*'ABP Future Assumptions'!$B$93</f>
        <v>4629664.9028321188</v>
      </c>
      <c r="U139" s="157">
        <f>T130*'ABP Future Assumptions'!$B$93</f>
        <v>4606516.5783179598</v>
      </c>
    </row>
    <row r="140" spans="1:21" x14ac:dyDescent="0.25">
      <c r="A140" s="155" t="s">
        <v>144</v>
      </c>
      <c r="B140" s="155"/>
      <c r="C140" s="157"/>
      <c r="D140" s="157"/>
      <c r="E140" s="157"/>
      <c r="F140" s="157"/>
      <c r="G140" s="157"/>
      <c r="H140" s="157"/>
      <c r="I140" s="157"/>
      <c r="J140" s="157"/>
      <c r="K140" s="157"/>
      <c r="L140" s="157"/>
      <c r="M140" s="157"/>
      <c r="N140" s="157"/>
      <c r="O140" s="157"/>
      <c r="P140" s="157">
        <f>O131*'ABP Future Assumptions'!$B$93</f>
        <v>0</v>
      </c>
      <c r="Q140" s="157">
        <f>P131*'ABP Future Assumptions'!$B$93</f>
        <v>2912879.1831438323</v>
      </c>
      <c r="R140" s="157">
        <f>Q131*'ABP Future Assumptions'!$B$93</f>
        <v>2898314.787228113</v>
      </c>
      <c r="S140" s="157">
        <f>R131*'ABP Future Assumptions'!$B$93</f>
        <v>2883823.2132919729</v>
      </c>
      <c r="T140" s="157">
        <f>S131*'ABP Future Assumptions'!$B$93</f>
        <v>2869404.0972255133</v>
      </c>
      <c r="U140" s="157">
        <f>T131*'ABP Future Assumptions'!$B$93</f>
        <v>2855057.0767393853</v>
      </c>
    </row>
    <row r="141" spans="1:21" x14ac:dyDescent="0.25">
      <c r="A141" s="155" t="s">
        <v>148</v>
      </c>
      <c r="B141" s="155"/>
      <c r="C141" s="157"/>
      <c r="D141" s="157"/>
      <c r="E141" s="157"/>
      <c r="F141" s="157"/>
      <c r="G141" s="157"/>
      <c r="H141" s="157"/>
      <c r="I141" s="157"/>
      <c r="J141" s="157"/>
      <c r="K141" s="157"/>
      <c r="L141" s="157"/>
      <c r="M141" s="157"/>
      <c r="N141" s="157"/>
      <c r="O141" s="157"/>
      <c r="P141" s="157">
        <f>O132*'ABP Future Assumptions'!$B$93</f>
        <v>0</v>
      </c>
      <c r="Q141" s="157">
        <f>P132*'ABP Future Assumptions'!$B$93</f>
        <v>0</v>
      </c>
      <c r="R141" s="157">
        <f>Q132*'ABP Future Assumptions'!$B$93</f>
        <v>1908661.2819936324</v>
      </c>
      <c r="S141" s="157">
        <f>R132*'ABP Future Assumptions'!$B$93</f>
        <v>1802624.5441050974</v>
      </c>
      <c r="T141" s="157">
        <f>S132*'ABP Future Assumptions'!$B$93</f>
        <v>1802624.5441050974</v>
      </c>
      <c r="U141" s="157">
        <f>T132*'ABP Future Assumptions'!$B$93</f>
        <v>1802624.5441050974</v>
      </c>
    </row>
    <row r="142" spans="1:21" x14ac:dyDescent="0.25">
      <c r="A142" s="155" t="s">
        <v>151</v>
      </c>
      <c r="B142" s="155"/>
      <c r="C142" s="157"/>
      <c r="D142" s="157"/>
      <c r="E142" s="157"/>
      <c r="F142" s="157"/>
      <c r="G142" s="157"/>
      <c r="H142" s="157"/>
      <c r="I142" s="157"/>
      <c r="J142" s="157"/>
      <c r="K142" s="157"/>
      <c r="L142" s="157"/>
      <c r="M142" s="157"/>
      <c r="N142" s="157"/>
      <c r="O142" s="157"/>
      <c r="P142" s="157">
        <f>O133*'ABP Future Assumptions'!$B$93</f>
        <v>0</v>
      </c>
      <c r="Q142" s="157">
        <f>P133*'ABP Future Assumptions'!$B$93</f>
        <v>6299059.2113838457</v>
      </c>
      <c r="R142" s="157">
        <f>Q133*'ABP Future Assumptions'!$B$93</f>
        <v>5949111.477418079</v>
      </c>
      <c r="S142" s="157">
        <f>R133*'ABP Future Assumptions'!$B$93</f>
        <v>5949111.477418079</v>
      </c>
      <c r="T142" s="157">
        <f>S133*'ABP Future Assumptions'!$B$93</f>
        <v>5949111.477418079</v>
      </c>
      <c r="U142" s="157">
        <f>T133*'ABP Future Assumptions'!$B$93</f>
        <v>5949111.477418079</v>
      </c>
    </row>
    <row r="143" spans="1:21" x14ac:dyDescent="0.25">
      <c r="A143" s="154" t="s">
        <v>98</v>
      </c>
      <c r="B143" s="154"/>
      <c r="C143" s="16">
        <f t="shared" ref="C143:T143" si="39">SUM(C137:C142)</f>
        <v>0</v>
      </c>
      <c r="D143" s="16">
        <f t="shared" si="39"/>
        <v>0</v>
      </c>
      <c r="E143" s="16">
        <f t="shared" si="39"/>
        <v>0</v>
      </c>
      <c r="F143" s="16">
        <f t="shared" si="39"/>
        <v>0</v>
      </c>
      <c r="G143" s="16">
        <f t="shared" si="39"/>
        <v>0</v>
      </c>
      <c r="H143" s="16">
        <f t="shared" si="39"/>
        <v>0</v>
      </c>
      <c r="I143" s="16">
        <f t="shared" si="39"/>
        <v>0</v>
      </c>
      <c r="J143" s="16">
        <f t="shared" si="39"/>
        <v>0</v>
      </c>
      <c r="K143" s="16">
        <f t="shared" si="39"/>
        <v>0</v>
      </c>
      <c r="L143" s="16">
        <f t="shared" si="39"/>
        <v>0</v>
      </c>
      <c r="M143" s="16">
        <f t="shared" si="39"/>
        <v>0</v>
      </c>
      <c r="N143" s="16">
        <f t="shared" si="39"/>
        <v>0</v>
      </c>
      <c r="O143" s="16">
        <f t="shared" si="39"/>
        <v>0</v>
      </c>
      <c r="P143" s="16">
        <f t="shared" si="39"/>
        <v>0</v>
      </c>
      <c r="Q143" s="16">
        <f t="shared" si="39"/>
        <v>69177723.489054218</v>
      </c>
      <c r="R143" s="16">
        <f t="shared" si="39"/>
        <v>20786598.982431721</v>
      </c>
      <c r="S143" s="16">
        <f t="shared" si="39"/>
        <v>20642689.115076464</v>
      </c>
      <c r="T143" s="16">
        <f t="shared" si="39"/>
        <v>20605005.351257078</v>
      </c>
      <c r="U143" s="16">
        <f t="shared" ref="U143" si="40">SUM(U137:U142)</f>
        <v>20567510.006256793</v>
      </c>
    </row>
    <row r="145" spans="1:21" ht="15.75" x14ac:dyDescent="0.25">
      <c r="A145" s="68">
        <v>2039</v>
      </c>
      <c r="B145" s="208">
        <v>2024</v>
      </c>
      <c r="C145" s="208">
        <v>2025</v>
      </c>
      <c r="D145" s="208">
        <v>2026</v>
      </c>
      <c r="E145" s="208">
        <v>2027</v>
      </c>
      <c r="F145" s="208">
        <v>2028</v>
      </c>
      <c r="G145" s="208">
        <v>2029</v>
      </c>
      <c r="H145" s="208">
        <v>2030</v>
      </c>
      <c r="I145" s="208">
        <v>2031</v>
      </c>
      <c r="J145" s="208">
        <v>2032</v>
      </c>
      <c r="K145" s="208">
        <v>2033</v>
      </c>
      <c r="L145" s="208">
        <v>2034</v>
      </c>
      <c r="M145" s="208">
        <v>2035</v>
      </c>
      <c r="N145" s="208">
        <v>2036</v>
      </c>
      <c r="O145" s="208">
        <v>2037</v>
      </c>
      <c r="P145" s="208">
        <v>2038</v>
      </c>
      <c r="Q145" s="208">
        <v>2039</v>
      </c>
      <c r="R145" s="208">
        <v>2040</v>
      </c>
      <c r="S145" s="208">
        <v>2041</v>
      </c>
      <c r="T145" s="208">
        <v>2042</v>
      </c>
      <c r="U145" s="208">
        <v>2043</v>
      </c>
    </row>
    <row r="146" spans="1:21" x14ac:dyDescent="0.25">
      <c r="A146" s="155" t="s">
        <v>124</v>
      </c>
      <c r="B146" s="155"/>
      <c r="C146" s="157"/>
      <c r="D146" s="157"/>
      <c r="E146" s="157"/>
      <c r="F146" s="157"/>
      <c r="G146" s="157"/>
      <c r="H146" s="157"/>
      <c r="I146" s="157"/>
      <c r="J146" s="157"/>
      <c r="K146" s="157"/>
      <c r="L146" s="157"/>
      <c r="M146" s="157"/>
      <c r="N146" s="157"/>
      <c r="O146" s="157"/>
      <c r="P146" s="157"/>
      <c r="Q146" s="157">
        <f>P137*'ABP Future Assumptions'!$B$93</f>
        <v>0</v>
      </c>
      <c r="R146" s="157">
        <f>Q137*'ABP Future Assumptions'!$B$93</f>
        <v>52124766.532109834</v>
      </c>
      <c r="S146" s="157">
        <f>R137*'ABP Future Assumptions'!$B$93</f>
        <v>0</v>
      </c>
      <c r="T146" s="157">
        <f>S137*'ABP Future Assumptions'!$B$93</f>
        <v>0</v>
      </c>
      <c r="U146" s="157">
        <f>T137*'ABP Future Assumptions'!$B$93</f>
        <v>0</v>
      </c>
    </row>
    <row r="147" spans="1:21" x14ac:dyDescent="0.25">
      <c r="A147" s="155" t="s">
        <v>130</v>
      </c>
      <c r="B147" s="155"/>
      <c r="C147" s="157"/>
      <c r="D147" s="157"/>
      <c r="E147" s="157"/>
      <c r="F147" s="157"/>
      <c r="G147" s="157"/>
      <c r="H147" s="157"/>
      <c r="I147" s="157"/>
      <c r="J147" s="157"/>
      <c r="K147" s="157"/>
      <c r="L147" s="157"/>
      <c r="M147" s="157"/>
      <c r="N147" s="157"/>
      <c r="O147" s="157"/>
      <c r="P147" s="157"/>
      <c r="Q147" s="157">
        <f>P138*'ABP Future Assumptions'!$B$93</f>
        <v>0</v>
      </c>
      <c r="R147" s="157">
        <f>Q138*'ABP Future Assumptions'!$B$93</f>
        <v>5442387.1586356442</v>
      </c>
      <c r="S147" s="157">
        <f>R138*'ABP Future Assumptions'!$B$93</f>
        <v>5140032.3164892197</v>
      </c>
      <c r="T147" s="157">
        <f>S138*'ABP Future Assumptions'!$B$93</f>
        <v>5140032.3164892197</v>
      </c>
      <c r="U147" s="157">
        <f>T138*'ABP Future Assumptions'!$B$93</f>
        <v>5140032.3164892197</v>
      </c>
    </row>
    <row r="148" spans="1:21" x14ac:dyDescent="0.25">
      <c r="A148" s="155" t="s">
        <v>139</v>
      </c>
      <c r="B148" s="155"/>
      <c r="C148" s="157"/>
      <c r="D148" s="157"/>
      <c r="E148" s="157"/>
      <c r="F148" s="157"/>
      <c r="G148" s="157"/>
      <c r="H148" s="157"/>
      <c r="I148" s="157"/>
      <c r="J148" s="157"/>
      <c r="K148" s="157"/>
      <c r="L148" s="157"/>
      <c r="M148" s="157"/>
      <c r="N148" s="157"/>
      <c r="O148" s="157"/>
      <c r="P148" s="157"/>
      <c r="Q148" s="157">
        <f>P139*'ABP Future Assumptions'!$B$93</f>
        <v>0</v>
      </c>
      <c r="R148" s="157">
        <f>Q139*'ABP Future Assumptions'!$B$93</f>
        <v>0</v>
      </c>
      <c r="S148" s="157">
        <f>R139*'ABP Future Assumptions'!$B$93</f>
        <v>4489258.6618709983</v>
      </c>
      <c r="T148" s="157">
        <f>S139*'ABP Future Assumptions'!$B$93</f>
        <v>4466812.3685616404</v>
      </c>
      <c r="U148" s="157">
        <f>T139*'ABP Future Assumptions'!$B$93</f>
        <v>4444478.3067188337</v>
      </c>
    </row>
    <row r="149" spans="1:21" x14ac:dyDescent="0.25">
      <c r="A149" s="155" t="s">
        <v>144</v>
      </c>
      <c r="B149" s="155"/>
      <c r="C149" s="157"/>
      <c r="D149" s="157"/>
      <c r="E149" s="157"/>
      <c r="F149" s="157"/>
      <c r="G149" s="157"/>
      <c r="H149" s="157"/>
      <c r="I149" s="157"/>
      <c r="J149" s="157"/>
      <c r="K149" s="157"/>
      <c r="L149" s="157"/>
      <c r="M149" s="157"/>
      <c r="N149" s="157"/>
      <c r="O149" s="157"/>
      <c r="P149" s="157"/>
      <c r="Q149" s="157">
        <f>P140*'ABP Future Assumptions'!$B$93</f>
        <v>0</v>
      </c>
      <c r="R149" s="157">
        <f>Q140*'ABP Future Assumptions'!$B$93</f>
        <v>2796364.015818079</v>
      </c>
      <c r="S149" s="157">
        <f>R140*'ABP Future Assumptions'!$B$93</f>
        <v>2782382.1957389885</v>
      </c>
      <c r="T149" s="157">
        <f>S140*'ABP Future Assumptions'!$B$93</f>
        <v>2768470.284760294</v>
      </c>
      <c r="U149" s="157">
        <f>T140*'ABP Future Assumptions'!$B$93</f>
        <v>2754627.9333364926</v>
      </c>
    </row>
    <row r="150" spans="1:21" x14ac:dyDescent="0.25">
      <c r="A150" s="155" t="s">
        <v>148</v>
      </c>
      <c r="B150" s="155"/>
      <c r="C150" s="157"/>
      <c r="D150" s="157"/>
      <c r="E150" s="157"/>
      <c r="F150" s="157"/>
      <c r="G150" s="157"/>
      <c r="H150" s="157"/>
      <c r="I150" s="157"/>
      <c r="J150" s="157"/>
      <c r="K150" s="157"/>
      <c r="L150" s="157"/>
      <c r="M150" s="157"/>
      <c r="N150" s="157"/>
      <c r="O150" s="157"/>
      <c r="P150" s="157"/>
      <c r="Q150" s="157">
        <f>P141*'ABP Future Assumptions'!$B$93</f>
        <v>0</v>
      </c>
      <c r="R150" s="157">
        <f>Q141*'ABP Future Assumptions'!$B$93</f>
        <v>0</v>
      </c>
      <c r="S150" s="157">
        <f>R141*'ABP Future Assumptions'!$B$93</f>
        <v>1832314.830713887</v>
      </c>
      <c r="T150" s="157">
        <f>S141*'ABP Future Assumptions'!$B$93</f>
        <v>1730519.5623408935</v>
      </c>
      <c r="U150" s="157">
        <f>T141*'ABP Future Assumptions'!$B$93</f>
        <v>1730519.5623408935</v>
      </c>
    </row>
    <row r="151" spans="1:21" x14ac:dyDescent="0.25">
      <c r="A151" s="155" t="s">
        <v>151</v>
      </c>
      <c r="B151" s="155"/>
      <c r="C151" s="157"/>
      <c r="D151" s="157"/>
      <c r="E151" s="157"/>
      <c r="F151" s="157"/>
      <c r="G151" s="157"/>
      <c r="H151" s="157"/>
      <c r="I151" s="157"/>
      <c r="J151" s="157"/>
      <c r="K151" s="157"/>
      <c r="L151" s="157"/>
      <c r="M151" s="157"/>
      <c r="N151" s="157"/>
      <c r="O151" s="157"/>
      <c r="P151" s="157"/>
      <c r="Q151" s="157">
        <f>P142*'ABP Future Assumptions'!$B$93</f>
        <v>0</v>
      </c>
      <c r="R151" s="157">
        <f>Q142*'ABP Future Assumptions'!$B$93</f>
        <v>6047096.8429284915</v>
      </c>
      <c r="S151" s="157">
        <f>R142*'ABP Future Assumptions'!$B$93</f>
        <v>5711147.0183213558</v>
      </c>
      <c r="T151" s="157">
        <f>S142*'ABP Future Assumptions'!$B$93</f>
        <v>5711147.0183213558</v>
      </c>
      <c r="U151" s="157">
        <f>T142*'ABP Future Assumptions'!$B$93</f>
        <v>5711147.0183213558</v>
      </c>
    </row>
    <row r="152" spans="1:21" x14ac:dyDescent="0.25">
      <c r="A152" s="154" t="s">
        <v>98</v>
      </c>
      <c r="B152" s="154"/>
      <c r="C152" s="16">
        <f t="shared" ref="C152:T152" si="41">SUM(C146:C151)</f>
        <v>0</v>
      </c>
      <c r="D152" s="16">
        <f t="shared" si="41"/>
        <v>0</v>
      </c>
      <c r="E152" s="16">
        <f t="shared" si="41"/>
        <v>0</v>
      </c>
      <c r="F152" s="16">
        <f t="shared" si="41"/>
        <v>0</v>
      </c>
      <c r="G152" s="16">
        <f t="shared" si="41"/>
        <v>0</v>
      </c>
      <c r="H152" s="16">
        <f t="shared" si="41"/>
        <v>0</v>
      </c>
      <c r="I152" s="16">
        <f t="shared" si="41"/>
        <v>0</v>
      </c>
      <c r="J152" s="16">
        <f t="shared" si="41"/>
        <v>0</v>
      </c>
      <c r="K152" s="16">
        <f t="shared" si="41"/>
        <v>0</v>
      </c>
      <c r="L152" s="16">
        <f t="shared" si="41"/>
        <v>0</v>
      </c>
      <c r="M152" s="16">
        <f t="shared" si="41"/>
        <v>0</v>
      </c>
      <c r="N152" s="16">
        <f t="shared" si="41"/>
        <v>0</v>
      </c>
      <c r="O152" s="16">
        <f t="shared" si="41"/>
        <v>0</v>
      </c>
      <c r="P152" s="16">
        <f t="shared" si="41"/>
        <v>0</v>
      </c>
      <c r="Q152" s="16">
        <f t="shared" si="41"/>
        <v>0</v>
      </c>
      <c r="R152" s="16">
        <f t="shared" si="41"/>
        <v>66410614.549492054</v>
      </c>
      <c r="S152" s="16">
        <f t="shared" si="41"/>
        <v>19955135.023134448</v>
      </c>
      <c r="T152" s="16">
        <f t="shared" si="41"/>
        <v>19816981.550473403</v>
      </c>
      <c r="U152" s="16">
        <f t="shared" ref="U152" si="42">SUM(U146:U151)</f>
        <v>19780805.137206793</v>
      </c>
    </row>
    <row r="154" spans="1:21" ht="15.75" x14ac:dyDescent="0.25">
      <c r="A154" s="68">
        <v>2040</v>
      </c>
      <c r="B154" s="208">
        <v>2024</v>
      </c>
      <c r="C154" s="208">
        <v>2025</v>
      </c>
      <c r="D154" s="208">
        <v>2026</v>
      </c>
      <c r="E154" s="208">
        <v>2027</v>
      </c>
      <c r="F154" s="208">
        <v>2028</v>
      </c>
      <c r="G154" s="208">
        <v>2029</v>
      </c>
      <c r="H154" s="208">
        <v>2030</v>
      </c>
      <c r="I154" s="208">
        <v>2031</v>
      </c>
      <c r="J154" s="208">
        <v>2032</v>
      </c>
      <c r="K154" s="208">
        <v>2033</v>
      </c>
      <c r="L154" s="208">
        <v>2034</v>
      </c>
      <c r="M154" s="208">
        <v>2035</v>
      </c>
      <c r="N154" s="208">
        <v>2036</v>
      </c>
      <c r="O154" s="208">
        <v>2037</v>
      </c>
      <c r="P154" s="208">
        <v>2038</v>
      </c>
      <c r="Q154" s="208">
        <v>2039</v>
      </c>
      <c r="R154" s="208">
        <v>2040</v>
      </c>
      <c r="S154" s="208">
        <v>2041</v>
      </c>
      <c r="T154" s="208">
        <v>2042</v>
      </c>
      <c r="U154" s="208">
        <v>2043</v>
      </c>
    </row>
    <row r="155" spans="1:21" x14ac:dyDescent="0.25">
      <c r="A155" s="155" t="s">
        <v>124</v>
      </c>
      <c r="B155" s="155"/>
      <c r="C155" s="157"/>
      <c r="D155" s="157"/>
      <c r="E155" s="157"/>
      <c r="F155" s="157"/>
      <c r="G155" s="157"/>
      <c r="H155" s="157"/>
      <c r="I155" s="157"/>
      <c r="J155" s="157"/>
      <c r="K155" s="157"/>
      <c r="L155" s="157"/>
      <c r="M155" s="157"/>
      <c r="N155" s="157"/>
      <c r="O155" s="157"/>
      <c r="P155" s="157"/>
      <c r="Q155" s="157"/>
      <c r="R155" s="157">
        <f>Q146*'ABP Future Assumptions'!$B$93</f>
        <v>0</v>
      </c>
      <c r="S155" s="157">
        <f>R146*'ABP Future Assumptions'!$B$93</f>
        <v>50039775.87082544</v>
      </c>
      <c r="T155" s="157">
        <f>S146*'ABP Future Assumptions'!$B$93</f>
        <v>0</v>
      </c>
      <c r="U155" s="157">
        <f>T146*'ABP Future Assumptions'!$B$93</f>
        <v>0</v>
      </c>
    </row>
    <row r="156" spans="1:21" x14ac:dyDescent="0.25">
      <c r="A156" s="155" t="s">
        <v>130</v>
      </c>
      <c r="B156" s="155"/>
      <c r="C156" s="157"/>
      <c r="D156" s="157"/>
      <c r="E156" s="157"/>
      <c r="F156" s="157"/>
      <c r="G156" s="157"/>
      <c r="H156" s="157"/>
      <c r="I156" s="157"/>
      <c r="J156" s="157"/>
      <c r="K156" s="157"/>
      <c r="L156" s="157"/>
      <c r="M156" s="157"/>
      <c r="N156" s="157"/>
      <c r="O156" s="157"/>
      <c r="P156" s="157"/>
      <c r="Q156" s="157"/>
      <c r="R156" s="157">
        <f>Q147*'ABP Future Assumptions'!$B$93</f>
        <v>0</v>
      </c>
      <c r="S156" s="157">
        <f>R147*'ABP Future Assumptions'!$B$93</f>
        <v>5224691.6722902181</v>
      </c>
      <c r="T156" s="157">
        <f>S147*'ABP Future Assumptions'!$B$93</f>
        <v>4934431.0238296511</v>
      </c>
      <c r="U156" s="157">
        <f>T147*'ABP Future Assumptions'!$B$93</f>
        <v>4934431.0238296511</v>
      </c>
    </row>
    <row r="157" spans="1:21" x14ac:dyDescent="0.25">
      <c r="A157" s="155" t="s">
        <v>139</v>
      </c>
      <c r="B157" s="155"/>
      <c r="C157" s="157"/>
      <c r="D157" s="157"/>
      <c r="E157" s="157"/>
      <c r="F157" s="157"/>
      <c r="G157" s="157"/>
      <c r="H157" s="157"/>
      <c r="I157" s="157"/>
      <c r="J157" s="157"/>
      <c r="K157" s="157"/>
      <c r="L157" s="157"/>
      <c r="M157" s="157"/>
      <c r="N157" s="157"/>
      <c r="O157" s="157"/>
      <c r="P157" s="157"/>
      <c r="Q157" s="157"/>
      <c r="R157" s="157">
        <f>Q148*'ABP Future Assumptions'!$B$93</f>
        <v>0</v>
      </c>
      <c r="S157" s="157">
        <f>R148*'ABP Future Assumptions'!$B$93</f>
        <v>0</v>
      </c>
      <c r="T157" s="157">
        <f>S148*'ABP Future Assumptions'!$B$93</f>
        <v>4309688.315396158</v>
      </c>
      <c r="U157" s="157">
        <f>T148*'ABP Future Assumptions'!$B$93</f>
        <v>4288139.8738191742</v>
      </c>
    </row>
    <row r="158" spans="1:21" x14ac:dyDescent="0.25">
      <c r="A158" s="155" t="s">
        <v>144</v>
      </c>
      <c r="B158" s="155"/>
      <c r="C158" s="157"/>
      <c r="D158" s="157"/>
      <c r="E158" s="157"/>
      <c r="F158" s="157"/>
      <c r="G158" s="157"/>
      <c r="H158" s="157"/>
      <c r="I158" s="157"/>
      <c r="J158" s="157"/>
      <c r="K158" s="157"/>
      <c r="L158" s="157"/>
      <c r="M158" s="157"/>
      <c r="N158" s="157"/>
      <c r="O158" s="157"/>
      <c r="P158" s="157"/>
      <c r="Q158" s="157"/>
      <c r="R158" s="157">
        <f>Q149*'ABP Future Assumptions'!$B$93</f>
        <v>0</v>
      </c>
      <c r="S158" s="157">
        <f>R149*'ABP Future Assumptions'!$B$93</f>
        <v>2684509.4551853556</v>
      </c>
      <c r="T158" s="157">
        <f>S149*'ABP Future Assumptions'!$B$93</f>
        <v>2671086.9079094287</v>
      </c>
      <c r="U158" s="157">
        <f>T149*'ABP Future Assumptions'!$B$93</f>
        <v>2657731.473369882</v>
      </c>
    </row>
    <row r="159" spans="1:21" x14ac:dyDescent="0.25">
      <c r="A159" s="155" t="s">
        <v>148</v>
      </c>
      <c r="B159" s="155"/>
      <c r="C159" s="157"/>
      <c r="D159" s="157"/>
      <c r="E159" s="157"/>
      <c r="F159" s="157"/>
      <c r="G159" s="157"/>
      <c r="H159" s="157"/>
      <c r="I159" s="157"/>
      <c r="J159" s="157"/>
      <c r="K159" s="157"/>
      <c r="L159" s="157"/>
      <c r="M159" s="157"/>
      <c r="N159" s="157"/>
      <c r="O159" s="157"/>
      <c r="P159" s="157"/>
      <c r="Q159" s="157"/>
      <c r="R159" s="157">
        <f>Q150*'ABP Future Assumptions'!$B$93</f>
        <v>0</v>
      </c>
      <c r="S159" s="157">
        <f>R150*'ABP Future Assumptions'!$B$93</f>
        <v>0</v>
      </c>
      <c r="T159" s="157">
        <f>S150*'ABP Future Assumptions'!$B$93</f>
        <v>1759022.2374853315</v>
      </c>
      <c r="U159" s="157">
        <f>T150*'ABP Future Assumptions'!$B$93</f>
        <v>1661298.7798472578</v>
      </c>
    </row>
    <row r="160" spans="1:21" x14ac:dyDescent="0.25">
      <c r="A160" s="155" t="s">
        <v>151</v>
      </c>
      <c r="B160" s="155"/>
      <c r="C160" s="157"/>
      <c r="D160" s="157"/>
      <c r="E160" s="157"/>
      <c r="F160" s="157"/>
      <c r="G160" s="157"/>
      <c r="H160" s="157"/>
      <c r="I160" s="157"/>
      <c r="J160" s="157"/>
      <c r="K160" s="157"/>
      <c r="L160" s="157"/>
      <c r="M160" s="157"/>
      <c r="N160" s="157"/>
      <c r="O160" s="157"/>
      <c r="P160" s="157"/>
      <c r="Q160" s="157"/>
      <c r="R160" s="157">
        <f>Q151*'ABP Future Assumptions'!$B$93</f>
        <v>0</v>
      </c>
      <c r="S160" s="157">
        <f>R151*'ABP Future Assumptions'!$B$93</f>
        <v>5805212.9692113521</v>
      </c>
      <c r="T160" s="157">
        <f>S151*'ABP Future Assumptions'!$B$93</f>
        <v>5482701.137588501</v>
      </c>
      <c r="U160" s="157">
        <f>T151*'ABP Future Assumptions'!$B$93</f>
        <v>5482701.137588501</v>
      </c>
    </row>
    <row r="161" spans="1:21" x14ac:dyDescent="0.25">
      <c r="A161" s="154" t="s">
        <v>98</v>
      </c>
      <c r="B161" s="154"/>
      <c r="C161" s="16">
        <f t="shared" ref="C161:T161" si="43">SUM(C155:C160)</f>
        <v>0</v>
      </c>
      <c r="D161" s="16">
        <f t="shared" si="43"/>
        <v>0</v>
      </c>
      <c r="E161" s="16">
        <f t="shared" si="43"/>
        <v>0</v>
      </c>
      <c r="F161" s="16">
        <f t="shared" si="43"/>
        <v>0</v>
      </c>
      <c r="G161" s="16">
        <f t="shared" si="43"/>
        <v>0</v>
      </c>
      <c r="H161" s="16">
        <f t="shared" si="43"/>
        <v>0</v>
      </c>
      <c r="I161" s="16">
        <f t="shared" si="43"/>
        <v>0</v>
      </c>
      <c r="J161" s="16">
        <f t="shared" si="43"/>
        <v>0</v>
      </c>
      <c r="K161" s="16">
        <f t="shared" si="43"/>
        <v>0</v>
      </c>
      <c r="L161" s="16">
        <f t="shared" si="43"/>
        <v>0</v>
      </c>
      <c r="M161" s="16">
        <f t="shared" si="43"/>
        <v>0</v>
      </c>
      <c r="N161" s="16">
        <f t="shared" si="43"/>
        <v>0</v>
      </c>
      <c r="O161" s="16">
        <f t="shared" si="43"/>
        <v>0</v>
      </c>
      <c r="P161" s="16">
        <f t="shared" si="43"/>
        <v>0</v>
      </c>
      <c r="Q161" s="16">
        <f t="shared" si="43"/>
        <v>0</v>
      </c>
      <c r="R161" s="16">
        <f t="shared" si="43"/>
        <v>0</v>
      </c>
      <c r="S161" s="16">
        <f t="shared" si="43"/>
        <v>63754189.967512369</v>
      </c>
      <c r="T161" s="16">
        <f t="shared" si="43"/>
        <v>19156929.622209072</v>
      </c>
      <c r="U161" s="16">
        <f t="shared" ref="U161" si="44">SUM(U155:U160)</f>
        <v>19024302.288454466</v>
      </c>
    </row>
    <row r="164" spans="1:21" ht="15.75" x14ac:dyDescent="0.25">
      <c r="A164" s="156" t="s">
        <v>97</v>
      </c>
      <c r="B164" s="208">
        <v>2024</v>
      </c>
      <c r="C164" s="208">
        <v>2025</v>
      </c>
      <c r="D164" s="208">
        <v>2026</v>
      </c>
      <c r="E164" s="208">
        <v>2027</v>
      </c>
      <c r="F164" s="208">
        <v>2028</v>
      </c>
      <c r="G164" s="208">
        <v>2029</v>
      </c>
      <c r="H164" s="208">
        <v>2030</v>
      </c>
      <c r="I164" s="208">
        <v>2031</v>
      </c>
      <c r="J164" s="208">
        <v>2032</v>
      </c>
      <c r="K164" s="208">
        <v>2033</v>
      </c>
      <c r="L164" s="208">
        <v>2034</v>
      </c>
      <c r="M164" s="208">
        <v>2035</v>
      </c>
      <c r="N164" s="208">
        <v>2036</v>
      </c>
      <c r="O164" s="208">
        <v>2037</v>
      </c>
      <c r="P164" s="208">
        <v>2038</v>
      </c>
      <c r="Q164" s="208">
        <v>2039</v>
      </c>
      <c r="R164" s="208">
        <v>2040</v>
      </c>
      <c r="S164" s="208">
        <v>2041</v>
      </c>
      <c r="T164" s="208">
        <v>2042</v>
      </c>
      <c r="U164" s="208">
        <v>2043</v>
      </c>
    </row>
    <row r="165" spans="1:21" x14ac:dyDescent="0.25">
      <c r="A165" s="155" t="s">
        <v>124</v>
      </c>
      <c r="B165" s="172">
        <f>SUMIFS(B2:B161, $A$2:$A$161, $A$165)</f>
        <v>0</v>
      </c>
      <c r="C165" s="172">
        <f t="shared" ref="C165:D165" si="45">SUMIFS(C2:C161, $A$2:$A$161, $A$165)</f>
        <v>22900840.018733297</v>
      </c>
      <c r="D165" s="172">
        <f t="shared" si="45"/>
        <v>184619196.2383002</v>
      </c>
      <c r="E165" s="172">
        <f>SUMIFS(E2:E161, $A$2:$A$161, $A$165)</f>
        <v>177234428.3887682</v>
      </c>
      <c r="F165" s="172">
        <f t="shared" ref="F165:U165" si="46">SUMIFS(F2:F161, $A$2:$A$161, $A$165)</f>
        <v>170145051.25321746</v>
      </c>
      <c r="G165" s="172">
        <f t="shared" si="46"/>
        <v>163339249.20308876</v>
      </c>
      <c r="H165" s="172">
        <f t="shared" si="46"/>
        <v>156805679.23496521</v>
      </c>
      <c r="I165" s="172">
        <f t="shared" si="46"/>
        <v>150533452.0655666</v>
      </c>
      <c r="J165" s="172">
        <f t="shared" si="46"/>
        <v>144512113.98294392</v>
      </c>
      <c r="K165" s="172">
        <f t="shared" si="46"/>
        <v>138731629.42362615</v>
      </c>
      <c r="L165" s="172">
        <f t="shared" si="46"/>
        <v>66591182.123340555</v>
      </c>
      <c r="M165" s="172">
        <f t="shared" si="46"/>
        <v>63927534.838406928</v>
      </c>
      <c r="N165" s="172">
        <f t="shared" si="46"/>
        <v>61370433.444870651</v>
      </c>
      <c r="O165" s="172">
        <f t="shared" si="46"/>
        <v>58915616.107075825</v>
      </c>
      <c r="P165" s="172">
        <f t="shared" si="46"/>
        <v>56558991.462792791</v>
      </c>
      <c r="Q165" s="172">
        <f t="shared" si="46"/>
        <v>54296631.804281078</v>
      </c>
      <c r="R165" s="172">
        <f t="shared" si="46"/>
        <v>52124766.532109834</v>
      </c>
      <c r="S165" s="172">
        <f t="shared" si="46"/>
        <v>50039775.87082544</v>
      </c>
      <c r="T165" s="172">
        <f t="shared" si="46"/>
        <v>0</v>
      </c>
      <c r="U165" s="172">
        <f t="shared" si="46"/>
        <v>0</v>
      </c>
    </row>
    <row r="166" spans="1:21" x14ac:dyDescent="0.25">
      <c r="A166" s="155" t="s">
        <v>130</v>
      </c>
      <c r="B166" s="172">
        <f>SUMIFS(B2:B161, $A$2:$A$161, $A$166)</f>
        <v>0</v>
      </c>
      <c r="C166" s="172">
        <f t="shared" ref="C166:D166" si="47">SUMIFS(C2:C161, $A$2:$A$161, $A$166)</f>
        <v>5005789.3809688529</v>
      </c>
      <c r="D166" s="172">
        <f t="shared" si="47"/>
        <v>24003922.934491038</v>
      </c>
      <c r="E166" s="172">
        <f>SUMIFS(E2:E161, $A$2:$A$161, $A$166)</f>
        <v>41438204.74821423</v>
      </c>
      <c r="F166" s="172">
        <f t="shared" ref="F166:U166" si="48">SUMIFS(F2:F161, $A$2:$A$161, $A$166)</f>
        <v>58175115.289388493</v>
      </c>
      <c r="G166" s="172">
        <f t="shared" si="48"/>
        <v>74242549.408915788</v>
      </c>
      <c r="H166" s="172">
        <f t="shared" si="48"/>
        <v>89667286.163661987</v>
      </c>
      <c r="I166" s="172">
        <f t="shared" si="48"/>
        <v>104475033.44821835</v>
      </c>
      <c r="J166" s="172">
        <f t="shared" si="48"/>
        <v>113962780.87047744</v>
      </c>
      <c r="K166" s="172">
        <f t="shared" si="48"/>
        <v>109404269.63565832</v>
      </c>
      <c r="L166" s="172">
        <f t="shared" si="48"/>
        <v>98075262.059237793</v>
      </c>
      <c r="M166" s="172">
        <f t="shared" si="48"/>
        <v>87585683.496484861</v>
      </c>
      <c r="N166" s="172">
        <f t="shared" si="48"/>
        <v>77515688.076242045</v>
      </c>
      <c r="O166" s="172">
        <f t="shared" si="48"/>
        <v>67848492.472808972</v>
      </c>
      <c r="P166" s="172">
        <f t="shared" si="48"/>
        <v>58567984.6935132</v>
      </c>
      <c r="Q166" s="172">
        <f t="shared" si="48"/>
        <v>49658697.225389272</v>
      </c>
      <c r="R166" s="172">
        <f t="shared" si="48"/>
        <v>41105781.255990282</v>
      </c>
      <c r="S166" s="172">
        <f t="shared" si="48"/>
        <v>39461550.005750671</v>
      </c>
      <c r="T166" s="172">
        <f t="shared" si="48"/>
        <v>32867384.000122029</v>
      </c>
      <c r="U166" s="172">
        <f t="shared" si="48"/>
        <v>26815634.857240681</v>
      </c>
    </row>
    <row r="167" spans="1:21" x14ac:dyDescent="0.25">
      <c r="A167" s="155" t="s">
        <v>139</v>
      </c>
      <c r="B167" s="172">
        <f>SUMIFS(B2:B161, $A$2:$A$161, $A$167)</f>
        <v>0</v>
      </c>
      <c r="C167" s="172">
        <f t="shared" ref="C167:D167" si="49">SUMIFS(C2:C161, $A$2:$A$161, $A$167)</f>
        <v>0</v>
      </c>
      <c r="D167" s="172">
        <f t="shared" si="49"/>
        <v>948835.09785899986</v>
      </c>
      <c r="E167" s="172">
        <f>SUMIFS(E2:E161, $A$2:$A$161, $A$167)</f>
        <v>16844465.75378295</v>
      </c>
      <c r="F167" s="172">
        <f t="shared" ref="F167:U167" si="50">SUMIFS(F2:F161, $A$2:$A$161, $A$167)</f>
        <v>32024603.263170753</v>
      </c>
      <c r="G167" s="172">
        <f t="shared" si="50"/>
        <v>46518265.691485345</v>
      </c>
      <c r="H167" s="172">
        <f t="shared" si="50"/>
        <v>60353308.389873147</v>
      </c>
      <c r="I167" s="172">
        <f t="shared" si="50"/>
        <v>73556470.513695195</v>
      </c>
      <c r="J167" s="172">
        <f t="shared" si="50"/>
        <v>86153419.680267274</v>
      </c>
      <c r="K167" s="172">
        <f t="shared" si="50"/>
        <v>98168794.840240896</v>
      </c>
      <c r="L167" s="172">
        <f t="shared" si="50"/>
        <v>109626247.43407962</v>
      </c>
      <c r="M167" s="172">
        <f t="shared" si="50"/>
        <v>114813298.5495684</v>
      </c>
      <c r="N167" s="172">
        <f t="shared" si="50"/>
        <v>119745007.11537336</v>
      </c>
      <c r="O167" s="172">
        <f t="shared" si="50"/>
        <v>124431826.13600717</v>
      </c>
      <c r="P167" s="172">
        <f t="shared" si="50"/>
        <v>128883789.29928944</v>
      </c>
      <c r="Q167" s="172">
        <f t="shared" si="50"/>
        <v>133110527.75499675</v>
      </c>
      <c r="R167" s="172">
        <f t="shared" si="50"/>
        <v>137121286.22233737</v>
      </c>
      <c r="S167" s="172">
        <f t="shared" si="50"/>
        <v>140924938.45309666</v>
      </c>
      <c r="T167" s="172">
        <f t="shared" si="50"/>
        <v>144530002.07622734</v>
      </c>
      <c r="U167" s="172">
        <f t="shared" si="50"/>
        <v>143807352.06584623</v>
      </c>
    </row>
    <row r="168" spans="1:21" x14ac:dyDescent="0.25">
      <c r="A168" s="155" t="s">
        <v>144</v>
      </c>
      <c r="B168" s="172">
        <f>SUMIFS(B2:B161, $A$2:$A$161, $A$168)</f>
        <v>0</v>
      </c>
      <c r="C168" s="172">
        <f t="shared" ref="C168:D168" si="51">SUMIFS(C2:C161, $A$2:$A$161, $A$168)</f>
        <v>0</v>
      </c>
      <c r="D168" s="172">
        <f t="shared" si="51"/>
        <v>18990762.916281682</v>
      </c>
      <c r="E168" s="172">
        <f>SUMIFS(E2:E161, $A$2:$A$161, $A$168)</f>
        <v>28403995.149979863</v>
      </c>
      <c r="F168" s="172">
        <f t="shared" ref="F168:U168" si="52">SUMIFS(F2:F161, $A$2:$A$161, $A$168)</f>
        <v>37389833.780578375</v>
      </c>
      <c r="G168" s="172">
        <f t="shared" si="52"/>
        <v>45965628.873769946</v>
      </c>
      <c r="H168" s="172">
        <f t="shared" si="52"/>
        <v>54148035.221011788</v>
      </c>
      <c r="I168" s="172">
        <f t="shared" si="52"/>
        <v>61953040.156852998</v>
      </c>
      <c r="J168" s="172">
        <f t="shared" si="52"/>
        <v>69395990.263537139</v>
      </c>
      <c r="K168" s="172">
        <f t="shared" si="52"/>
        <v>76491617.007389128</v>
      </c>
      <c r="L168" s="172">
        <f t="shared" si="52"/>
        <v>79681610.136033639</v>
      </c>
      <c r="M168" s="172">
        <f t="shared" si="52"/>
        <v>82712755.250487655</v>
      </c>
      <c r="N168" s="172">
        <f t="shared" si="52"/>
        <v>85591562.512764022</v>
      </c>
      <c r="O168" s="172">
        <f t="shared" si="52"/>
        <v>88324280.897187874</v>
      </c>
      <c r="P168" s="172">
        <f t="shared" si="52"/>
        <v>90916908.641810104</v>
      </c>
      <c r="Q168" s="172">
        <f t="shared" si="52"/>
        <v>93375203.281744882</v>
      </c>
      <c r="R168" s="172">
        <f t="shared" si="52"/>
        <v>95704691.28115423</v>
      </c>
      <c r="S168" s="172">
        <f t="shared" si="52"/>
        <v>97910677.27993381</v>
      </c>
      <c r="T168" s="172">
        <f t="shared" si="52"/>
        <v>97421123.893534169</v>
      </c>
      <c r="U168" s="172">
        <f t="shared" si="52"/>
        <v>96934018.274066478</v>
      </c>
    </row>
    <row r="169" spans="1:21" x14ac:dyDescent="0.25">
      <c r="A169" s="155" t="s">
        <v>148</v>
      </c>
      <c r="B169" s="172">
        <f>SUMIFS(B2:B161, $A$2:$A$161, $A$169)</f>
        <v>0</v>
      </c>
      <c r="C169" s="172">
        <f t="shared" ref="C169:D169" si="53">SUMIFS(C2:C161, $A$2:$A$161, $A$169)</f>
        <v>0</v>
      </c>
      <c r="D169" s="172">
        <f t="shared" si="53"/>
        <v>0</v>
      </c>
      <c r="E169" s="172">
        <f>SUMIFS(E2:E161, $A$2:$A$161, $A$169)</f>
        <v>6489822.6660358841</v>
      </c>
      <c r="F169" s="172">
        <f t="shared" ref="F169:U169" si="54">SUMIFS(F2:F161, $A$2:$A$161, $A$169)</f>
        <v>12359506.721761674</v>
      </c>
      <c r="G169" s="172">
        <f t="shared" si="54"/>
        <v>17994403.41525843</v>
      </c>
      <c r="H169" s="172">
        <f t="shared" si="54"/>
        <v>23403904.241015319</v>
      </c>
      <c r="I169" s="172">
        <f t="shared" si="54"/>
        <v>28597025.033741929</v>
      </c>
      <c r="J169" s="172">
        <f t="shared" si="54"/>
        <v>33582420.994759478</v>
      </c>
      <c r="K169" s="172">
        <f t="shared" si="54"/>
        <v>38368401.117336325</v>
      </c>
      <c r="L169" s="172">
        <f t="shared" si="54"/>
        <v>36833665.072642863</v>
      </c>
      <c r="M169" s="172">
        <f t="shared" si="54"/>
        <v>33019473.249371469</v>
      </c>
      <c r="N169" s="172">
        <f t="shared" si="54"/>
        <v>29487896.055717904</v>
      </c>
      <c r="O169" s="172">
        <f t="shared" si="54"/>
        <v>26097581.949810486</v>
      </c>
      <c r="P169" s="172">
        <f t="shared" si="54"/>
        <v>22842880.408139363</v>
      </c>
      <c r="Q169" s="172">
        <f t="shared" si="54"/>
        <v>19718366.928135086</v>
      </c>
      <c r="R169" s="172">
        <f t="shared" si="54"/>
        <v>16718833.987330984</v>
      </c>
      <c r="S169" s="172">
        <f t="shared" si="54"/>
        <v>13839282.364159042</v>
      </c>
      <c r="T169" s="172">
        <f t="shared" si="54"/>
        <v>13285711.069592677</v>
      </c>
      <c r="U169" s="172">
        <f t="shared" si="54"/>
        <v>11065621.278823055</v>
      </c>
    </row>
    <row r="170" spans="1:21" x14ac:dyDescent="0.25">
      <c r="A170" s="155" t="s">
        <v>151</v>
      </c>
      <c r="B170" s="172">
        <f>SUMIFS(B2:B161, $A$2:$A$161, $A$170)</f>
        <v>0</v>
      </c>
      <c r="C170" s="172">
        <f t="shared" ref="C170:D170" si="55">SUMIFS(C2:C161, $A$2:$A$161, $A$170)</f>
        <v>5733489.3336188877</v>
      </c>
      <c r="D170" s="172">
        <f t="shared" si="55"/>
        <v>26832998.774613403</v>
      </c>
      <c r="E170" s="172">
        <f>SUMIFS(E2:E161, $A$2:$A$161, $A$170)</f>
        <v>46204423.01208362</v>
      </c>
      <c r="F170" s="172">
        <f t="shared" ref="F170:U170" si="56">SUMIFS(F2:F161, $A$2:$A$161, $A$170)</f>
        <v>64800990.280055031</v>
      </c>
      <c r="G170" s="172">
        <f t="shared" si="56"/>
        <v>82653694.857307583</v>
      </c>
      <c r="H170" s="172">
        <f t="shared" si="56"/>
        <v>99792291.251470029</v>
      </c>
      <c r="I170" s="172">
        <f t="shared" si="56"/>
        <v>116245343.78986597</v>
      </c>
      <c r="J170" s="172">
        <f t="shared" si="56"/>
        <v>126625312.07830825</v>
      </c>
      <c r="K170" s="172">
        <f t="shared" si="56"/>
        <v>121560299.59517592</v>
      </c>
      <c r="L170" s="172">
        <f t="shared" si="56"/>
        <v>108972513.39915311</v>
      </c>
      <c r="M170" s="172">
        <f t="shared" si="56"/>
        <v>97317426.107205406</v>
      </c>
      <c r="N170" s="172">
        <f t="shared" si="56"/>
        <v>86128542.306935623</v>
      </c>
      <c r="O170" s="172">
        <f t="shared" si="56"/>
        <v>75387213.858676642</v>
      </c>
      <c r="P170" s="172">
        <f t="shared" si="56"/>
        <v>65075538.548348002</v>
      </c>
      <c r="Q170" s="172">
        <f t="shared" si="56"/>
        <v>55176330.250432521</v>
      </c>
      <c r="R170" s="172">
        <f t="shared" si="56"/>
        <v>45673090.284433648</v>
      </c>
      <c r="S170" s="172">
        <f t="shared" si="56"/>
        <v>43846166.673056304</v>
      </c>
      <c r="T170" s="172">
        <f t="shared" si="56"/>
        <v>36519315.555691153</v>
      </c>
      <c r="U170" s="172">
        <f t="shared" si="56"/>
        <v>29795149.84137854</v>
      </c>
    </row>
    <row r="171" spans="1:21" x14ac:dyDescent="0.25">
      <c r="A171" s="154" t="s">
        <v>98</v>
      </c>
      <c r="B171" s="172">
        <f>SUMIFS(B2:B161, $A$2:$A$161, $A$171)</f>
        <v>0</v>
      </c>
      <c r="C171" s="172">
        <f t="shared" ref="C171:U171" si="57">SUMIFS(C2:C161, $A$2:$A$161, $A$171)</f>
        <v>33640118.733321041</v>
      </c>
      <c r="D171" s="172">
        <f t="shared" si="57"/>
        <v>255395715.96154535</v>
      </c>
      <c r="E171" s="172">
        <f t="shared" si="57"/>
        <v>316615339.71886474</v>
      </c>
      <c r="F171" s="172">
        <f t="shared" si="57"/>
        <v>374895100.58817178</v>
      </c>
      <c r="G171" s="172">
        <f t="shared" si="57"/>
        <v>430713791.44982588</v>
      </c>
      <c r="H171" s="172">
        <f t="shared" si="57"/>
        <v>484170504.50199747</v>
      </c>
      <c r="I171" s="172">
        <f t="shared" si="57"/>
        <v>535360365.00794101</v>
      </c>
      <c r="J171" s="172">
        <f t="shared" si="57"/>
        <v>574232037.8702935</v>
      </c>
      <c r="K171" s="172">
        <f t="shared" si="57"/>
        <v>582725011.61942673</v>
      </c>
      <c r="L171" s="172">
        <f t="shared" si="57"/>
        <v>499780480.2244876</v>
      </c>
      <c r="M171" s="172">
        <f t="shared" si="57"/>
        <v>479376171.4915247</v>
      </c>
      <c r="N171" s="172">
        <f t="shared" si="57"/>
        <v>459839129.51190358</v>
      </c>
      <c r="O171" s="172">
        <f t="shared" si="57"/>
        <v>441005011.42156696</v>
      </c>
      <c r="P171" s="172">
        <f t="shared" si="57"/>
        <v>422846093.05389291</v>
      </c>
      <c r="Q171" s="172">
        <f t="shared" si="57"/>
        <v>405335757.24497962</v>
      </c>
      <c r="R171" s="172">
        <f t="shared" si="57"/>
        <v>388448449.5633564</v>
      </c>
      <c r="S171" s="172">
        <f t="shared" si="57"/>
        <v>386022390.64682198</v>
      </c>
      <c r="T171" s="172">
        <f t="shared" si="57"/>
        <v>324623536.59516734</v>
      </c>
      <c r="U171" s="172">
        <f t="shared" si="57"/>
        <v>308417776.31735498</v>
      </c>
    </row>
    <row r="173" spans="1:21" x14ac:dyDescent="0.25">
      <c r="A173" s="168"/>
      <c r="B173" s="168">
        <v>2024</v>
      </c>
      <c r="C173" s="168">
        <f>C164</f>
        <v>2025</v>
      </c>
      <c r="D173" s="168">
        <f t="shared" ref="D173:U173" si="58">D164</f>
        <v>2026</v>
      </c>
      <c r="E173" s="168">
        <f t="shared" si="58"/>
        <v>2027</v>
      </c>
      <c r="F173" s="168">
        <f t="shared" si="58"/>
        <v>2028</v>
      </c>
      <c r="G173" s="168">
        <f t="shared" si="58"/>
        <v>2029</v>
      </c>
      <c r="H173" s="168">
        <f t="shared" si="58"/>
        <v>2030</v>
      </c>
      <c r="I173" s="168">
        <f t="shared" si="58"/>
        <v>2031</v>
      </c>
      <c r="J173" s="168">
        <f t="shared" si="58"/>
        <v>2032</v>
      </c>
      <c r="K173" s="168">
        <f t="shared" si="58"/>
        <v>2033</v>
      </c>
      <c r="L173" s="168">
        <f t="shared" si="58"/>
        <v>2034</v>
      </c>
      <c r="M173" s="168">
        <f t="shared" si="58"/>
        <v>2035</v>
      </c>
      <c r="N173" s="168">
        <f t="shared" si="58"/>
        <v>2036</v>
      </c>
      <c r="O173" s="168">
        <f t="shared" si="58"/>
        <v>2037</v>
      </c>
      <c r="P173" s="168">
        <f t="shared" si="58"/>
        <v>2038</v>
      </c>
      <c r="Q173" s="168">
        <f t="shared" si="58"/>
        <v>2039</v>
      </c>
      <c r="R173" s="168">
        <f t="shared" si="58"/>
        <v>2040</v>
      </c>
      <c r="S173" s="168">
        <f t="shared" si="58"/>
        <v>2041</v>
      </c>
      <c r="T173" s="168">
        <f t="shared" si="58"/>
        <v>2042</v>
      </c>
      <c r="U173" s="168">
        <f t="shared" si="58"/>
        <v>2043</v>
      </c>
    </row>
    <row r="174" spans="1:21" x14ac:dyDescent="0.25">
      <c r="A174" s="168" t="s">
        <v>167</v>
      </c>
      <c r="B174" s="238">
        <f>B8</f>
        <v>0</v>
      </c>
      <c r="C174" s="238" t="str">
        <f>C8</f>
        <v xml:space="preserve"> </v>
      </c>
      <c r="D174" s="238">
        <f t="shared" ref="D174:U174" si="59">D8</f>
        <v>0</v>
      </c>
      <c r="E174" s="238">
        <f t="shared" si="59"/>
        <v>0</v>
      </c>
      <c r="F174" s="238">
        <f t="shared" si="59"/>
        <v>0</v>
      </c>
      <c r="G174" s="238">
        <f t="shared" si="59"/>
        <v>0</v>
      </c>
      <c r="H174" s="238">
        <f t="shared" si="59"/>
        <v>0</v>
      </c>
      <c r="I174" s="238">
        <f t="shared" si="59"/>
        <v>0</v>
      </c>
      <c r="J174" s="238">
        <f t="shared" si="59"/>
        <v>0</v>
      </c>
      <c r="K174" s="238">
        <f t="shared" si="59"/>
        <v>0</v>
      </c>
      <c r="L174" s="238">
        <f t="shared" si="59"/>
        <v>0</v>
      </c>
      <c r="M174" s="238">
        <f t="shared" si="59"/>
        <v>0</v>
      </c>
      <c r="N174" s="238">
        <f t="shared" si="59"/>
        <v>0</v>
      </c>
      <c r="O174" s="238">
        <f t="shared" si="59"/>
        <v>0</v>
      </c>
      <c r="P174" s="238">
        <f t="shared" si="59"/>
        <v>0</v>
      </c>
      <c r="Q174" s="238">
        <f t="shared" si="59"/>
        <v>0</v>
      </c>
      <c r="R174" s="238">
        <f t="shared" si="59"/>
        <v>0</v>
      </c>
      <c r="S174" s="238">
        <f t="shared" si="59"/>
        <v>0</v>
      </c>
      <c r="T174" s="238">
        <f t="shared" si="59"/>
        <v>0</v>
      </c>
      <c r="U174" s="238">
        <f t="shared" si="59"/>
        <v>0</v>
      </c>
    </row>
    <row r="175" spans="1:21" x14ac:dyDescent="0.25">
      <c r="A175" s="168" t="s">
        <v>88</v>
      </c>
      <c r="B175" s="238"/>
      <c r="C175" s="173">
        <f>C17+C26</f>
        <v>33640118.733321041</v>
      </c>
      <c r="D175" s="173">
        <f t="shared" ref="D175:U175" si="60">D17+D26</f>
        <v>255395715.96154535</v>
      </c>
      <c r="E175" s="173">
        <f t="shared" si="60"/>
        <v>90806226.475636244</v>
      </c>
      <c r="F175" s="173">
        <f t="shared" si="60"/>
        <v>90266979.397690177</v>
      </c>
      <c r="G175" s="173">
        <f t="shared" si="60"/>
        <v>90089171.530284151</v>
      </c>
      <c r="H175" s="173">
        <f t="shared" si="60"/>
        <v>89912252.702215135</v>
      </c>
      <c r="I175" s="173">
        <f t="shared" si="60"/>
        <v>89736218.468286499</v>
      </c>
      <c r="J175" s="173">
        <f t="shared" si="60"/>
        <v>79418412.286194623</v>
      </c>
      <c r="K175" s="173">
        <f t="shared" si="60"/>
        <v>40810657.158965126</v>
      </c>
      <c r="L175" s="173">
        <f t="shared" si="60"/>
        <v>34507973.295614906</v>
      </c>
      <c r="M175" s="173">
        <f t="shared" si="60"/>
        <v>34335433.429136835</v>
      </c>
      <c r="N175" s="173">
        <f t="shared" si="60"/>
        <v>34163756.261991158</v>
      </c>
      <c r="O175" s="173">
        <f t="shared" si="60"/>
        <v>33992937.480681196</v>
      </c>
      <c r="P175" s="173">
        <f t="shared" si="60"/>
        <v>33822972.793277793</v>
      </c>
      <c r="Q175" s="173">
        <f t="shared" si="60"/>
        <v>33653857.929311402</v>
      </c>
      <c r="R175" s="173">
        <f t="shared" si="60"/>
        <v>33485588.639664844</v>
      </c>
      <c r="S175" s="173">
        <f t="shared" si="60"/>
        <v>33318160.69646652</v>
      </c>
      <c r="T175" s="173">
        <f t="shared" si="60"/>
        <v>33151569.892984189</v>
      </c>
      <c r="U175" s="173">
        <f t="shared" si="60"/>
        <v>32985812.043519266</v>
      </c>
    </row>
    <row r="176" spans="1:21" x14ac:dyDescent="0.25">
      <c r="A176" s="168" t="s">
        <v>89</v>
      </c>
      <c r="B176" s="238"/>
      <c r="C176" s="239">
        <f>C35+C44</f>
        <v>0</v>
      </c>
      <c r="D176" s="239">
        <f t="shared" ref="D176:U176" si="61">D35+D44</f>
        <v>0</v>
      </c>
      <c r="E176" s="239">
        <f t="shared" si="61"/>
        <v>225809113.2432285</v>
      </c>
      <c r="F176" s="239">
        <f t="shared" si="61"/>
        <v>284628121.1904816</v>
      </c>
      <c r="G176" s="239">
        <f t="shared" si="61"/>
        <v>132518941.15458235</v>
      </c>
      <c r="H176" s="239">
        <f t="shared" si="61"/>
        <v>131944975.31063451</v>
      </c>
      <c r="I176" s="239">
        <f t="shared" si="61"/>
        <v>131704496.82180494</v>
      </c>
      <c r="J176" s="239">
        <f t="shared" si="61"/>
        <v>131465220.72541951</v>
      </c>
      <c r="K176" s="239">
        <f t="shared" si="61"/>
        <v>131227141.00951602</v>
      </c>
      <c r="L176" s="239">
        <f t="shared" si="61"/>
        <v>94094113.930799127</v>
      </c>
      <c r="M176" s="239">
        <f t="shared" si="61"/>
        <v>52554010.92525205</v>
      </c>
      <c r="N176" s="239">
        <f t="shared" si="61"/>
        <v>46670742.930350736</v>
      </c>
      <c r="O176" s="239">
        <f t="shared" si="61"/>
        <v>46437389.215698987</v>
      </c>
      <c r="P176" s="239">
        <f t="shared" si="61"/>
        <v>46205202.269620493</v>
      </c>
      <c r="Q176" s="239">
        <f t="shared" si="61"/>
        <v>45974176.258272395</v>
      </c>
      <c r="R176" s="239">
        <f t="shared" si="61"/>
        <v>45744305.376981027</v>
      </c>
      <c r="S176" s="239">
        <f t="shared" si="61"/>
        <v>45515583.850096121</v>
      </c>
      <c r="T176" s="239">
        <f t="shared" si="61"/>
        <v>45288005.930845641</v>
      </c>
      <c r="U176" s="239">
        <f t="shared" si="61"/>
        <v>45061565.901191413</v>
      </c>
    </row>
    <row r="177" spans="1:21" x14ac:dyDescent="0.25">
      <c r="A177" s="168" t="s">
        <v>90</v>
      </c>
      <c r="B177" s="168"/>
      <c r="C177" s="239">
        <f>C53+C62</f>
        <v>0</v>
      </c>
      <c r="D177" s="239">
        <f t="shared" ref="D177:U177" si="62">D53+D62</f>
        <v>0</v>
      </c>
      <c r="E177" s="239">
        <f t="shared" si="62"/>
        <v>0</v>
      </c>
      <c r="F177" s="239">
        <f t="shared" si="62"/>
        <v>0</v>
      </c>
      <c r="G177" s="239">
        <f t="shared" si="62"/>
        <v>208105678.76495937</v>
      </c>
      <c r="H177" s="239">
        <f t="shared" si="62"/>
        <v>262313276.48914784</v>
      </c>
      <c r="I177" s="239">
        <f t="shared" si="62"/>
        <v>122129456.16806307</v>
      </c>
      <c r="J177" s="239">
        <f t="shared" si="62"/>
        <v>121600489.24628074</v>
      </c>
      <c r="K177" s="239">
        <f t="shared" si="62"/>
        <v>121378864.27097541</v>
      </c>
      <c r="L177" s="239">
        <f t="shared" si="62"/>
        <v>121158347.42054662</v>
      </c>
      <c r="M177" s="239">
        <f t="shared" si="62"/>
        <v>120938933.15436995</v>
      </c>
      <c r="N177" s="239">
        <f t="shared" si="62"/>
        <v>86717135.398624465</v>
      </c>
      <c r="O177" s="239">
        <f t="shared" si="62"/>
        <v>48433776.468712285</v>
      </c>
      <c r="P177" s="239">
        <f t="shared" si="62"/>
        <v>43011756.684611239</v>
      </c>
      <c r="Q177" s="239">
        <f t="shared" si="62"/>
        <v>42796697.90118818</v>
      </c>
      <c r="R177" s="239">
        <f t="shared" si="62"/>
        <v>42582714.411682241</v>
      </c>
      <c r="S177" s="239">
        <f t="shared" si="62"/>
        <v>42369800.839623839</v>
      </c>
      <c r="T177" s="239">
        <f t="shared" si="62"/>
        <v>42157951.835425712</v>
      </c>
      <c r="U177" s="239">
        <f t="shared" si="62"/>
        <v>41947162.076248586</v>
      </c>
    </row>
    <row r="178" spans="1:21" x14ac:dyDescent="0.25">
      <c r="A178" s="168" t="s">
        <v>91</v>
      </c>
      <c r="B178" s="168"/>
      <c r="C178" s="239">
        <f>C71+C80</f>
        <v>0</v>
      </c>
      <c r="D178" s="239">
        <f t="shared" ref="D178:U178" si="63">D71+D80</f>
        <v>0</v>
      </c>
      <c r="E178" s="239">
        <f t="shared" si="63"/>
        <v>0</v>
      </c>
      <c r="F178" s="239">
        <f t="shared" si="63"/>
        <v>0</v>
      </c>
      <c r="G178" s="239">
        <f t="shared" si="63"/>
        <v>0</v>
      </c>
      <c r="H178" s="239">
        <f t="shared" si="63"/>
        <v>0</v>
      </c>
      <c r="I178" s="239">
        <f t="shared" si="63"/>
        <v>191790193.54978654</v>
      </c>
      <c r="J178" s="239">
        <f t="shared" si="63"/>
        <v>241747915.61239862</v>
      </c>
      <c r="K178" s="239">
        <f t="shared" si="63"/>
        <v>112554506.80448693</v>
      </c>
      <c r="L178" s="239">
        <f t="shared" si="63"/>
        <v>112067010.88937232</v>
      </c>
      <c r="M178" s="239">
        <f t="shared" si="63"/>
        <v>111862761.31213093</v>
      </c>
      <c r="N178" s="239">
        <f t="shared" si="63"/>
        <v>111659532.98277575</v>
      </c>
      <c r="O178" s="239">
        <f t="shared" si="63"/>
        <v>111457320.79506734</v>
      </c>
      <c r="P178" s="239">
        <f t="shared" si="63"/>
        <v>79918511.983372301</v>
      </c>
      <c r="Q178" s="239">
        <f t="shared" si="63"/>
        <v>44636568.393565238</v>
      </c>
      <c r="R178" s="239">
        <f t="shared" si="63"/>
        <v>39639634.960537717</v>
      </c>
      <c r="S178" s="239">
        <f t="shared" si="63"/>
        <v>39441436.785735026</v>
      </c>
      <c r="T178" s="239">
        <f t="shared" si="63"/>
        <v>39244229.60180635</v>
      </c>
      <c r="U178" s="239">
        <f t="shared" si="63"/>
        <v>39048008.453797325</v>
      </c>
    </row>
    <row r="179" spans="1:21" x14ac:dyDescent="0.25">
      <c r="A179" s="168" t="s">
        <v>92</v>
      </c>
      <c r="B179" s="168"/>
      <c r="C179" s="239">
        <f>C89+C98</f>
        <v>0</v>
      </c>
      <c r="D179" s="239">
        <f t="shared" ref="D179:U179" si="64">D89+D98</f>
        <v>0</v>
      </c>
      <c r="E179" s="239">
        <f t="shared" si="64"/>
        <v>0</v>
      </c>
      <c r="F179" s="239">
        <f t="shared" si="64"/>
        <v>0</v>
      </c>
      <c r="G179" s="239">
        <f t="shared" si="64"/>
        <v>0</v>
      </c>
      <c r="H179" s="239">
        <f t="shared" si="64"/>
        <v>0</v>
      </c>
      <c r="I179" s="239">
        <f t="shared" si="64"/>
        <v>0</v>
      </c>
      <c r="J179" s="239">
        <f t="shared" si="64"/>
        <v>0</v>
      </c>
      <c r="K179" s="239">
        <f t="shared" si="64"/>
        <v>176753842.37548327</v>
      </c>
      <c r="L179" s="239">
        <f t="shared" si="64"/>
        <v>137953034.68815458</v>
      </c>
      <c r="M179" s="239">
        <f t="shared" si="64"/>
        <v>78236862.104012281</v>
      </c>
      <c r="N179" s="239">
        <f t="shared" si="64"/>
        <v>77964081.681881011</v>
      </c>
      <c r="O179" s="239">
        <f t="shared" si="64"/>
        <v>77822061.883763954</v>
      </c>
      <c r="P179" s="239">
        <f t="shared" si="64"/>
        <v>77680752.184637472</v>
      </c>
      <c r="Q179" s="239">
        <f t="shared" si="64"/>
        <v>77540149.034006625</v>
      </c>
      <c r="R179" s="239">
        <f t="shared" si="64"/>
        <v>48519509.6567019</v>
      </c>
      <c r="S179" s="239">
        <f t="shared" si="64"/>
        <v>29911724.47013633</v>
      </c>
      <c r="T179" s="239">
        <f t="shared" si="64"/>
        <v>27562421.575425342</v>
      </c>
      <c r="U179" s="239">
        <f t="shared" si="64"/>
        <v>27424609.467548214</v>
      </c>
    </row>
    <row r="180" spans="1:21" x14ac:dyDescent="0.25">
      <c r="A180" s="168" t="s">
        <v>93</v>
      </c>
      <c r="B180" s="168"/>
      <c r="C180" s="239">
        <f>C107+C116</f>
        <v>0</v>
      </c>
      <c r="D180" s="239">
        <f t="shared" ref="D180:U180" si="65">D107+D116</f>
        <v>0</v>
      </c>
      <c r="E180" s="239">
        <f t="shared" si="65"/>
        <v>0</v>
      </c>
      <c r="F180" s="239">
        <f t="shared" si="65"/>
        <v>0</v>
      </c>
      <c r="G180" s="239">
        <f t="shared" si="65"/>
        <v>0</v>
      </c>
      <c r="H180" s="239">
        <f t="shared" si="65"/>
        <v>0</v>
      </c>
      <c r="I180" s="239">
        <f t="shared" si="65"/>
        <v>0</v>
      </c>
      <c r="J180" s="239">
        <f t="shared" si="65"/>
        <v>0</v>
      </c>
      <c r="K180" s="239">
        <f t="shared" si="65"/>
        <v>0</v>
      </c>
      <c r="L180" s="239">
        <f t="shared" si="65"/>
        <v>0</v>
      </c>
      <c r="M180" s="239">
        <f>M107+M116</f>
        <v>81448170.566622674</v>
      </c>
      <c r="N180" s="239">
        <f t="shared" si="65"/>
        <v>102663880.25628051</v>
      </c>
      <c r="O180" s="239">
        <f t="shared" si="65"/>
        <v>47798891.583443768</v>
      </c>
      <c r="P180" s="239">
        <f t="shared" si="65"/>
        <v>47591865.094185457</v>
      </c>
      <c r="Q180" s="239">
        <f t="shared" si="65"/>
        <v>47505125.756279737</v>
      </c>
      <c r="R180" s="239">
        <f t="shared" si="65"/>
        <v>47418820.115063548</v>
      </c>
      <c r="S180" s="239">
        <f t="shared" si="65"/>
        <v>47332946.00205344</v>
      </c>
      <c r="T180" s="239">
        <f t="shared" si="65"/>
        <v>33939256.616698012</v>
      </c>
      <c r="U180" s="239">
        <f t="shared" si="65"/>
        <v>18955957.907639675</v>
      </c>
    </row>
    <row r="181" spans="1:21" x14ac:dyDescent="0.25">
      <c r="A181" s="168" t="s">
        <v>94</v>
      </c>
      <c r="B181" s="168"/>
      <c r="C181" s="239">
        <f>C125+C134</f>
        <v>0</v>
      </c>
      <c r="D181" s="239">
        <f t="shared" ref="D181:U181" si="66">D125+D134</f>
        <v>0</v>
      </c>
      <c r="E181" s="239">
        <f t="shared" si="66"/>
        <v>0</v>
      </c>
      <c r="F181" s="239">
        <f t="shared" si="66"/>
        <v>0</v>
      </c>
      <c r="G181" s="239">
        <f t="shared" si="66"/>
        <v>0</v>
      </c>
      <c r="H181" s="239">
        <f t="shared" si="66"/>
        <v>0</v>
      </c>
      <c r="I181" s="239">
        <f t="shared" si="66"/>
        <v>0</v>
      </c>
      <c r="J181" s="239">
        <f t="shared" si="66"/>
        <v>0</v>
      </c>
      <c r="K181" s="239">
        <f t="shared" si="66"/>
        <v>0</v>
      </c>
      <c r="L181" s="239">
        <f t="shared" si="66"/>
        <v>0</v>
      </c>
      <c r="M181" s="239">
        <f t="shared" si="66"/>
        <v>0</v>
      </c>
      <c r="N181" s="239">
        <f t="shared" si="66"/>
        <v>0</v>
      </c>
      <c r="O181" s="239">
        <f t="shared" si="66"/>
        <v>75062633.994199455</v>
      </c>
      <c r="P181" s="239">
        <f t="shared" si="66"/>
        <v>94615032.044188112</v>
      </c>
      <c r="Q181" s="239">
        <f t="shared" si="66"/>
        <v>44051458.483301774</v>
      </c>
      <c r="R181" s="239">
        <f t="shared" si="66"/>
        <v>43860662.870801307</v>
      </c>
      <c r="S181" s="239">
        <f t="shared" si="66"/>
        <v>43780723.896987408</v>
      </c>
      <c r="T181" s="239">
        <f t="shared" si="66"/>
        <v>43701184.618042566</v>
      </c>
      <c r="U181" s="239">
        <f t="shared" si="66"/>
        <v>43622043.03549245</v>
      </c>
    </row>
    <row r="182" spans="1:21" x14ac:dyDescent="0.25">
      <c r="A182" s="168" t="s">
        <v>95</v>
      </c>
      <c r="B182" s="168"/>
      <c r="C182" s="239">
        <f>C143+C152</f>
        <v>0</v>
      </c>
      <c r="D182" s="239">
        <f t="shared" ref="D182:U182" si="67">D143+D152</f>
        <v>0</v>
      </c>
      <c r="E182" s="239">
        <f t="shared" si="67"/>
        <v>0</v>
      </c>
      <c r="F182" s="239">
        <f t="shared" si="67"/>
        <v>0</v>
      </c>
      <c r="G182" s="239">
        <f t="shared" si="67"/>
        <v>0</v>
      </c>
      <c r="H182" s="239">
        <f t="shared" si="67"/>
        <v>0</v>
      </c>
      <c r="I182" s="239">
        <f t="shared" si="67"/>
        <v>0</v>
      </c>
      <c r="J182" s="239">
        <f t="shared" si="67"/>
        <v>0</v>
      </c>
      <c r="K182" s="239">
        <f t="shared" si="67"/>
        <v>0</v>
      </c>
      <c r="L182" s="239">
        <f t="shared" si="67"/>
        <v>0</v>
      </c>
      <c r="M182" s="239">
        <f t="shared" si="67"/>
        <v>0</v>
      </c>
      <c r="N182" s="239">
        <f t="shared" si="67"/>
        <v>0</v>
      </c>
      <c r="O182" s="239">
        <f t="shared" si="67"/>
        <v>0</v>
      </c>
      <c r="P182" s="239">
        <f t="shared" si="67"/>
        <v>0</v>
      </c>
      <c r="Q182" s="239">
        <f t="shared" si="67"/>
        <v>69177723.489054218</v>
      </c>
      <c r="R182" s="239">
        <f t="shared" si="67"/>
        <v>87197213.531923771</v>
      </c>
      <c r="S182" s="239">
        <f t="shared" si="67"/>
        <v>40597824.138210908</v>
      </c>
      <c r="T182" s="239">
        <f t="shared" si="67"/>
        <v>40421986.901730478</v>
      </c>
      <c r="U182" s="239">
        <f t="shared" si="67"/>
        <v>40348315.143463582</v>
      </c>
    </row>
    <row r="183" spans="1:21" x14ac:dyDescent="0.25">
      <c r="A183" s="168" t="s">
        <v>96</v>
      </c>
      <c r="B183" s="168"/>
      <c r="C183" s="239">
        <f>C161*2</f>
        <v>0</v>
      </c>
      <c r="D183" s="239">
        <f t="shared" ref="D183:U183" si="68">D161*2</f>
        <v>0</v>
      </c>
      <c r="E183" s="239">
        <f t="shared" si="68"/>
        <v>0</v>
      </c>
      <c r="F183" s="239">
        <f t="shared" si="68"/>
        <v>0</v>
      </c>
      <c r="G183" s="239">
        <f t="shared" si="68"/>
        <v>0</v>
      </c>
      <c r="H183" s="239">
        <f t="shared" si="68"/>
        <v>0</v>
      </c>
      <c r="I183" s="239">
        <f t="shared" si="68"/>
        <v>0</v>
      </c>
      <c r="J183" s="239">
        <f t="shared" si="68"/>
        <v>0</v>
      </c>
      <c r="K183" s="239">
        <f t="shared" si="68"/>
        <v>0</v>
      </c>
      <c r="L183" s="239">
        <f t="shared" si="68"/>
        <v>0</v>
      </c>
      <c r="M183" s="239">
        <f t="shared" si="68"/>
        <v>0</v>
      </c>
      <c r="N183" s="239">
        <f t="shared" si="68"/>
        <v>0</v>
      </c>
      <c r="O183" s="239">
        <f t="shared" si="68"/>
        <v>0</v>
      </c>
      <c r="P183" s="239">
        <f t="shared" si="68"/>
        <v>0</v>
      </c>
      <c r="Q183" s="239">
        <f t="shared" si="68"/>
        <v>0</v>
      </c>
      <c r="R183" s="239">
        <f t="shared" si="68"/>
        <v>0</v>
      </c>
      <c r="S183" s="239">
        <f t="shared" si="68"/>
        <v>127508379.93502474</v>
      </c>
      <c r="T183" s="239">
        <f t="shared" si="68"/>
        <v>38313859.244418144</v>
      </c>
      <c r="U183" s="239">
        <f t="shared" si="68"/>
        <v>38048604.576908931</v>
      </c>
    </row>
    <row r="185" spans="1:21" x14ac:dyDescent="0.25">
      <c r="A185" s="172" cm="1">
        <f t="array" ref="A185:K205">TRANSPOSE(A173:U183)</f>
        <v>0</v>
      </c>
      <c r="B185" s="172" t="str">
        <v>2023 TBD</v>
      </c>
      <c r="C185" s="172" t="str">
        <v>24-25 Plan</v>
      </c>
      <c r="D185" s="172" t="str">
        <v>26-27 Plan</v>
      </c>
      <c r="E185" s="172" t="str">
        <v>28-29 Plan</v>
      </c>
      <c r="F185" s="172" t="str">
        <v>30-31 Plan</v>
      </c>
      <c r="G185" s="172" t="str">
        <v>32-33 Plan</v>
      </c>
      <c r="H185" s="172" t="str">
        <v>34-35 Plan</v>
      </c>
      <c r="I185" s="172" t="str">
        <v>36-37 Plan</v>
      </c>
      <c r="J185" s="172" t="str">
        <v>38-39 Plan</v>
      </c>
      <c r="K185" s="172" t="str">
        <v>40-41 Plan</v>
      </c>
    </row>
    <row r="186" spans="1:21" x14ac:dyDescent="0.25">
      <c r="A186" s="168">
        <v>2024</v>
      </c>
      <c r="B186" s="172">
        <v>0</v>
      </c>
      <c r="C186" s="172">
        <v>0</v>
      </c>
      <c r="D186" s="172">
        <v>0</v>
      </c>
      <c r="E186" s="172">
        <v>0</v>
      </c>
      <c r="F186" s="172">
        <v>0</v>
      </c>
      <c r="G186" s="172">
        <v>0</v>
      </c>
      <c r="H186" s="172">
        <v>0</v>
      </c>
      <c r="I186" s="172">
        <v>0</v>
      </c>
      <c r="J186" s="172">
        <v>0</v>
      </c>
      <c r="K186" s="172">
        <v>0</v>
      </c>
    </row>
    <row r="187" spans="1:21" x14ac:dyDescent="0.25">
      <c r="A187" s="168">
        <v>2025</v>
      </c>
      <c r="B187" s="172" t="str">
        <v xml:space="preserve"> </v>
      </c>
      <c r="C187" s="172">
        <v>33640118.733321041</v>
      </c>
      <c r="D187" s="172">
        <v>0</v>
      </c>
      <c r="E187" s="172">
        <v>0</v>
      </c>
      <c r="F187" s="172">
        <v>0</v>
      </c>
      <c r="G187" s="172">
        <v>0</v>
      </c>
      <c r="H187" s="172">
        <v>0</v>
      </c>
      <c r="I187" s="172">
        <v>0</v>
      </c>
      <c r="J187" s="172">
        <v>0</v>
      </c>
      <c r="K187" s="172">
        <v>0</v>
      </c>
    </row>
    <row r="188" spans="1:21" x14ac:dyDescent="0.25">
      <c r="A188" s="168">
        <v>2026</v>
      </c>
      <c r="B188" s="172">
        <v>0</v>
      </c>
      <c r="C188" s="172">
        <v>255395715.96154535</v>
      </c>
      <c r="D188" s="172">
        <v>0</v>
      </c>
      <c r="E188" s="172">
        <v>0</v>
      </c>
      <c r="F188" s="172">
        <v>0</v>
      </c>
      <c r="G188" s="172">
        <v>0</v>
      </c>
      <c r="H188" s="172">
        <v>0</v>
      </c>
      <c r="I188" s="172">
        <v>0</v>
      </c>
      <c r="J188" s="172">
        <v>0</v>
      </c>
      <c r="K188" s="172">
        <v>0</v>
      </c>
    </row>
    <row r="189" spans="1:21" x14ac:dyDescent="0.25">
      <c r="A189" s="168">
        <v>2027</v>
      </c>
      <c r="B189" s="172">
        <v>0</v>
      </c>
      <c r="C189" s="172">
        <v>90806226.475636244</v>
      </c>
      <c r="D189" s="172">
        <v>225809113.2432285</v>
      </c>
      <c r="E189" s="172">
        <v>0</v>
      </c>
      <c r="F189" s="172">
        <v>0</v>
      </c>
      <c r="G189" s="172">
        <v>0</v>
      </c>
      <c r="H189" s="172">
        <v>0</v>
      </c>
      <c r="I189" s="172">
        <v>0</v>
      </c>
      <c r="J189" s="172">
        <v>0</v>
      </c>
      <c r="K189" s="172">
        <v>0</v>
      </c>
    </row>
    <row r="190" spans="1:21" x14ac:dyDescent="0.25">
      <c r="A190" s="168">
        <v>2028</v>
      </c>
      <c r="B190" s="172">
        <v>0</v>
      </c>
      <c r="C190" s="172">
        <v>90266979.397690177</v>
      </c>
      <c r="D190" s="172">
        <v>284628121.1904816</v>
      </c>
      <c r="E190" s="172">
        <v>0</v>
      </c>
      <c r="F190" s="172">
        <v>0</v>
      </c>
      <c r="G190" s="172">
        <v>0</v>
      </c>
      <c r="H190" s="172">
        <v>0</v>
      </c>
      <c r="I190" s="172">
        <v>0</v>
      </c>
      <c r="J190" s="172">
        <v>0</v>
      </c>
      <c r="K190" s="172">
        <v>0</v>
      </c>
    </row>
    <row r="191" spans="1:21" x14ac:dyDescent="0.25">
      <c r="A191" s="168">
        <v>2029</v>
      </c>
      <c r="B191" s="172">
        <v>0</v>
      </c>
      <c r="C191" s="172">
        <v>90089171.530284151</v>
      </c>
      <c r="D191" s="172">
        <v>132518941.15458235</v>
      </c>
      <c r="E191" s="172">
        <v>208105678.76495937</v>
      </c>
      <c r="F191" s="172">
        <v>0</v>
      </c>
      <c r="G191" s="172">
        <v>0</v>
      </c>
      <c r="H191" s="172">
        <v>0</v>
      </c>
      <c r="I191" s="172">
        <v>0</v>
      </c>
      <c r="J191" s="172">
        <v>0</v>
      </c>
      <c r="K191" s="172">
        <v>0</v>
      </c>
    </row>
    <row r="192" spans="1:21" x14ac:dyDescent="0.25">
      <c r="A192" s="168">
        <v>2030</v>
      </c>
      <c r="B192" s="172">
        <v>0</v>
      </c>
      <c r="C192" s="172">
        <v>89912252.702215135</v>
      </c>
      <c r="D192" s="172">
        <v>131944975.31063451</v>
      </c>
      <c r="E192" s="172">
        <v>262313276.48914784</v>
      </c>
      <c r="F192" s="172">
        <v>0</v>
      </c>
      <c r="G192" s="172">
        <v>0</v>
      </c>
      <c r="H192" s="172">
        <v>0</v>
      </c>
      <c r="I192" s="172">
        <v>0</v>
      </c>
      <c r="J192" s="172">
        <v>0</v>
      </c>
      <c r="K192" s="172">
        <v>0</v>
      </c>
    </row>
    <row r="193" spans="1:11" x14ac:dyDescent="0.25">
      <c r="A193" s="168">
        <v>2031</v>
      </c>
      <c r="B193" s="172">
        <v>0</v>
      </c>
      <c r="C193" s="172">
        <v>89736218.468286499</v>
      </c>
      <c r="D193" s="172">
        <v>131704496.82180494</v>
      </c>
      <c r="E193" s="172">
        <v>122129456.16806307</v>
      </c>
      <c r="F193" s="172">
        <v>191790193.54978654</v>
      </c>
      <c r="G193" s="172">
        <v>0</v>
      </c>
      <c r="H193" s="172">
        <v>0</v>
      </c>
      <c r="I193" s="172">
        <v>0</v>
      </c>
      <c r="J193" s="172">
        <v>0</v>
      </c>
      <c r="K193" s="172">
        <v>0</v>
      </c>
    </row>
    <row r="194" spans="1:11" x14ac:dyDescent="0.25">
      <c r="A194" s="168">
        <v>2032</v>
      </c>
      <c r="B194" s="172">
        <v>0</v>
      </c>
      <c r="C194" s="172">
        <v>79418412.286194623</v>
      </c>
      <c r="D194" s="172">
        <v>131465220.72541951</v>
      </c>
      <c r="E194" s="172">
        <v>121600489.24628074</v>
      </c>
      <c r="F194" s="172">
        <v>241747915.61239862</v>
      </c>
      <c r="G194" s="172">
        <v>0</v>
      </c>
      <c r="H194" s="172">
        <v>0</v>
      </c>
      <c r="I194" s="172">
        <v>0</v>
      </c>
      <c r="J194" s="172">
        <v>0</v>
      </c>
      <c r="K194" s="172">
        <v>0</v>
      </c>
    </row>
    <row r="195" spans="1:11" x14ac:dyDescent="0.25">
      <c r="A195" s="168">
        <v>2033</v>
      </c>
      <c r="B195" s="172">
        <v>0</v>
      </c>
      <c r="C195" s="172">
        <v>40810657.158965126</v>
      </c>
      <c r="D195" s="172">
        <v>131227141.00951602</v>
      </c>
      <c r="E195" s="172">
        <v>121378864.27097541</v>
      </c>
      <c r="F195" s="172">
        <v>112554506.80448693</v>
      </c>
      <c r="G195" s="172">
        <v>176753842.37548327</v>
      </c>
      <c r="H195" s="172">
        <v>0</v>
      </c>
      <c r="I195" s="172">
        <v>0</v>
      </c>
      <c r="J195" s="172">
        <v>0</v>
      </c>
      <c r="K195" s="172">
        <v>0</v>
      </c>
    </row>
    <row r="196" spans="1:11" x14ac:dyDescent="0.25">
      <c r="A196" s="168">
        <v>2034</v>
      </c>
      <c r="B196" s="172">
        <v>0</v>
      </c>
      <c r="C196" s="172">
        <v>34507973.295614906</v>
      </c>
      <c r="D196" s="172">
        <v>94094113.930799127</v>
      </c>
      <c r="E196" s="172">
        <v>121158347.42054662</v>
      </c>
      <c r="F196" s="172">
        <v>112067010.88937232</v>
      </c>
      <c r="G196" s="172">
        <v>137953034.68815458</v>
      </c>
      <c r="H196" s="172">
        <v>0</v>
      </c>
      <c r="I196" s="172">
        <v>0</v>
      </c>
      <c r="J196" s="172">
        <v>0</v>
      </c>
      <c r="K196" s="172">
        <v>0</v>
      </c>
    </row>
    <row r="197" spans="1:11" x14ac:dyDescent="0.25">
      <c r="A197" s="168">
        <v>2035</v>
      </c>
      <c r="B197" s="172">
        <v>0</v>
      </c>
      <c r="C197" s="172">
        <v>34335433.429136835</v>
      </c>
      <c r="D197" s="172">
        <v>52554010.92525205</v>
      </c>
      <c r="E197" s="172">
        <v>120938933.15436995</v>
      </c>
      <c r="F197" s="172">
        <v>111862761.31213093</v>
      </c>
      <c r="G197" s="172">
        <v>78236862.104012281</v>
      </c>
      <c r="H197" s="172">
        <v>81448170.566622674</v>
      </c>
      <c r="I197" s="172">
        <v>0</v>
      </c>
      <c r="J197" s="172">
        <v>0</v>
      </c>
      <c r="K197" s="172">
        <v>0</v>
      </c>
    </row>
    <row r="198" spans="1:11" x14ac:dyDescent="0.25">
      <c r="A198" s="168">
        <v>2036</v>
      </c>
      <c r="B198" s="172">
        <v>0</v>
      </c>
      <c r="C198" s="172">
        <v>34163756.261991158</v>
      </c>
      <c r="D198" s="172">
        <v>46670742.930350736</v>
      </c>
      <c r="E198" s="172">
        <v>86717135.398624465</v>
      </c>
      <c r="F198" s="172">
        <v>111659532.98277575</v>
      </c>
      <c r="G198" s="172">
        <v>77964081.681881011</v>
      </c>
      <c r="H198" s="172">
        <v>102663880.25628051</v>
      </c>
      <c r="I198" s="172">
        <v>0</v>
      </c>
      <c r="J198" s="172">
        <v>0</v>
      </c>
      <c r="K198" s="172">
        <v>0</v>
      </c>
    </row>
    <row r="199" spans="1:11" x14ac:dyDescent="0.25">
      <c r="A199" s="168">
        <v>2037</v>
      </c>
      <c r="B199" s="172">
        <v>0</v>
      </c>
      <c r="C199" s="172">
        <v>33992937.480681196</v>
      </c>
      <c r="D199" s="172">
        <v>46437389.215698987</v>
      </c>
      <c r="E199" s="172">
        <v>48433776.468712285</v>
      </c>
      <c r="F199" s="172">
        <v>111457320.79506734</v>
      </c>
      <c r="G199" s="172">
        <v>77822061.883763954</v>
      </c>
      <c r="H199" s="172">
        <v>47798891.583443768</v>
      </c>
      <c r="I199" s="172">
        <v>75062633.994199455</v>
      </c>
      <c r="J199" s="172">
        <v>0</v>
      </c>
      <c r="K199" s="172">
        <v>0</v>
      </c>
    </row>
    <row r="200" spans="1:11" x14ac:dyDescent="0.25">
      <c r="A200" s="168">
        <v>2038</v>
      </c>
      <c r="B200" s="172">
        <v>0</v>
      </c>
      <c r="C200" s="172">
        <v>33822972.793277793</v>
      </c>
      <c r="D200" s="172">
        <v>46205202.269620493</v>
      </c>
      <c r="E200" s="172">
        <v>43011756.684611239</v>
      </c>
      <c r="F200" s="172">
        <v>79918511.983372301</v>
      </c>
      <c r="G200" s="172">
        <v>77680752.184637472</v>
      </c>
      <c r="H200" s="172">
        <v>47591865.094185457</v>
      </c>
      <c r="I200" s="172">
        <v>94615032.044188112</v>
      </c>
      <c r="J200" s="172">
        <v>0</v>
      </c>
      <c r="K200" s="172">
        <v>0</v>
      </c>
    </row>
    <row r="201" spans="1:11" x14ac:dyDescent="0.25">
      <c r="A201" s="168">
        <v>2039</v>
      </c>
      <c r="B201" s="172">
        <v>0</v>
      </c>
      <c r="C201" s="172">
        <v>33653857.929311402</v>
      </c>
      <c r="D201" s="172">
        <v>45974176.258272395</v>
      </c>
      <c r="E201" s="172">
        <v>42796697.90118818</v>
      </c>
      <c r="F201" s="172">
        <v>44636568.393565238</v>
      </c>
      <c r="G201" s="172">
        <v>77540149.034006625</v>
      </c>
      <c r="H201" s="172">
        <v>47505125.756279737</v>
      </c>
      <c r="I201" s="172">
        <v>44051458.483301774</v>
      </c>
      <c r="J201" s="172">
        <v>69177723.489054218</v>
      </c>
      <c r="K201" s="172">
        <v>0</v>
      </c>
    </row>
    <row r="202" spans="1:11" x14ac:dyDescent="0.25">
      <c r="A202" s="168">
        <v>2040</v>
      </c>
      <c r="B202" s="172">
        <v>0</v>
      </c>
      <c r="C202" s="172">
        <v>33485588.639664844</v>
      </c>
      <c r="D202" s="172">
        <v>45744305.376981027</v>
      </c>
      <c r="E202" s="172">
        <v>42582714.411682241</v>
      </c>
      <c r="F202" s="172">
        <v>39639634.960537717</v>
      </c>
      <c r="G202" s="172">
        <v>48519509.6567019</v>
      </c>
      <c r="H202" s="172">
        <v>47418820.115063548</v>
      </c>
      <c r="I202" s="172">
        <v>43860662.870801307</v>
      </c>
      <c r="J202" s="172">
        <v>87197213.531923771</v>
      </c>
      <c r="K202" s="172">
        <v>0</v>
      </c>
    </row>
    <row r="203" spans="1:11" x14ac:dyDescent="0.25">
      <c r="A203" s="168">
        <v>2041</v>
      </c>
      <c r="B203" s="172">
        <v>0</v>
      </c>
      <c r="C203" s="172">
        <v>33318160.69646652</v>
      </c>
      <c r="D203" s="172">
        <v>45515583.850096121</v>
      </c>
      <c r="E203" s="172">
        <v>42369800.839623839</v>
      </c>
      <c r="F203" s="172">
        <v>39441436.785735026</v>
      </c>
      <c r="G203" s="172">
        <v>29911724.47013633</v>
      </c>
      <c r="H203" s="172">
        <v>47332946.00205344</v>
      </c>
      <c r="I203" s="172">
        <v>43780723.896987408</v>
      </c>
      <c r="J203" s="172">
        <v>40597824.138210908</v>
      </c>
      <c r="K203" s="172">
        <v>127508379.93502474</v>
      </c>
    </row>
    <row r="204" spans="1:11" x14ac:dyDescent="0.25">
      <c r="A204" s="168">
        <v>2042</v>
      </c>
      <c r="B204" s="172">
        <v>0</v>
      </c>
      <c r="C204" s="172">
        <v>33151569.892984189</v>
      </c>
      <c r="D204" s="172">
        <v>45288005.930845641</v>
      </c>
      <c r="E204" s="172">
        <v>42157951.835425712</v>
      </c>
      <c r="F204" s="172">
        <v>39244229.60180635</v>
      </c>
      <c r="G204" s="172">
        <v>27562421.575425342</v>
      </c>
      <c r="H204" s="172">
        <v>33939256.616698012</v>
      </c>
      <c r="I204" s="172">
        <v>43701184.618042566</v>
      </c>
      <c r="J204" s="172">
        <v>40421986.901730478</v>
      </c>
      <c r="K204" s="172">
        <v>38313859.244418144</v>
      </c>
    </row>
    <row r="205" spans="1:11" x14ac:dyDescent="0.25">
      <c r="A205" s="168">
        <v>2043</v>
      </c>
      <c r="B205" s="172">
        <v>0</v>
      </c>
      <c r="C205" s="172">
        <v>32985812.043519266</v>
      </c>
      <c r="D205" s="172">
        <v>45061565.901191413</v>
      </c>
      <c r="E205" s="172">
        <v>41947162.076248586</v>
      </c>
      <c r="F205" s="172">
        <v>39048008.453797325</v>
      </c>
      <c r="G205" s="172">
        <v>27424609.467548214</v>
      </c>
      <c r="H205" s="172">
        <v>18955957.907639675</v>
      </c>
      <c r="I205" s="172">
        <v>43622043.03549245</v>
      </c>
      <c r="J205" s="172">
        <v>40348315.143463582</v>
      </c>
      <c r="K205" s="172">
        <v>38048604.576908931</v>
      </c>
    </row>
  </sheetData>
  <printOptions horizontalCentered="1" verticalCentered="1"/>
  <pageMargins left="0.7" right="0.7" top="0.75" bottom="0.75" header="0.3" footer="0.3"/>
  <pageSetup scale="33" fitToHeight="4" orientation="landscape" r:id="rId1"/>
  <headerFooter>
    <oddHeader>&amp;A</oddHeader>
  </headerFooter>
  <rowBreaks count="2" manualBreakCount="2">
    <brk id="17" max="16383" man="1"/>
    <brk id="44" max="16383" man="1"/>
  </rowBreaks>
  <customProperties>
    <customPr name="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9F846-B6DB-4A78-A0BE-EABEF70D73BB}">
  <sheetPr>
    <tabColor theme="7" tint="0.59999389629810485"/>
    <pageSetUpPr fitToPage="1"/>
  </sheetPr>
  <dimension ref="A1:R116"/>
  <sheetViews>
    <sheetView zoomScaleNormal="100" workbookViewId="0"/>
  </sheetViews>
  <sheetFormatPr defaultRowHeight="15" x14ac:dyDescent="0.25"/>
  <cols>
    <col min="1" max="1" width="12.5703125" bestFit="1" customWidth="1"/>
    <col min="4" max="4" width="14.7109375" customWidth="1"/>
    <col min="5" max="5" width="14.5703125" bestFit="1" customWidth="1"/>
    <col min="8" max="8" width="14.5703125" bestFit="1" customWidth="1"/>
    <col min="10" max="10" width="12.5703125" bestFit="1" customWidth="1"/>
    <col min="11" max="11" width="16.85546875" bestFit="1" customWidth="1"/>
    <col min="12" max="12" width="15.42578125" bestFit="1" customWidth="1"/>
    <col min="13" max="13" width="19.85546875" customWidth="1"/>
    <col min="14" max="14" width="14.5703125" bestFit="1" customWidth="1"/>
    <col min="15" max="16" width="15.7109375" bestFit="1" customWidth="1"/>
    <col min="17" max="17" width="14.42578125" customWidth="1"/>
  </cols>
  <sheetData>
    <row r="1" spans="1:18" x14ac:dyDescent="0.25">
      <c r="A1" s="241" t="s">
        <v>169</v>
      </c>
      <c r="B1" s="242" t="s">
        <v>170</v>
      </c>
      <c r="C1" s="242" t="s">
        <v>170</v>
      </c>
      <c r="D1" s="242" t="s">
        <v>170</v>
      </c>
      <c r="E1" s="242" t="s">
        <v>170</v>
      </c>
      <c r="F1" s="242" t="s">
        <v>170</v>
      </c>
      <c r="G1" s="242" t="s">
        <v>170</v>
      </c>
      <c r="H1" s="243"/>
      <c r="I1" s="243"/>
      <c r="J1" s="241" t="s">
        <v>169</v>
      </c>
      <c r="K1" s="242" t="s">
        <v>170</v>
      </c>
      <c r="L1" s="242" t="s">
        <v>170</v>
      </c>
      <c r="M1" s="242" t="s">
        <v>170</v>
      </c>
      <c r="N1" s="242" t="s">
        <v>170</v>
      </c>
      <c r="O1" s="242" t="s">
        <v>170</v>
      </c>
      <c r="P1" s="244" t="s">
        <v>170</v>
      </c>
      <c r="Q1" s="243"/>
      <c r="R1" s="243" t="s">
        <v>171</v>
      </c>
    </row>
    <row r="2" spans="1:18" x14ac:dyDescent="0.25">
      <c r="A2" s="245" t="s">
        <v>1</v>
      </c>
      <c r="B2" s="246" t="s">
        <v>172</v>
      </c>
      <c r="C2" s="246" t="s">
        <v>173</v>
      </c>
      <c r="D2" s="246" t="s">
        <v>174</v>
      </c>
      <c r="E2" s="246" t="s">
        <v>175</v>
      </c>
      <c r="F2" s="246" t="s">
        <v>176</v>
      </c>
      <c r="G2" s="246" t="s">
        <v>177</v>
      </c>
      <c r="H2" s="243"/>
      <c r="I2" s="243"/>
      <c r="J2" s="245" t="s">
        <v>1</v>
      </c>
      <c r="K2" s="246" t="s">
        <v>172</v>
      </c>
      <c r="L2" s="246" t="s">
        <v>173</v>
      </c>
      <c r="M2" s="246" t="s">
        <v>174</v>
      </c>
      <c r="N2" s="246" t="s">
        <v>175</v>
      </c>
      <c r="O2" s="246" t="s">
        <v>176</v>
      </c>
      <c r="P2" s="244" t="s">
        <v>177</v>
      </c>
      <c r="Q2" s="243"/>
      <c r="R2" s="243"/>
    </row>
    <row r="3" spans="1:18" x14ac:dyDescent="0.25">
      <c r="A3" s="247" t="s">
        <v>170</v>
      </c>
      <c r="B3" s="248" t="s">
        <v>170</v>
      </c>
      <c r="C3" s="248" t="s">
        <v>170</v>
      </c>
      <c r="D3" s="248" t="s">
        <v>170</v>
      </c>
      <c r="E3" s="248" t="s">
        <v>170</v>
      </c>
      <c r="F3" s="248" t="s">
        <v>170</v>
      </c>
      <c r="G3" s="256" t="s">
        <v>170</v>
      </c>
      <c r="H3" s="243"/>
      <c r="I3" s="243"/>
      <c r="J3" s="247" t="s">
        <v>170</v>
      </c>
      <c r="K3" s="248" t="s">
        <v>170</v>
      </c>
      <c r="L3" s="248" t="s">
        <v>170</v>
      </c>
      <c r="M3" s="248" t="s">
        <v>170</v>
      </c>
      <c r="N3" s="248" t="s">
        <v>170</v>
      </c>
      <c r="O3" s="248" t="s">
        <v>170</v>
      </c>
      <c r="P3" s="249" t="s">
        <v>170</v>
      </c>
      <c r="Q3" s="243"/>
      <c r="R3" s="243"/>
    </row>
    <row r="4" spans="1:18" x14ac:dyDescent="0.25">
      <c r="A4" s="247" t="s">
        <v>16</v>
      </c>
      <c r="B4" s="310">
        <v>177254</v>
      </c>
      <c r="C4" s="310">
        <v>355630</v>
      </c>
      <c r="D4" s="310">
        <v>127823</v>
      </c>
      <c r="E4" s="311"/>
      <c r="F4" s="311"/>
      <c r="G4" s="311"/>
      <c r="H4" s="243" t="s">
        <v>357</v>
      </c>
      <c r="I4" s="243"/>
      <c r="J4" s="247" t="s">
        <v>16</v>
      </c>
      <c r="K4" s="308">
        <v>137950740.69999999</v>
      </c>
      <c r="L4" s="308">
        <v>48621594.350000001</v>
      </c>
      <c r="M4" s="308">
        <v>29989057.579999998</v>
      </c>
      <c r="N4" s="308">
        <v>0</v>
      </c>
      <c r="O4" s="308"/>
      <c r="P4" s="308">
        <v>0</v>
      </c>
      <c r="Q4" s="243"/>
      <c r="R4" s="243"/>
    </row>
    <row r="5" spans="1:18" x14ac:dyDescent="0.25">
      <c r="A5" s="247" t="s">
        <v>17</v>
      </c>
      <c r="B5" s="310">
        <v>234148</v>
      </c>
      <c r="C5" s="310">
        <v>447752</v>
      </c>
      <c r="D5" s="310">
        <v>361977</v>
      </c>
      <c r="E5" s="311"/>
      <c r="F5" s="311"/>
      <c r="G5" s="311"/>
      <c r="H5" s="243" t="s">
        <v>358</v>
      </c>
      <c r="I5" s="243"/>
      <c r="J5" s="247" t="s">
        <v>17</v>
      </c>
      <c r="K5" s="308">
        <v>61953092.340000004</v>
      </c>
      <c r="L5" s="308">
        <v>60698120.020000003</v>
      </c>
      <c r="M5" s="308">
        <v>84192311.930000007</v>
      </c>
      <c r="N5" s="308">
        <v>0</v>
      </c>
      <c r="O5" s="308"/>
      <c r="P5" s="308">
        <v>0</v>
      </c>
      <c r="Q5" s="243"/>
      <c r="R5" s="243"/>
    </row>
    <row r="6" spans="1:18" x14ac:dyDescent="0.25">
      <c r="A6" s="247" t="s">
        <v>18</v>
      </c>
      <c r="B6" s="310">
        <v>319118</v>
      </c>
      <c r="C6" s="310">
        <v>484287</v>
      </c>
      <c r="D6" s="310">
        <v>439459</v>
      </c>
      <c r="E6" s="311"/>
      <c r="F6" s="311"/>
      <c r="G6" s="311"/>
      <c r="H6" s="243"/>
      <c r="I6" s="243"/>
      <c r="J6" s="247" t="s">
        <v>18</v>
      </c>
      <c r="K6" s="308">
        <v>88770294.510000005</v>
      </c>
      <c r="L6" s="308">
        <v>65368120.829999998</v>
      </c>
      <c r="M6" s="308">
        <v>102137171.90000001</v>
      </c>
      <c r="N6" s="308">
        <v>0</v>
      </c>
      <c r="O6" s="308"/>
      <c r="P6" s="308">
        <v>0</v>
      </c>
      <c r="Q6" s="243"/>
      <c r="R6" s="243"/>
    </row>
    <row r="7" spans="1:18" x14ac:dyDescent="0.25">
      <c r="A7" s="247" t="s">
        <v>19</v>
      </c>
      <c r="B7" s="310">
        <v>605506</v>
      </c>
      <c r="C7" s="310">
        <v>568289</v>
      </c>
      <c r="D7" s="310">
        <v>586683</v>
      </c>
      <c r="E7" s="311"/>
      <c r="F7" s="311"/>
      <c r="G7" s="311"/>
      <c r="H7" s="243"/>
      <c r="I7" s="243"/>
      <c r="J7" s="247" t="s">
        <v>19</v>
      </c>
      <c r="K7" s="308">
        <v>271332529.60000002</v>
      </c>
      <c r="L7" s="308">
        <v>83321652.599999994</v>
      </c>
      <c r="M7" s="308">
        <v>118165987.3</v>
      </c>
      <c r="N7" s="308">
        <v>0</v>
      </c>
      <c r="O7" s="308"/>
      <c r="P7" s="308">
        <v>0</v>
      </c>
      <c r="Q7" s="243"/>
      <c r="R7" s="243"/>
    </row>
    <row r="8" spans="1:18" x14ac:dyDescent="0.25">
      <c r="A8" s="247" t="s">
        <v>21</v>
      </c>
      <c r="B8" s="310">
        <v>761884</v>
      </c>
      <c r="C8" s="310">
        <v>849364</v>
      </c>
      <c r="D8" s="310">
        <v>997609</v>
      </c>
      <c r="E8" s="310">
        <v>1664</v>
      </c>
      <c r="F8" s="310">
        <v>6313</v>
      </c>
      <c r="G8" s="311"/>
      <c r="H8" s="243"/>
      <c r="I8" s="243"/>
      <c r="J8" s="247" t="s">
        <v>21</v>
      </c>
      <c r="K8" s="308">
        <v>158896903.69999999</v>
      </c>
      <c r="L8" s="308">
        <v>94071007.640000001</v>
      </c>
      <c r="M8" s="308">
        <v>138850842.09999999</v>
      </c>
      <c r="N8" s="308">
        <v>109935.3</v>
      </c>
      <c r="O8" s="308">
        <v>877546.85699999996</v>
      </c>
      <c r="P8" s="308">
        <v>0</v>
      </c>
      <c r="Q8" s="243"/>
      <c r="R8" s="243"/>
    </row>
    <row r="9" spans="1:18" x14ac:dyDescent="0.25">
      <c r="A9" s="247" t="s">
        <v>22</v>
      </c>
      <c r="B9" s="310">
        <v>845401</v>
      </c>
      <c r="C9" s="310">
        <v>1073418</v>
      </c>
      <c r="D9" s="310">
        <v>1759101</v>
      </c>
      <c r="E9" s="310">
        <v>32347</v>
      </c>
      <c r="F9" s="310">
        <v>157401</v>
      </c>
      <c r="G9" s="310">
        <v>815558</v>
      </c>
      <c r="H9" s="243"/>
      <c r="I9" s="243"/>
      <c r="J9" s="247" t="s">
        <v>22</v>
      </c>
      <c r="K9" s="308">
        <v>177338304.5</v>
      </c>
      <c r="L9" s="308">
        <v>78926186.709999993</v>
      </c>
      <c r="M9" s="308">
        <v>143629245.09999999</v>
      </c>
      <c r="N9" s="308">
        <v>1580271.03</v>
      </c>
      <c r="O9" s="308">
        <v>22237651.510000002</v>
      </c>
      <c r="P9" s="308">
        <v>37056874.140000001</v>
      </c>
      <c r="Q9" s="243"/>
      <c r="R9" s="243"/>
    </row>
    <row r="10" spans="1:18" x14ac:dyDescent="0.25">
      <c r="A10" s="247" t="s">
        <v>23</v>
      </c>
      <c r="B10" s="310">
        <v>871386</v>
      </c>
      <c r="C10" s="310">
        <v>1098594</v>
      </c>
      <c r="D10" s="310">
        <v>2214814</v>
      </c>
      <c r="E10" s="310">
        <v>44019</v>
      </c>
      <c r="F10" s="310">
        <v>236618</v>
      </c>
      <c r="G10" s="310">
        <v>1119782</v>
      </c>
      <c r="H10" s="243"/>
      <c r="I10" s="243"/>
      <c r="J10" s="247" t="s">
        <v>23</v>
      </c>
      <c r="K10" s="308">
        <v>33768475.700000003</v>
      </c>
      <c r="L10" s="308">
        <v>68792397.579999998</v>
      </c>
      <c r="M10" s="308">
        <v>128787077.40000001</v>
      </c>
      <c r="N10" s="308">
        <v>2703742.55</v>
      </c>
      <c r="O10" s="308">
        <v>31198954.18</v>
      </c>
      <c r="P10" s="308">
        <v>48991245.189999998</v>
      </c>
      <c r="Q10" s="243"/>
      <c r="R10" s="243"/>
    </row>
    <row r="11" spans="1:18" x14ac:dyDescent="0.25">
      <c r="A11" s="247" t="s">
        <v>24</v>
      </c>
      <c r="B11" s="310">
        <v>866846</v>
      </c>
      <c r="C11" s="310">
        <v>1093087</v>
      </c>
      <c r="D11" s="310">
        <v>2203744</v>
      </c>
      <c r="E11" s="310">
        <v>43798</v>
      </c>
      <c r="F11" s="310">
        <v>235428</v>
      </c>
      <c r="G11" s="310">
        <v>1114181</v>
      </c>
      <c r="H11" s="243"/>
      <c r="I11" s="243"/>
      <c r="J11" s="247" t="s">
        <v>24</v>
      </c>
      <c r="K11" s="308">
        <v>0</v>
      </c>
      <c r="L11" s="308">
        <v>64022292.390000001</v>
      </c>
      <c r="M11" s="308">
        <v>108658693.90000001</v>
      </c>
      <c r="N11" s="308">
        <v>2641589.12</v>
      </c>
      <c r="O11" s="308">
        <v>30635027.300000001</v>
      </c>
      <c r="P11" s="308">
        <v>48749016.350000001</v>
      </c>
      <c r="Q11" s="243"/>
      <c r="R11" s="243"/>
    </row>
    <row r="12" spans="1:18" x14ac:dyDescent="0.25">
      <c r="A12" s="247" t="s">
        <v>25</v>
      </c>
      <c r="B12" s="310">
        <v>862344</v>
      </c>
      <c r="C12" s="310">
        <v>1087648</v>
      </c>
      <c r="D12" s="310">
        <v>2192722</v>
      </c>
      <c r="E12" s="310">
        <v>43579</v>
      </c>
      <c r="F12" s="310">
        <v>234256</v>
      </c>
      <c r="G12" s="310">
        <v>1108614</v>
      </c>
      <c r="H12" s="243"/>
      <c r="I12" s="243"/>
      <c r="J12" s="247" t="s">
        <v>25</v>
      </c>
      <c r="K12" s="308">
        <v>0</v>
      </c>
      <c r="L12" s="308">
        <v>49149137.219999999</v>
      </c>
      <c r="M12" s="308">
        <v>105525400.5</v>
      </c>
      <c r="N12" s="308">
        <v>2633403.02</v>
      </c>
      <c r="O12" s="308">
        <v>30635027.300000001</v>
      </c>
      <c r="P12" s="308">
        <v>48508310.390000001</v>
      </c>
      <c r="Q12" s="243"/>
      <c r="R12" s="243"/>
    </row>
    <row r="13" spans="1:18" x14ac:dyDescent="0.25">
      <c r="A13" s="247" t="s">
        <v>26</v>
      </c>
      <c r="B13" s="310">
        <v>857957</v>
      </c>
      <c r="C13" s="310">
        <v>1082224</v>
      </c>
      <c r="D13" s="310">
        <v>2181742</v>
      </c>
      <c r="E13" s="310">
        <v>43363</v>
      </c>
      <c r="F13" s="310">
        <v>233083</v>
      </c>
      <c r="G13" s="310">
        <v>1103064</v>
      </c>
      <c r="H13" s="243"/>
      <c r="I13" s="243"/>
      <c r="J13" s="247" t="s">
        <v>26</v>
      </c>
      <c r="K13" s="308">
        <v>0</v>
      </c>
      <c r="L13" s="308">
        <v>47954972.490000002</v>
      </c>
      <c r="M13" s="308">
        <v>105150747.5</v>
      </c>
      <c r="N13" s="308">
        <v>2625395.7799999998</v>
      </c>
      <c r="O13" s="308">
        <v>30635027.300000001</v>
      </c>
      <c r="P13" s="308">
        <v>48268336.960000001</v>
      </c>
      <c r="Q13" s="243"/>
      <c r="R13" s="243"/>
    </row>
    <row r="14" spans="1:18" x14ac:dyDescent="0.25">
      <c r="A14" s="247" t="s">
        <v>27</v>
      </c>
      <c r="B14" s="310">
        <v>853562</v>
      </c>
      <c r="C14" s="310">
        <v>1076777</v>
      </c>
      <c r="D14" s="310">
        <v>2170852</v>
      </c>
      <c r="E14" s="310">
        <v>43146</v>
      </c>
      <c r="F14" s="310">
        <v>231919</v>
      </c>
      <c r="G14" s="310">
        <v>1097551</v>
      </c>
      <c r="H14" s="243"/>
      <c r="I14" s="243"/>
      <c r="J14" s="247" t="s">
        <v>27</v>
      </c>
      <c r="K14" s="308">
        <v>0</v>
      </c>
      <c r="L14" s="308">
        <v>45041984.700000003</v>
      </c>
      <c r="M14" s="308">
        <v>104778985.90000001</v>
      </c>
      <c r="N14" s="308">
        <v>2617307.3199999998</v>
      </c>
      <c r="O14" s="308">
        <v>30635027.300000001</v>
      </c>
      <c r="P14" s="308">
        <v>48030009.840000004</v>
      </c>
      <c r="Q14" s="243"/>
      <c r="R14" s="243"/>
    </row>
    <row r="15" spans="1:18" x14ac:dyDescent="0.25">
      <c r="A15" s="247" t="s">
        <v>28</v>
      </c>
      <c r="B15" s="310">
        <v>849298</v>
      </c>
      <c r="C15" s="310">
        <v>1071409</v>
      </c>
      <c r="D15" s="310">
        <v>2159986</v>
      </c>
      <c r="E15" s="310">
        <v>42929</v>
      </c>
      <c r="F15" s="310">
        <v>230758</v>
      </c>
      <c r="G15" s="310">
        <v>1092063</v>
      </c>
      <c r="H15" s="243"/>
      <c r="I15" s="243"/>
      <c r="J15" s="247" t="s">
        <v>28</v>
      </c>
      <c r="K15" s="308">
        <v>0</v>
      </c>
      <c r="L15" s="308">
        <v>22350440.52</v>
      </c>
      <c r="M15" s="308">
        <v>104408369.2</v>
      </c>
      <c r="N15" s="308">
        <v>2609259.86</v>
      </c>
      <c r="O15" s="308">
        <v>29806233.050000001</v>
      </c>
      <c r="P15" s="308">
        <v>47792754.990000002</v>
      </c>
      <c r="Q15" s="243"/>
      <c r="R15" s="243"/>
    </row>
    <row r="16" spans="1:18" x14ac:dyDescent="0.25">
      <c r="A16" s="247" t="s">
        <v>29</v>
      </c>
      <c r="B16" s="310">
        <v>844745</v>
      </c>
      <c r="C16" s="310">
        <v>1065968</v>
      </c>
      <c r="D16" s="310">
        <v>2149180</v>
      </c>
      <c r="E16" s="310">
        <v>42713</v>
      </c>
      <c r="F16" s="310">
        <v>229606</v>
      </c>
      <c r="G16" s="310">
        <v>1086600</v>
      </c>
      <c r="H16" s="243"/>
      <c r="I16" s="243"/>
      <c r="J16" s="247" t="s">
        <v>29</v>
      </c>
      <c r="K16" s="308">
        <v>0</v>
      </c>
      <c r="L16" s="308">
        <v>2914576.93</v>
      </c>
      <c r="M16" s="308">
        <v>104039452.09999999</v>
      </c>
      <c r="N16" s="308">
        <v>2510815.7200000002</v>
      </c>
      <c r="O16" s="308">
        <v>9586756.75</v>
      </c>
      <c r="P16" s="308">
        <v>46980935.109999999</v>
      </c>
      <c r="Q16" s="243"/>
      <c r="R16" s="243"/>
    </row>
    <row r="17" spans="1:18" x14ac:dyDescent="0.25">
      <c r="A17" s="247" t="s">
        <v>30</v>
      </c>
      <c r="B17" s="310">
        <v>839507</v>
      </c>
      <c r="C17" s="310">
        <v>1060264</v>
      </c>
      <c r="D17" s="310">
        <v>2138443</v>
      </c>
      <c r="E17" s="310">
        <v>42505</v>
      </c>
      <c r="F17" s="310">
        <v>228459</v>
      </c>
      <c r="G17" s="310">
        <v>1081169</v>
      </c>
      <c r="H17" s="243"/>
      <c r="I17" s="243"/>
      <c r="J17" s="247" t="s">
        <v>30</v>
      </c>
      <c r="K17" s="308">
        <v>0</v>
      </c>
      <c r="L17" s="308">
        <v>0</v>
      </c>
      <c r="M17" s="308">
        <v>72979719.939999998</v>
      </c>
      <c r="N17" s="308">
        <v>1585799.13</v>
      </c>
      <c r="O17" s="308"/>
      <c r="P17" s="308">
        <v>46746135.219999999</v>
      </c>
      <c r="Q17" s="243"/>
      <c r="R17" s="243"/>
    </row>
    <row r="18" spans="1:18" x14ac:dyDescent="0.25">
      <c r="A18" s="247" t="s">
        <v>31</v>
      </c>
      <c r="B18" s="310">
        <v>667281</v>
      </c>
      <c r="C18" s="310">
        <v>720265</v>
      </c>
      <c r="D18" s="310">
        <v>1998544</v>
      </c>
      <c r="E18" s="310">
        <v>42079</v>
      </c>
      <c r="F18" s="310">
        <v>226177</v>
      </c>
      <c r="G18" s="310">
        <v>1070377</v>
      </c>
      <c r="H18" s="243"/>
      <c r="I18" s="243"/>
      <c r="J18" s="247" t="s">
        <v>31</v>
      </c>
      <c r="K18" s="308">
        <v>0</v>
      </c>
      <c r="L18" s="308">
        <v>0</v>
      </c>
      <c r="M18" s="308">
        <v>72614586.129999995</v>
      </c>
      <c r="N18" s="308">
        <v>1577684.79</v>
      </c>
      <c r="O18" s="308"/>
      <c r="P18" s="308">
        <v>46512251.640000001</v>
      </c>
      <c r="Q18" s="243"/>
      <c r="R18" s="243"/>
    </row>
    <row r="19" spans="1:18" x14ac:dyDescent="0.25">
      <c r="A19" s="247" t="s">
        <v>32</v>
      </c>
      <c r="B19" s="310">
        <v>782831</v>
      </c>
      <c r="C19" s="310">
        <v>969595</v>
      </c>
      <c r="D19" s="310">
        <v>2126501</v>
      </c>
      <c r="E19" s="310">
        <v>42288</v>
      </c>
      <c r="F19" s="310">
        <v>227316</v>
      </c>
      <c r="G19" s="310">
        <v>1075759</v>
      </c>
      <c r="H19" s="243"/>
      <c r="I19" s="243"/>
      <c r="J19" s="247" t="s">
        <v>32</v>
      </c>
      <c r="K19" s="308">
        <v>0</v>
      </c>
      <c r="L19" s="308">
        <v>0</v>
      </c>
      <c r="M19" s="308">
        <v>72251854.329999998</v>
      </c>
      <c r="N19" s="308">
        <v>1569827.9</v>
      </c>
      <c r="O19" s="308"/>
      <c r="P19" s="308">
        <v>46279510.560000002</v>
      </c>
      <c r="Q19" s="243"/>
      <c r="R19" s="243"/>
    </row>
    <row r="20" spans="1:18" x14ac:dyDescent="0.25">
      <c r="A20" s="247" t="s">
        <v>33</v>
      </c>
      <c r="B20" s="310">
        <v>610364</v>
      </c>
      <c r="C20" s="310">
        <v>629576</v>
      </c>
      <c r="D20" s="310">
        <v>1770768</v>
      </c>
      <c r="E20" s="310">
        <v>41869</v>
      </c>
      <c r="F20" s="310">
        <v>225045</v>
      </c>
      <c r="G20" s="310">
        <v>1065029</v>
      </c>
      <c r="H20" s="243"/>
      <c r="I20" s="243"/>
      <c r="J20" s="247" t="s">
        <v>33</v>
      </c>
      <c r="K20" s="308">
        <v>0</v>
      </c>
      <c r="L20" s="308">
        <v>0</v>
      </c>
      <c r="M20" s="308">
        <v>71890701.040000007</v>
      </c>
      <c r="N20" s="308">
        <v>1562026.26</v>
      </c>
      <c r="O20" s="308"/>
      <c r="P20" s="308">
        <v>46048275.460000001</v>
      </c>
      <c r="Q20" s="243"/>
      <c r="R20" s="243"/>
    </row>
    <row r="21" spans="1:18" x14ac:dyDescent="0.25">
      <c r="A21" s="247" t="s">
        <v>34</v>
      </c>
      <c r="B21" s="310">
        <v>527602</v>
      </c>
      <c r="C21" s="310">
        <v>590500</v>
      </c>
      <c r="D21" s="310">
        <v>1688364</v>
      </c>
      <c r="E21" s="310">
        <v>41657</v>
      </c>
      <c r="F21" s="310">
        <v>223927</v>
      </c>
      <c r="G21" s="310">
        <v>1059708</v>
      </c>
      <c r="H21" s="243"/>
      <c r="I21" s="243"/>
      <c r="J21" s="247" t="s">
        <v>34</v>
      </c>
      <c r="K21" s="308">
        <v>0</v>
      </c>
      <c r="L21" s="308">
        <v>0</v>
      </c>
      <c r="M21" s="308">
        <v>71531071.140000001</v>
      </c>
      <c r="N21" s="308">
        <v>1553979.52</v>
      </c>
      <c r="O21" s="308"/>
      <c r="P21" s="308">
        <v>45818217.490000002</v>
      </c>
      <c r="Q21" s="243"/>
      <c r="R21" s="243"/>
    </row>
    <row r="22" spans="1:18" x14ac:dyDescent="0.25">
      <c r="A22" s="247" t="s">
        <v>35</v>
      </c>
      <c r="B22" s="310">
        <v>258608</v>
      </c>
      <c r="C22" s="310">
        <v>507364</v>
      </c>
      <c r="D22" s="310">
        <v>1668709</v>
      </c>
      <c r="E22" s="310">
        <v>41451</v>
      </c>
      <c r="F22" s="310">
        <v>222801</v>
      </c>
      <c r="G22" s="310">
        <v>1054403</v>
      </c>
      <c r="H22" s="243"/>
      <c r="I22" s="243"/>
      <c r="J22" s="247" t="s">
        <v>35</v>
      </c>
      <c r="K22" s="308">
        <v>0</v>
      </c>
      <c r="L22" s="308">
        <v>0</v>
      </c>
      <c r="M22" s="308">
        <v>71173258.040000007</v>
      </c>
      <c r="N22" s="308">
        <v>1546350.22</v>
      </c>
      <c r="O22" s="308"/>
      <c r="P22" s="308">
        <v>45588811.159999996</v>
      </c>
      <c r="Q22" s="243"/>
      <c r="R22" s="243"/>
    </row>
    <row r="23" spans="1:18" x14ac:dyDescent="0.25">
      <c r="A23" s="247" t="s">
        <v>36</v>
      </c>
      <c r="B23" s="310">
        <v>109737</v>
      </c>
      <c r="C23" s="310">
        <v>241488</v>
      </c>
      <c r="D23" s="310">
        <v>1660337</v>
      </c>
      <c r="E23" s="310">
        <v>41239</v>
      </c>
      <c r="F23" s="310">
        <v>215828</v>
      </c>
      <c r="G23" s="310">
        <v>1049133</v>
      </c>
      <c r="H23" s="243"/>
      <c r="I23" s="243"/>
      <c r="J23" s="247" t="s">
        <v>36</v>
      </c>
      <c r="K23" s="308">
        <v>0</v>
      </c>
      <c r="L23" s="308">
        <v>0</v>
      </c>
      <c r="M23" s="308">
        <v>70817528.530000001</v>
      </c>
      <c r="N23" s="308">
        <v>1538466.73</v>
      </c>
      <c r="O23" s="308"/>
      <c r="P23" s="308">
        <v>45360998.920000002</v>
      </c>
      <c r="Q23" s="243"/>
      <c r="R23" s="243"/>
    </row>
    <row r="24" spans="1:18" x14ac:dyDescent="0.25">
      <c r="A24" s="247" t="s">
        <v>37</v>
      </c>
      <c r="B24" s="311">
        <v>28349</v>
      </c>
      <c r="C24" s="311">
        <v>28494</v>
      </c>
      <c r="D24" s="310">
        <v>1651935</v>
      </c>
      <c r="E24" s="310">
        <v>41031</v>
      </c>
      <c r="F24" s="310">
        <v>74582</v>
      </c>
      <c r="G24" s="310">
        <v>1037358</v>
      </c>
      <c r="H24" s="243"/>
      <c r="I24" s="243"/>
      <c r="J24" s="247" t="s">
        <v>37</v>
      </c>
      <c r="K24" s="308">
        <v>0</v>
      </c>
      <c r="L24" s="308">
        <v>0</v>
      </c>
      <c r="M24" s="308">
        <v>70462881.260000005</v>
      </c>
      <c r="N24" s="308">
        <v>1530999.8</v>
      </c>
      <c r="O24" s="308"/>
      <c r="P24" s="308">
        <v>45134516.140000001</v>
      </c>
      <c r="Q24" s="243"/>
      <c r="R24" s="243"/>
    </row>
    <row r="25" spans="1:18" x14ac:dyDescent="0.25">
      <c r="A25" s="247" t="s">
        <v>38</v>
      </c>
      <c r="B25" s="311">
        <v>0</v>
      </c>
      <c r="C25" s="311">
        <v>0</v>
      </c>
      <c r="D25" s="310">
        <v>1643572</v>
      </c>
      <c r="E25" s="310">
        <v>40820</v>
      </c>
      <c r="F25" s="311">
        <v>0</v>
      </c>
      <c r="G25" s="310">
        <v>1032129</v>
      </c>
      <c r="H25" s="243"/>
      <c r="I25" s="243"/>
      <c r="J25" s="247" t="s">
        <v>38</v>
      </c>
      <c r="K25" s="308">
        <v>0</v>
      </c>
      <c r="L25" s="308">
        <v>0</v>
      </c>
      <c r="M25" s="308">
        <v>70111192.060000002</v>
      </c>
      <c r="N25" s="308">
        <v>1523423.8</v>
      </c>
      <c r="O25" s="308"/>
      <c r="P25" s="308">
        <v>44908757.240000002</v>
      </c>
      <c r="Q25" s="243"/>
      <c r="R25" s="243"/>
    </row>
    <row r="26" spans="1:18" x14ac:dyDescent="0.25">
      <c r="A26" s="247" t="s">
        <v>39</v>
      </c>
      <c r="B26" s="311">
        <v>0</v>
      </c>
      <c r="C26" s="311">
        <v>0</v>
      </c>
      <c r="D26" s="310">
        <v>1635246</v>
      </c>
      <c r="E26" s="310">
        <v>40609</v>
      </c>
      <c r="F26" s="311">
        <v>0</v>
      </c>
      <c r="G26" s="310">
        <v>1026926</v>
      </c>
      <c r="H26" s="243"/>
      <c r="I26" s="243"/>
      <c r="J26" s="247" t="s">
        <v>39</v>
      </c>
      <c r="K26" s="308">
        <v>0</v>
      </c>
      <c r="L26" s="308">
        <v>0</v>
      </c>
      <c r="M26" s="308">
        <v>69760575.620000005</v>
      </c>
      <c r="N26" s="308">
        <v>1515730.92</v>
      </c>
      <c r="O26" s="308"/>
      <c r="P26" s="308">
        <v>44684164.200000003</v>
      </c>
      <c r="Q26" s="243"/>
      <c r="R26" s="243"/>
    </row>
    <row r="27" spans="1:18" x14ac:dyDescent="0.25">
      <c r="A27" s="247" t="s">
        <v>158</v>
      </c>
      <c r="B27" s="311">
        <v>0</v>
      </c>
      <c r="C27" s="311">
        <v>0</v>
      </c>
      <c r="D27" s="310">
        <v>1502731</v>
      </c>
      <c r="E27" s="310">
        <v>40399</v>
      </c>
      <c r="F27" s="311">
        <v>0</v>
      </c>
      <c r="G27" s="310">
        <v>1021744</v>
      </c>
      <c r="H27" s="243"/>
      <c r="I27" s="243"/>
      <c r="J27" s="247" t="s">
        <v>158</v>
      </c>
      <c r="K27" s="308"/>
      <c r="L27" s="308">
        <v>0</v>
      </c>
      <c r="M27" s="308">
        <v>57406147.950000003</v>
      </c>
      <c r="N27" s="308">
        <v>1508049.87</v>
      </c>
      <c r="O27" s="308"/>
      <c r="P27" s="308">
        <v>44460649.340000004</v>
      </c>
      <c r="Q27" s="243"/>
      <c r="R27" s="243"/>
    </row>
    <row r="28" spans="1:18" x14ac:dyDescent="0.25">
      <c r="A28" s="275" t="s">
        <v>179</v>
      </c>
      <c r="B28" s="311">
        <v>0</v>
      </c>
      <c r="C28" s="311">
        <v>0</v>
      </c>
      <c r="D28" s="310">
        <v>1120876</v>
      </c>
      <c r="E28" s="310">
        <v>38692</v>
      </c>
      <c r="F28" s="311">
        <v>0</v>
      </c>
      <c r="G28" s="310">
        <v>1016589</v>
      </c>
      <c r="H28" s="243"/>
      <c r="I28" s="243"/>
      <c r="J28" s="275" t="s">
        <v>179</v>
      </c>
      <c r="K28" s="308"/>
      <c r="L28" s="308">
        <v>0</v>
      </c>
      <c r="M28" s="308">
        <v>38077258.380000003</v>
      </c>
      <c r="N28" s="308">
        <v>1401094.91</v>
      </c>
      <c r="O28" s="308"/>
      <c r="P28" s="308">
        <v>44238301.969999999</v>
      </c>
      <c r="Q28" s="243"/>
      <c r="R28" s="243"/>
    </row>
    <row r="29" spans="1:18" x14ac:dyDescent="0.25">
      <c r="A29" s="243"/>
      <c r="B29" s="312">
        <v>0</v>
      </c>
      <c r="C29" s="312">
        <v>0</v>
      </c>
      <c r="D29" s="312"/>
      <c r="E29" s="312"/>
      <c r="F29" s="312"/>
      <c r="G29" s="312"/>
      <c r="H29" s="243"/>
      <c r="I29" s="243"/>
      <c r="J29" s="243"/>
      <c r="K29" s="309"/>
      <c r="L29" s="309"/>
      <c r="M29" s="309"/>
      <c r="N29" s="309"/>
      <c r="O29" s="309"/>
      <c r="P29" s="309"/>
      <c r="Q29" s="243"/>
      <c r="R29" s="243"/>
    </row>
    <row r="30" spans="1:18" x14ac:dyDescent="0.25">
      <c r="A30" s="241" t="s">
        <v>40</v>
      </c>
      <c r="B30" s="242" t="s">
        <v>170</v>
      </c>
      <c r="C30" s="242" t="s">
        <v>170</v>
      </c>
      <c r="D30" s="242" t="s">
        <v>170</v>
      </c>
      <c r="E30" s="242" t="s">
        <v>170</v>
      </c>
      <c r="F30" s="242" t="s">
        <v>170</v>
      </c>
      <c r="G30" s="242" t="s">
        <v>170</v>
      </c>
      <c r="H30" s="243"/>
      <c r="I30" s="243"/>
      <c r="J30" s="241" t="s">
        <v>40</v>
      </c>
      <c r="K30" s="242" t="s">
        <v>170</v>
      </c>
      <c r="L30" s="242" t="s">
        <v>170</v>
      </c>
      <c r="M30" s="242" t="s">
        <v>170</v>
      </c>
      <c r="N30" s="242" t="s">
        <v>170</v>
      </c>
      <c r="O30" s="242" t="s">
        <v>170</v>
      </c>
      <c r="P30" s="244" t="s">
        <v>170</v>
      </c>
      <c r="Q30" s="243"/>
      <c r="R30" s="243"/>
    </row>
    <row r="31" spans="1:18" x14ac:dyDescent="0.25">
      <c r="A31" s="245" t="s">
        <v>1</v>
      </c>
      <c r="B31" s="246" t="s">
        <v>172</v>
      </c>
      <c r="C31" s="246" t="s">
        <v>173</v>
      </c>
      <c r="D31" s="246" t="s">
        <v>174</v>
      </c>
      <c r="E31" s="246" t="s">
        <v>175</v>
      </c>
      <c r="F31" s="246" t="s">
        <v>176</v>
      </c>
      <c r="G31" s="244" t="s">
        <v>177</v>
      </c>
      <c r="H31" s="243"/>
      <c r="I31" s="243"/>
      <c r="J31" s="245" t="s">
        <v>1</v>
      </c>
      <c r="K31" s="246" t="s">
        <v>172</v>
      </c>
      <c r="L31" s="246" t="s">
        <v>173</v>
      </c>
      <c r="M31" s="246" t="s">
        <v>174</v>
      </c>
      <c r="N31" s="246" t="s">
        <v>175</v>
      </c>
      <c r="O31" s="246" t="s">
        <v>176</v>
      </c>
      <c r="P31" s="244" t="s">
        <v>177</v>
      </c>
      <c r="Q31" s="243"/>
      <c r="R31" s="243"/>
    </row>
    <row r="32" spans="1:18" x14ac:dyDescent="0.25">
      <c r="A32" s="247" t="s">
        <v>16</v>
      </c>
      <c r="B32" s="313">
        <v>35653</v>
      </c>
      <c r="C32" s="313">
        <v>126418</v>
      </c>
      <c r="D32" s="313">
        <v>46468</v>
      </c>
      <c r="E32" s="313"/>
      <c r="F32" s="313"/>
      <c r="G32" s="313"/>
      <c r="H32" s="243"/>
      <c r="I32" s="243"/>
      <c r="J32" s="247" t="s">
        <v>16</v>
      </c>
      <c r="K32" s="314">
        <v>27088863.969999999</v>
      </c>
      <c r="L32" s="314">
        <v>17717507.829999998</v>
      </c>
      <c r="M32" s="314">
        <v>11306363.279999999</v>
      </c>
      <c r="N32" s="314">
        <v>0</v>
      </c>
      <c r="O32" s="314"/>
      <c r="P32" s="314">
        <v>0</v>
      </c>
      <c r="Q32" s="243"/>
      <c r="R32" s="243"/>
    </row>
    <row r="33" spans="1:18" x14ac:dyDescent="0.25">
      <c r="A33" s="247" t="s">
        <v>17</v>
      </c>
      <c r="B33" s="313">
        <v>49947</v>
      </c>
      <c r="C33" s="313">
        <v>164286</v>
      </c>
      <c r="D33" s="313">
        <v>99554</v>
      </c>
      <c r="E33" s="313"/>
      <c r="F33" s="313"/>
      <c r="G33" s="313"/>
      <c r="H33" s="243"/>
      <c r="I33" s="243"/>
      <c r="J33" s="247" t="s">
        <v>17</v>
      </c>
      <c r="K33" s="314">
        <v>16353548.49</v>
      </c>
      <c r="L33" s="314">
        <v>22818380.059999999</v>
      </c>
      <c r="M33" s="314">
        <v>24302183.699999999</v>
      </c>
      <c r="N33" s="314">
        <v>0</v>
      </c>
      <c r="O33" s="314"/>
      <c r="P33" s="314">
        <v>0</v>
      </c>
      <c r="Q33" s="243"/>
      <c r="R33" s="243"/>
    </row>
    <row r="34" spans="1:18" x14ac:dyDescent="0.25">
      <c r="A34" s="247" t="s">
        <v>18</v>
      </c>
      <c r="B34" s="313">
        <v>67216</v>
      </c>
      <c r="C34" s="313">
        <v>181268</v>
      </c>
      <c r="D34" s="313">
        <v>111714</v>
      </c>
      <c r="E34" s="313"/>
      <c r="F34" s="313"/>
      <c r="G34" s="313"/>
      <c r="H34" s="243"/>
      <c r="I34" s="243"/>
      <c r="J34" s="247" t="s">
        <v>18</v>
      </c>
      <c r="K34" s="314">
        <v>19142800.870000001</v>
      </c>
      <c r="L34" s="314">
        <v>24918435.829999998</v>
      </c>
      <c r="M34" s="314">
        <v>27136924.940000001</v>
      </c>
      <c r="N34" s="314">
        <v>0</v>
      </c>
      <c r="O34" s="314"/>
      <c r="P34" s="314">
        <v>0</v>
      </c>
      <c r="Q34" s="243"/>
      <c r="R34" s="243"/>
    </row>
    <row r="35" spans="1:18" x14ac:dyDescent="0.25">
      <c r="A35" s="247" t="s">
        <v>19</v>
      </c>
      <c r="B35" s="313">
        <v>99301</v>
      </c>
      <c r="C35" s="313">
        <v>207594</v>
      </c>
      <c r="D35" s="313">
        <v>173414</v>
      </c>
      <c r="E35" s="313"/>
      <c r="F35" s="313"/>
      <c r="G35" s="313"/>
      <c r="H35" s="243"/>
      <c r="I35" s="243"/>
      <c r="J35" s="247" t="s">
        <v>19</v>
      </c>
      <c r="K35" s="314">
        <v>35302251.729999997</v>
      </c>
      <c r="L35" s="314">
        <v>30852900.600000001</v>
      </c>
      <c r="M35" s="314">
        <v>30856780.440000001</v>
      </c>
      <c r="N35" s="314">
        <v>0</v>
      </c>
      <c r="O35" s="314"/>
      <c r="P35" s="314">
        <v>0</v>
      </c>
      <c r="Q35" s="243"/>
      <c r="R35" s="243"/>
    </row>
    <row r="36" spans="1:18" x14ac:dyDescent="0.25">
      <c r="A36" s="247" t="s">
        <v>21</v>
      </c>
      <c r="B36" s="313">
        <v>110270</v>
      </c>
      <c r="C36" s="313">
        <v>240704</v>
      </c>
      <c r="D36" s="313">
        <v>271713</v>
      </c>
      <c r="E36" s="313">
        <v>720</v>
      </c>
      <c r="F36" s="313"/>
      <c r="G36" s="313"/>
      <c r="H36" s="243"/>
      <c r="I36" s="243"/>
      <c r="J36" s="247" t="s">
        <v>21</v>
      </c>
      <c r="K36" s="314">
        <v>12686074.84</v>
      </c>
      <c r="L36" s="314">
        <v>27029450.609999999</v>
      </c>
      <c r="M36" s="314">
        <v>37149481.979999997</v>
      </c>
      <c r="N36" s="314">
        <v>47476</v>
      </c>
      <c r="O36" s="314"/>
      <c r="P36" s="314">
        <v>0</v>
      </c>
      <c r="Q36" s="243"/>
      <c r="R36" s="243"/>
    </row>
    <row r="37" spans="1:18" x14ac:dyDescent="0.25">
      <c r="A37" s="247" t="s">
        <v>22</v>
      </c>
      <c r="B37" s="313">
        <v>118291</v>
      </c>
      <c r="C37" s="313">
        <v>275159</v>
      </c>
      <c r="D37" s="313">
        <v>540618</v>
      </c>
      <c r="E37" s="313">
        <v>7011</v>
      </c>
      <c r="F37" s="313">
        <v>36435</v>
      </c>
      <c r="G37" s="313">
        <v>269651</v>
      </c>
      <c r="H37" s="243"/>
      <c r="I37" s="243"/>
      <c r="J37" s="247" t="s">
        <v>22</v>
      </c>
      <c r="K37" s="314">
        <v>10319652.130000001</v>
      </c>
      <c r="L37" s="314">
        <v>17575142.579999998</v>
      </c>
      <c r="M37" s="314">
        <v>37542010.869999997</v>
      </c>
      <c r="N37" s="314">
        <v>404506.3</v>
      </c>
      <c r="O37" s="314">
        <v>4446002.2249999996</v>
      </c>
      <c r="P37" s="314">
        <v>12026119.460000001</v>
      </c>
      <c r="Q37" s="243"/>
      <c r="R37" s="243"/>
    </row>
    <row r="38" spans="1:18" x14ac:dyDescent="0.25">
      <c r="A38" s="247" t="s">
        <v>23</v>
      </c>
      <c r="B38" s="313">
        <v>123981</v>
      </c>
      <c r="C38" s="313">
        <v>273769</v>
      </c>
      <c r="D38" s="313">
        <v>681628</v>
      </c>
      <c r="E38" s="313">
        <v>9095</v>
      </c>
      <c r="F38" s="313">
        <v>49403</v>
      </c>
      <c r="G38" s="313">
        <v>344201</v>
      </c>
      <c r="H38" s="243"/>
      <c r="I38" s="243"/>
      <c r="J38" s="247" t="s">
        <v>23</v>
      </c>
      <c r="K38" s="314">
        <v>7716822.6299999999</v>
      </c>
      <c r="L38" s="314">
        <v>12355190.77</v>
      </c>
      <c r="M38" s="314">
        <v>35045858.090000004</v>
      </c>
      <c r="N38" s="314">
        <v>517982.35</v>
      </c>
      <c r="O38" s="314">
        <v>6122849.5710000005</v>
      </c>
      <c r="P38" s="314">
        <v>14841218.880000001</v>
      </c>
      <c r="Q38" s="243"/>
      <c r="R38" s="243"/>
    </row>
    <row r="39" spans="1:18" x14ac:dyDescent="0.25">
      <c r="A39" s="247" t="s">
        <v>24</v>
      </c>
      <c r="B39" s="313">
        <v>123374</v>
      </c>
      <c r="C39" s="313">
        <v>272377</v>
      </c>
      <c r="D39" s="313">
        <v>678222</v>
      </c>
      <c r="E39" s="313">
        <v>9050</v>
      </c>
      <c r="F39" s="313">
        <v>49154</v>
      </c>
      <c r="G39" s="313">
        <v>342477</v>
      </c>
      <c r="H39" s="243"/>
      <c r="I39" s="243"/>
      <c r="J39" s="247" t="s">
        <v>24</v>
      </c>
      <c r="K39" s="314">
        <v>0</v>
      </c>
      <c r="L39" s="314">
        <v>10317629.859999999</v>
      </c>
      <c r="M39" s="314">
        <v>31674434.109999999</v>
      </c>
      <c r="N39" s="314">
        <v>515483.15</v>
      </c>
      <c r="O39" s="314">
        <v>6015969.1409999998</v>
      </c>
      <c r="P39" s="314">
        <v>14766866.640000001</v>
      </c>
      <c r="Q39" s="243"/>
      <c r="R39" s="243"/>
    </row>
    <row r="40" spans="1:18" x14ac:dyDescent="0.25">
      <c r="A40" s="247" t="s">
        <v>25</v>
      </c>
      <c r="B40" s="313">
        <v>122742</v>
      </c>
      <c r="C40" s="313">
        <v>271047</v>
      </c>
      <c r="D40" s="313">
        <v>674827</v>
      </c>
      <c r="E40" s="313">
        <v>9003</v>
      </c>
      <c r="F40" s="313">
        <v>48910</v>
      </c>
      <c r="G40" s="313">
        <v>340769</v>
      </c>
      <c r="H40" s="243"/>
      <c r="I40" s="243"/>
      <c r="J40" s="247" t="s">
        <v>25</v>
      </c>
      <c r="K40" s="314">
        <v>0</v>
      </c>
      <c r="L40" s="314">
        <v>5208866.6660000002</v>
      </c>
      <c r="M40" s="314">
        <v>31551119.43</v>
      </c>
      <c r="N40" s="314">
        <v>512798.39</v>
      </c>
      <c r="O40" s="314">
        <v>6015969.1409999998</v>
      </c>
      <c r="P40" s="314">
        <v>14693222.109999999</v>
      </c>
      <c r="Q40" s="243"/>
      <c r="R40" s="243"/>
    </row>
    <row r="41" spans="1:18" x14ac:dyDescent="0.25">
      <c r="A41" s="247" t="s">
        <v>26</v>
      </c>
      <c r="B41" s="313">
        <v>122111</v>
      </c>
      <c r="C41" s="313">
        <v>269696</v>
      </c>
      <c r="D41" s="313">
        <v>671446</v>
      </c>
      <c r="E41" s="313">
        <v>8959</v>
      </c>
      <c r="F41" s="313">
        <v>48666</v>
      </c>
      <c r="G41" s="313">
        <v>339059</v>
      </c>
      <c r="H41" s="243"/>
      <c r="I41" s="243"/>
      <c r="J41" s="247" t="s">
        <v>26</v>
      </c>
      <c r="K41" s="314">
        <v>0</v>
      </c>
      <c r="L41" s="314">
        <v>4023056.926</v>
      </c>
      <c r="M41" s="314">
        <v>31428220.670000002</v>
      </c>
      <c r="N41" s="314">
        <v>510294.76</v>
      </c>
      <c r="O41" s="314">
        <v>6015969.1409999998</v>
      </c>
      <c r="P41" s="314">
        <v>14619488.74</v>
      </c>
      <c r="Q41" s="243"/>
      <c r="R41" s="243"/>
    </row>
    <row r="42" spans="1:18" x14ac:dyDescent="0.25">
      <c r="A42" s="247" t="s">
        <v>27</v>
      </c>
      <c r="B42" s="313">
        <v>121501</v>
      </c>
      <c r="C42" s="313">
        <v>268332</v>
      </c>
      <c r="D42" s="313">
        <v>668101</v>
      </c>
      <c r="E42" s="313">
        <v>8913</v>
      </c>
      <c r="F42" s="313">
        <v>48421</v>
      </c>
      <c r="G42" s="313">
        <v>337365</v>
      </c>
      <c r="H42" s="243"/>
      <c r="I42" s="243"/>
      <c r="J42" s="247" t="s">
        <v>27</v>
      </c>
      <c r="K42" s="314">
        <v>0</v>
      </c>
      <c r="L42" s="314">
        <v>3239948.602</v>
      </c>
      <c r="M42" s="314">
        <v>31306685.309999999</v>
      </c>
      <c r="N42" s="314">
        <v>507675.57</v>
      </c>
      <c r="O42" s="314">
        <v>6015969.1409999998</v>
      </c>
      <c r="P42" s="314">
        <v>14546456.42</v>
      </c>
      <c r="Q42" s="243"/>
      <c r="R42" s="243"/>
    </row>
    <row r="43" spans="1:18" x14ac:dyDescent="0.25">
      <c r="A43" s="247" t="s">
        <v>28</v>
      </c>
      <c r="B43" s="313">
        <v>120923</v>
      </c>
      <c r="C43" s="313">
        <v>267002</v>
      </c>
      <c r="D43" s="313">
        <v>664755</v>
      </c>
      <c r="E43" s="313">
        <v>8869</v>
      </c>
      <c r="F43" s="313">
        <v>48179</v>
      </c>
      <c r="G43" s="313">
        <v>335676</v>
      </c>
      <c r="H43" s="243"/>
      <c r="I43" s="243"/>
      <c r="J43" s="247" t="s">
        <v>28</v>
      </c>
      <c r="K43" s="314">
        <v>0</v>
      </c>
      <c r="L43" s="314">
        <v>2024352.83</v>
      </c>
      <c r="M43" s="314">
        <v>31185023.670000002</v>
      </c>
      <c r="N43" s="314">
        <v>505165.31</v>
      </c>
      <c r="O43" s="314">
        <v>6015969.1409999998</v>
      </c>
      <c r="P43" s="314">
        <v>14473633.970000001</v>
      </c>
      <c r="Q43" s="243"/>
      <c r="R43" s="243"/>
    </row>
    <row r="44" spans="1:18" x14ac:dyDescent="0.25">
      <c r="A44" s="247" t="s">
        <v>29</v>
      </c>
      <c r="B44" s="313">
        <v>120195</v>
      </c>
      <c r="C44" s="313">
        <v>265632</v>
      </c>
      <c r="D44" s="313">
        <v>661430</v>
      </c>
      <c r="E44" s="313">
        <v>8824</v>
      </c>
      <c r="F44" s="313">
        <v>47939</v>
      </c>
      <c r="G44" s="313">
        <v>334000</v>
      </c>
      <c r="H44" s="243"/>
      <c r="I44" s="243"/>
      <c r="J44" s="247" t="s">
        <v>29</v>
      </c>
      <c r="K44" s="314">
        <v>0</v>
      </c>
      <c r="L44" s="314">
        <v>0</v>
      </c>
      <c r="M44" s="314">
        <v>31064059.690000001</v>
      </c>
      <c r="N44" s="314">
        <v>502600.63</v>
      </c>
      <c r="O44" s="314">
        <v>1816967.04</v>
      </c>
      <c r="P44" s="314">
        <v>14401360.960000001</v>
      </c>
      <c r="Q44" s="243"/>
      <c r="R44" s="243"/>
    </row>
    <row r="45" spans="1:18" x14ac:dyDescent="0.25">
      <c r="A45" s="247" t="s">
        <v>30</v>
      </c>
      <c r="B45" s="313">
        <v>118998</v>
      </c>
      <c r="C45" s="313">
        <v>264011</v>
      </c>
      <c r="D45" s="313">
        <v>658126</v>
      </c>
      <c r="E45" s="313">
        <v>8782</v>
      </c>
      <c r="F45" s="313">
        <v>47700</v>
      </c>
      <c r="G45" s="313">
        <v>332330</v>
      </c>
      <c r="H45" s="243"/>
      <c r="I45" s="243"/>
      <c r="J45" s="247" t="s">
        <v>30</v>
      </c>
      <c r="K45" s="314">
        <v>0</v>
      </c>
      <c r="L45" s="314">
        <v>0</v>
      </c>
      <c r="M45" s="314">
        <v>23930211.469999999</v>
      </c>
      <c r="N45" s="314">
        <v>500158.16</v>
      </c>
      <c r="O45" s="314"/>
      <c r="P45" s="314">
        <v>14329348.27</v>
      </c>
      <c r="Q45" s="243"/>
      <c r="R45" s="243"/>
    </row>
    <row r="46" spans="1:18" x14ac:dyDescent="0.25">
      <c r="A46" s="247" t="s">
        <v>31</v>
      </c>
      <c r="B46" s="313">
        <v>85243</v>
      </c>
      <c r="C46" s="313">
        <v>144432</v>
      </c>
      <c r="D46" s="313">
        <v>608457</v>
      </c>
      <c r="E46" s="313">
        <v>8694</v>
      </c>
      <c r="F46" s="313">
        <v>47223</v>
      </c>
      <c r="G46" s="313">
        <v>329013</v>
      </c>
      <c r="H46" s="243"/>
      <c r="I46" s="243"/>
      <c r="J46" s="247" t="s">
        <v>31</v>
      </c>
      <c r="K46" s="314">
        <v>0</v>
      </c>
      <c r="L46" s="314">
        <v>0</v>
      </c>
      <c r="M46" s="314">
        <v>23810740.32</v>
      </c>
      <c r="N46" s="314">
        <v>497647.9</v>
      </c>
      <c r="O46" s="314"/>
      <c r="P46" s="314">
        <v>14257784.289999999</v>
      </c>
      <c r="Q46" s="243"/>
      <c r="R46" s="243"/>
    </row>
    <row r="47" spans="1:18" x14ac:dyDescent="0.25">
      <c r="A47" s="247" t="s">
        <v>32</v>
      </c>
      <c r="B47" s="313">
        <v>106433</v>
      </c>
      <c r="C47" s="313">
        <v>228245</v>
      </c>
      <c r="D47" s="313">
        <v>654834</v>
      </c>
      <c r="E47" s="313">
        <v>8738</v>
      </c>
      <c r="F47" s="313">
        <v>47459</v>
      </c>
      <c r="G47" s="313">
        <v>330670</v>
      </c>
      <c r="H47" s="243"/>
      <c r="I47" s="243"/>
      <c r="J47" s="247" t="s">
        <v>32</v>
      </c>
      <c r="K47" s="314">
        <v>0</v>
      </c>
      <c r="L47" s="314">
        <v>0</v>
      </c>
      <c r="M47" s="314">
        <v>23691520.77</v>
      </c>
      <c r="N47" s="314">
        <v>495139.95</v>
      </c>
      <c r="O47" s="314"/>
      <c r="P47" s="314">
        <v>14186311</v>
      </c>
      <c r="Q47" s="243"/>
      <c r="R47" s="243"/>
    </row>
    <row r="48" spans="1:18" x14ac:dyDescent="0.25">
      <c r="A48" s="247" t="s">
        <v>33</v>
      </c>
      <c r="B48" s="313">
        <v>71431</v>
      </c>
      <c r="C48" s="313">
        <v>108010</v>
      </c>
      <c r="D48" s="313">
        <v>555956</v>
      </c>
      <c r="E48" s="313">
        <v>8651</v>
      </c>
      <c r="F48" s="313">
        <v>46987</v>
      </c>
      <c r="G48" s="313">
        <v>327369</v>
      </c>
      <c r="H48" s="243"/>
      <c r="I48" s="243"/>
      <c r="J48" s="247" t="s">
        <v>33</v>
      </c>
      <c r="K48" s="314">
        <v>0</v>
      </c>
      <c r="L48" s="314">
        <v>0</v>
      </c>
      <c r="M48" s="314">
        <v>23573029.489999998</v>
      </c>
      <c r="N48" s="314">
        <v>492686.42</v>
      </c>
      <c r="O48" s="314"/>
      <c r="P48" s="314">
        <v>14115448.720000001</v>
      </c>
      <c r="Q48" s="243"/>
      <c r="R48" s="243"/>
    </row>
    <row r="49" spans="1:18" x14ac:dyDescent="0.25">
      <c r="A49" s="247" t="s">
        <v>34</v>
      </c>
      <c r="B49" s="313">
        <v>54914</v>
      </c>
      <c r="C49" s="313">
        <v>90964</v>
      </c>
      <c r="D49" s="313">
        <v>541437</v>
      </c>
      <c r="E49" s="313">
        <v>8607</v>
      </c>
      <c r="F49" s="313">
        <v>46754</v>
      </c>
      <c r="G49" s="313">
        <v>325735</v>
      </c>
      <c r="H49" s="243"/>
      <c r="I49" s="243"/>
      <c r="J49" s="247" t="s">
        <v>34</v>
      </c>
      <c r="K49" s="314">
        <v>0</v>
      </c>
      <c r="L49" s="314">
        <v>0</v>
      </c>
      <c r="M49" s="314">
        <v>23455196.210000001</v>
      </c>
      <c r="N49" s="314">
        <v>490108.93</v>
      </c>
      <c r="O49" s="314"/>
      <c r="P49" s="314">
        <v>14044981.23</v>
      </c>
      <c r="Q49" s="243"/>
      <c r="R49" s="243"/>
    </row>
    <row r="50" spans="1:18" x14ac:dyDescent="0.25">
      <c r="A50" s="247" t="s">
        <v>35</v>
      </c>
      <c r="B50" s="313">
        <v>24645</v>
      </c>
      <c r="C50" s="313">
        <v>65234</v>
      </c>
      <c r="D50" s="313">
        <v>538728</v>
      </c>
      <c r="E50" s="313">
        <v>8564</v>
      </c>
      <c r="F50" s="313">
        <v>46519</v>
      </c>
      <c r="G50" s="313">
        <v>324104</v>
      </c>
      <c r="H50" s="243"/>
      <c r="I50" s="243"/>
      <c r="J50" s="247" t="s">
        <v>35</v>
      </c>
      <c r="K50" s="314">
        <v>0</v>
      </c>
      <c r="L50" s="314">
        <v>0</v>
      </c>
      <c r="M50" s="314">
        <v>23338064.710000001</v>
      </c>
      <c r="N50" s="314">
        <v>487667.38</v>
      </c>
      <c r="O50" s="314"/>
      <c r="P50" s="314">
        <v>13974654.51</v>
      </c>
      <c r="Q50" s="243"/>
      <c r="R50" s="243"/>
    </row>
    <row r="51" spans="1:18" x14ac:dyDescent="0.25">
      <c r="A51" s="247" t="s">
        <v>36</v>
      </c>
      <c r="B51" s="313">
        <v>13848</v>
      </c>
      <c r="C51" s="313">
        <v>33255</v>
      </c>
      <c r="D51" s="313">
        <v>536029</v>
      </c>
      <c r="E51" s="313">
        <v>8520</v>
      </c>
      <c r="F51" s="313">
        <v>46286</v>
      </c>
      <c r="G51" s="313">
        <v>322482</v>
      </c>
      <c r="H51" s="243"/>
      <c r="I51" s="243"/>
      <c r="J51" s="247" t="s">
        <v>36</v>
      </c>
      <c r="K51" s="314">
        <v>0</v>
      </c>
      <c r="L51" s="314">
        <v>0</v>
      </c>
      <c r="M51" s="314">
        <v>23221194.550000001</v>
      </c>
      <c r="N51" s="314">
        <v>485213.85</v>
      </c>
      <c r="O51" s="314"/>
      <c r="P51" s="314">
        <v>13904715.859999999</v>
      </c>
      <c r="Q51" s="243"/>
      <c r="R51" s="243"/>
    </row>
    <row r="52" spans="1:18" x14ac:dyDescent="0.25">
      <c r="A52" s="247" t="s">
        <v>37</v>
      </c>
      <c r="B52" s="313">
        <v>5838</v>
      </c>
      <c r="C52" s="313">
        <v>0</v>
      </c>
      <c r="D52" s="313">
        <v>533318</v>
      </c>
      <c r="E52" s="313">
        <v>8477</v>
      </c>
      <c r="F52" s="313">
        <v>12260</v>
      </c>
      <c r="G52" s="313">
        <v>320847</v>
      </c>
      <c r="H52" s="243"/>
      <c r="I52" s="243"/>
      <c r="J52" s="247" t="s">
        <v>37</v>
      </c>
      <c r="K52" s="314">
        <v>0</v>
      </c>
      <c r="L52" s="314">
        <v>0</v>
      </c>
      <c r="M52" s="314">
        <v>23105062.460000001</v>
      </c>
      <c r="N52" s="314">
        <v>482825.89</v>
      </c>
      <c r="O52" s="314"/>
      <c r="P52" s="314">
        <v>13835406.99</v>
      </c>
      <c r="Q52" s="243"/>
      <c r="R52" s="243"/>
    </row>
    <row r="53" spans="1:18" x14ac:dyDescent="0.25">
      <c r="A53" s="247" t="s">
        <v>38</v>
      </c>
      <c r="B53" s="313">
        <v>0</v>
      </c>
      <c r="C53" s="313">
        <v>0</v>
      </c>
      <c r="D53" s="313">
        <v>530620</v>
      </c>
      <c r="E53" s="313">
        <v>8434</v>
      </c>
      <c r="F53" s="313">
        <v>0</v>
      </c>
      <c r="G53" s="313">
        <v>319229</v>
      </c>
      <c r="H53" s="243"/>
      <c r="I53" s="243"/>
      <c r="J53" s="247" t="s">
        <v>38</v>
      </c>
      <c r="K53" s="314">
        <v>0</v>
      </c>
      <c r="L53" s="314">
        <v>0</v>
      </c>
      <c r="M53" s="314">
        <v>22989602.559999999</v>
      </c>
      <c r="N53" s="314">
        <v>480561.06</v>
      </c>
      <c r="O53" s="314"/>
      <c r="P53" s="314">
        <v>13766063.65</v>
      </c>
      <c r="Q53" s="243"/>
      <c r="R53" s="243"/>
    </row>
    <row r="54" spans="1:18" x14ac:dyDescent="0.25">
      <c r="A54" s="247" t="s">
        <v>39</v>
      </c>
      <c r="B54" s="313">
        <v>0</v>
      </c>
      <c r="C54" s="313">
        <v>0</v>
      </c>
      <c r="D54" s="313">
        <v>527940</v>
      </c>
      <c r="E54" s="313">
        <v>8390</v>
      </c>
      <c r="F54" s="313">
        <v>0</v>
      </c>
      <c r="G54" s="313">
        <v>317619</v>
      </c>
      <c r="H54" s="243"/>
      <c r="I54" s="243"/>
      <c r="J54" s="247" t="s">
        <v>39</v>
      </c>
      <c r="K54" s="314">
        <v>0</v>
      </c>
      <c r="L54" s="314">
        <v>0</v>
      </c>
      <c r="M54" s="314">
        <v>22874771.280000001</v>
      </c>
      <c r="N54" s="314">
        <v>478100.07</v>
      </c>
      <c r="O54" s="314"/>
      <c r="P54" s="314">
        <v>13697106.01</v>
      </c>
      <c r="Q54" s="243"/>
      <c r="R54" s="243"/>
    </row>
    <row r="55" spans="1:18" x14ac:dyDescent="0.25">
      <c r="A55" s="247" t="s">
        <v>158</v>
      </c>
      <c r="B55" s="313">
        <v>0</v>
      </c>
      <c r="C55" s="313">
        <v>0</v>
      </c>
      <c r="D55" s="313">
        <v>468955</v>
      </c>
      <c r="E55" s="313">
        <v>8346</v>
      </c>
      <c r="F55" s="313">
        <v>0</v>
      </c>
      <c r="G55" s="313">
        <v>316014</v>
      </c>
      <c r="H55" s="243"/>
      <c r="I55" s="243"/>
      <c r="J55" s="247" t="s">
        <v>158</v>
      </c>
      <c r="K55" s="314"/>
      <c r="L55" s="314"/>
      <c r="M55" s="314">
        <v>19395307.149999999</v>
      </c>
      <c r="N55" s="314">
        <v>475658.52</v>
      </c>
      <c r="O55" s="314"/>
      <c r="P55" s="314">
        <v>13628690.210000001</v>
      </c>
      <c r="Q55" s="243"/>
      <c r="R55" s="243"/>
    </row>
    <row r="56" spans="1:18" x14ac:dyDescent="0.25">
      <c r="A56" s="275" t="s">
        <v>179</v>
      </c>
      <c r="B56" s="313">
        <v>0</v>
      </c>
      <c r="C56" s="313">
        <v>0</v>
      </c>
      <c r="D56" s="313">
        <v>376922</v>
      </c>
      <c r="E56" s="313">
        <v>7655</v>
      </c>
      <c r="F56" s="313">
        <v>0</v>
      </c>
      <c r="G56" s="313">
        <v>314419</v>
      </c>
      <c r="H56" s="243"/>
      <c r="I56" s="243"/>
      <c r="J56" s="275" t="s">
        <v>179</v>
      </c>
      <c r="K56" s="314"/>
      <c r="L56" s="314"/>
      <c r="M56" s="314">
        <v>13588932.33</v>
      </c>
      <c r="N56" s="314">
        <v>430289.03</v>
      </c>
      <c r="O56" s="314"/>
      <c r="P56" s="314">
        <v>13560605.640000001</v>
      </c>
      <c r="Q56" s="243"/>
      <c r="R56" s="243"/>
    </row>
    <row r="57" spans="1:18" x14ac:dyDescent="0.25">
      <c r="A57" s="250" t="s">
        <v>180</v>
      </c>
      <c r="B57" s="313">
        <v>0</v>
      </c>
      <c r="C57" s="313"/>
      <c r="D57" s="313"/>
      <c r="E57" s="313"/>
      <c r="F57" s="313"/>
      <c r="G57" s="313"/>
      <c r="H57" s="243"/>
      <c r="I57" s="243"/>
      <c r="J57" s="250" t="s">
        <v>181</v>
      </c>
      <c r="K57" s="314"/>
      <c r="L57" s="314"/>
      <c r="M57" s="314"/>
      <c r="N57" s="314"/>
      <c r="O57" s="314"/>
      <c r="P57" s="314"/>
      <c r="Q57" s="243"/>
      <c r="R57" s="243"/>
    </row>
    <row r="58" spans="1:18" x14ac:dyDescent="0.25">
      <c r="A58" s="243"/>
      <c r="B58" s="243"/>
      <c r="C58" s="243"/>
      <c r="D58" s="243"/>
      <c r="E58" s="243"/>
      <c r="F58" s="243"/>
      <c r="G58" s="243"/>
      <c r="H58" s="243"/>
      <c r="I58" s="243"/>
      <c r="J58" s="243"/>
      <c r="K58" s="243"/>
      <c r="L58" s="243"/>
      <c r="M58" s="243"/>
      <c r="N58" s="243"/>
      <c r="O58" s="243"/>
      <c r="P58" s="243"/>
      <c r="Q58" s="243"/>
      <c r="R58" s="243"/>
    </row>
    <row r="59" spans="1:18" x14ac:dyDescent="0.25">
      <c r="A59" s="241" t="s">
        <v>42</v>
      </c>
      <c r="B59" s="242" t="s">
        <v>170</v>
      </c>
      <c r="C59" s="242" t="s">
        <v>170</v>
      </c>
      <c r="D59" s="242" t="s">
        <v>170</v>
      </c>
      <c r="E59" s="242" t="s">
        <v>170</v>
      </c>
      <c r="F59" s="242" t="s">
        <v>170</v>
      </c>
      <c r="G59" s="242" t="s">
        <v>170</v>
      </c>
      <c r="H59" s="243"/>
      <c r="I59" s="243"/>
      <c r="J59" s="241" t="s">
        <v>42</v>
      </c>
      <c r="K59" s="242" t="s">
        <v>170</v>
      </c>
      <c r="L59" s="242" t="s">
        <v>170</v>
      </c>
      <c r="M59" s="242" t="s">
        <v>170</v>
      </c>
      <c r="N59" s="242" t="s">
        <v>170</v>
      </c>
      <c r="O59" s="242" t="s">
        <v>170</v>
      </c>
      <c r="P59" s="242" t="s">
        <v>170</v>
      </c>
      <c r="Q59" s="243"/>
      <c r="R59" s="243"/>
    </row>
    <row r="60" spans="1:18" x14ac:dyDescent="0.25">
      <c r="A60" s="245" t="s">
        <v>1</v>
      </c>
      <c r="B60" s="246" t="s">
        <v>172</v>
      </c>
      <c r="C60" s="246" t="s">
        <v>173</v>
      </c>
      <c r="D60" s="246" t="s">
        <v>174</v>
      </c>
      <c r="E60" s="246" t="s">
        <v>175</v>
      </c>
      <c r="F60" s="246" t="s">
        <v>176</v>
      </c>
      <c r="G60" s="244" t="s">
        <v>177</v>
      </c>
      <c r="H60" s="243"/>
      <c r="I60" s="243"/>
      <c r="J60" s="245" t="s">
        <v>1</v>
      </c>
      <c r="K60" s="246" t="s">
        <v>172</v>
      </c>
      <c r="L60" s="246" t="s">
        <v>173</v>
      </c>
      <c r="M60" s="246" t="s">
        <v>174</v>
      </c>
      <c r="N60" s="246" t="s">
        <v>175</v>
      </c>
      <c r="O60" s="246" t="s">
        <v>176</v>
      </c>
      <c r="P60" s="244" t="s">
        <v>177</v>
      </c>
      <c r="Q60" s="243"/>
      <c r="R60" s="243"/>
    </row>
    <row r="61" spans="1:18" x14ac:dyDescent="0.25">
      <c r="A61" s="247" t="s">
        <v>170</v>
      </c>
      <c r="B61" s="248" t="s">
        <v>170</v>
      </c>
      <c r="C61" s="248" t="s">
        <v>170</v>
      </c>
      <c r="D61" s="248" t="s">
        <v>170</v>
      </c>
      <c r="E61" s="248" t="s">
        <v>170</v>
      </c>
      <c r="F61" s="248" t="s">
        <v>170</v>
      </c>
      <c r="G61" s="249" t="s">
        <v>170</v>
      </c>
      <c r="H61" s="243"/>
      <c r="I61" s="243"/>
      <c r="J61" s="247" t="s">
        <v>170</v>
      </c>
      <c r="K61" s="248" t="s">
        <v>170</v>
      </c>
      <c r="L61" s="248" t="s">
        <v>170</v>
      </c>
      <c r="M61" s="248" t="s">
        <v>170</v>
      </c>
      <c r="N61" s="248" t="s">
        <v>170</v>
      </c>
      <c r="O61" s="248" t="s">
        <v>170</v>
      </c>
      <c r="P61" s="249" t="s">
        <v>170</v>
      </c>
      <c r="Q61" s="243"/>
      <c r="R61" s="243"/>
    </row>
    <row r="62" spans="1:18" x14ac:dyDescent="0.25">
      <c r="A62" s="247" t="s">
        <v>16</v>
      </c>
      <c r="B62" s="313">
        <v>141601</v>
      </c>
      <c r="C62" s="313">
        <v>228915</v>
      </c>
      <c r="D62" s="313">
        <v>81355</v>
      </c>
      <c r="E62" s="313"/>
      <c r="F62" s="313"/>
      <c r="G62" s="313"/>
      <c r="H62" s="243"/>
      <c r="I62" s="243"/>
      <c r="J62" s="247" t="s">
        <v>16</v>
      </c>
      <c r="K62" s="314">
        <v>110854804.68999992</v>
      </c>
      <c r="L62" s="314">
        <v>30863964.982000057</v>
      </c>
      <c r="M62" s="314">
        <v>18682694.302000001</v>
      </c>
      <c r="N62" s="314">
        <v>0</v>
      </c>
      <c r="O62" s="314">
        <v>0</v>
      </c>
      <c r="P62" s="314">
        <v>0</v>
      </c>
      <c r="Q62" s="243"/>
      <c r="R62" s="243"/>
    </row>
    <row r="63" spans="1:18" x14ac:dyDescent="0.25">
      <c r="A63" s="247" t="s">
        <v>17</v>
      </c>
      <c r="B63" s="313">
        <v>184201</v>
      </c>
      <c r="C63" s="313">
        <v>280339</v>
      </c>
      <c r="D63" s="313">
        <v>262423</v>
      </c>
      <c r="E63" s="313"/>
      <c r="F63" s="313"/>
      <c r="G63" s="313"/>
      <c r="H63" s="243"/>
      <c r="I63" s="243"/>
      <c r="J63" s="247" t="s">
        <v>17</v>
      </c>
      <c r="K63" s="314">
        <v>45622698.259999931</v>
      </c>
      <c r="L63" s="314">
        <v>37506981.176000081</v>
      </c>
      <c r="M63" s="314">
        <v>59890128.233999997</v>
      </c>
      <c r="N63" s="314">
        <v>0</v>
      </c>
      <c r="O63" s="314">
        <v>0</v>
      </c>
      <c r="P63" s="314">
        <v>0</v>
      </c>
      <c r="Q63" s="243"/>
      <c r="R63" s="243"/>
    </row>
    <row r="64" spans="1:18" x14ac:dyDescent="0.25">
      <c r="A64" s="247" t="s">
        <v>18</v>
      </c>
      <c r="B64" s="313">
        <v>251636</v>
      </c>
      <c r="C64" s="313">
        <v>299360</v>
      </c>
      <c r="D64" s="313">
        <v>327745</v>
      </c>
      <c r="E64" s="313"/>
      <c r="F64" s="313"/>
      <c r="G64" s="313"/>
      <c r="H64" s="243"/>
      <c r="I64" s="243"/>
      <c r="J64" s="247" t="s">
        <v>18</v>
      </c>
      <c r="K64" s="314">
        <v>69318612.439999789</v>
      </c>
      <c r="L64" s="314">
        <v>40011665.56400007</v>
      </c>
      <c r="M64" s="314">
        <v>75000246.922000006</v>
      </c>
      <c r="N64" s="314">
        <v>0</v>
      </c>
      <c r="O64" s="314">
        <v>0</v>
      </c>
      <c r="P64" s="314">
        <v>0</v>
      </c>
      <c r="Q64" s="243"/>
      <c r="R64" s="243"/>
    </row>
    <row r="65" spans="1:18" x14ac:dyDescent="0.25">
      <c r="A65" s="247" t="s">
        <v>19</v>
      </c>
      <c r="B65" s="313">
        <v>500093</v>
      </c>
      <c r="C65" s="313">
        <v>354795</v>
      </c>
      <c r="D65" s="313">
        <v>413269</v>
      </c>
      <c r="E65" s="313"/>
      <c r="F65" s="313"/>
      <c r="G65" s="313"/>
      <c r="H65" s="243"/>
      <c r="I65" s="243"/>
      <c r="J65" s="247" t="s">
        <v>19</v>
      </c>
      <c r="K65" s="314">
        <v>232293395.41999963</v>
      </c>
      <c r="L65" s="314">
        <v>51856039.711500019</v>
      </c>
      <c r="M65" s="314">
        <v>87309206.876000017</v>
      </c>
      <c r="N65" s="314">
        <v>0</v>
      </c>
      <c r="O65" s="314">
        <v>0</v>
      </c>
      <c r="P65" s="314">
        <v>0</v>
      </c>
      <c r="Q65" s="243"/>
      <c r="R65" s="243"/>
    </row>
    <row r="66" spans="1:18" x14ac:dyDescent="0.25">
      <c r="A66" s="247" t="s">
        <v>21</v>
      </c>
      <c r="B66" s="313">
        <v>643869</v>
      </c>
      <c r="C66" s="313">
        <v>594643</v>
      </c>
      <c r="D66" s="313">
        <v>725896</v>
      </c>
      <c r="E66" s="313">
        <v>944</v>
      </c>
      <c r="F66" s="313">
        <v>6313</v>
      </c>
      <c r="G66" s="313"/>
      <c r="H66" s="243"/>
      <c r="I66" s="243"/>
      <c r="J66" s="247" t="s">
        <v>21</v>
      </c>
      <c r="K66" s="314">
        <v>86925078.679999933</v>
      </c>
      <c r="L66" s="314">
        <v>65652282.371083297</v>
      </c>
      <c r="M66" s="314">
        <v>101701360.09799999</v>
      </c>
      <c r="N66" s="314">
        <v>62459.3</v>
      </c>
      <c r="O66" s="314">
        <v>877546.85699999996</v>
      </c>
      <c r="P66" s="314">
        <v>0</v>
      </c>
      <c r="Q66" s="243"/>
      <c r="R66" s="243"/>
    </row>
    <row r="67" spans="1:18" x14ac:dyDescent="0.25">
      <c r="A67" s="247" t="s">
        <v>22</v>
      </c>
      <c r="B67" s="313">
        <v>719194</v>
      </c>
      <c r="C67" s="313">
        <v>781692</v>
      </c>
      <c r="D67" s="313">
        <v>1218483</v>
      </c>
      <c r="E67" s="313">
        <v>25336</v>
      </c>
      <c r="F67" s="313">
        <v>120966</v>
      </c>
      <c r="G67" s="313">
        <v>545907</v>
      </c>
      <c r="H67" s="243"/>
      <c r="I67" s="243"/>
      <c r="J67" s="247" t="s">
        <v>22</v>
      </c>
      <c r="K67" s="314">
        <v>112804031.91999999</v>
      </c>
      <c r="L67" s="314">
        <v>52554117.770583309</v>
      </c>
      <c r="M67" s="314">
        <v>106879115.26400009</v>
      </c>
      <c r="N67" s="314">
        <v>1118832.8009999997</v>
      </c>
      <c r="O67" s="314">
        <v>18002496.39683333</v>
      </c>
      <c r="P67" s="314">
        <v>25030754.67600001</v>
      </c>
      <c r="Q67" s="243"/>
      <c r="R67" s="243"/>
    </row>
    <row r="68" spans="1:18" x14ac:dyDescent="0.25">
      <c r="A68" s="247" t="s">
        <v>23</v>
      </c>
      <c r="B68" s="313">
        <v>739530</v>
      </c>
      <c r="C68" s="313">
        <v>808342</v>
      </c>
      <c r="D68" s="313">
        <v>1533186</v>
      </c>
      <c r="E68" s="313">
        <v>34924</v>
      </c>
      <c r="F68" s="313">
        <v>187215</v>
      </c>
      <c r="G68" s="313">
        <v>775581</v>
      </c>
      <c r="H68" s="243"/>
      <c r="I68" s="243"/>
      <c r="J68" s="247" t="s">
        <v>23</v>
      </c>
      <c r="K68" s="314">
        <v>0</v>
      </c>
      <c r="L68" s="314">
        <v>45301229.758500025</v>
      </c>
      <c r="M68" s="314">
        <v>90534080.080499992</v>
      </c>
      <c r="N68" s="314">
        <v>2079483.8038333335</v>
      </c>
      <c r="O68" s="314">
        <v>20663274.003333334</v>
      </c>
      <c r="P68" s="314">
        <v>25673253.047333326</v>
      </c>
      <c r="Q68" s="243"/>
      <c r="R68" s="243"/>
    </row>
    <row r="69" spans="1:18" x14ac:dyDescent="0.25">
      <c r="A69" s="247" t="s">
        <v>24</v>
      </c>
      <c r="B69" s="313">
        <v>735630</v>
      </c>
      <c r="C69" s="313">
        <v>804310</v>
      </c>
      <c r="D69" s="313">
        <v>1525522</v>
      </c>
      <c r="E69" s="313">
        <v>34748</v>
      </c>
      <c r="F69" s="313">
        <v>186274</v>
      </c>
      <c r="G69" s="313">
        <v>771704</v>
      </c>
      <c r="H69" s="243"/>
      <c r="I69" s="243"/>
      <c r="J69" s="247" t="s">
        <v>24</v>
      </c>
      <c r="K69" s="314">
        <v>0</v>
      </c>
      <c r="L69" s="314">
        <v>42805391.830500036</v>
      </c>
      <c r="M69" s="314">
        <v>73791786.594250008</v>
      </c>
      <c r="N69" s="314">
        <v>2020428.1858333331</v>
      </c>
      <c r="O69" s="314">
        <v>20462447.771666668</v>
      </c>
      <c r="P69" s="314">
        <v>25547752.20733333</v>
      </c>
      <c r="Q69" s="243"/>
      <c r="R69" s="243"/>
    </row>
    <row r="70" spans="1:18" x14ac:dyDescent="0.25">
      <c r="A70" s="247" t="s">
        <v>25</v>
      </c>
      <c r="B70" s="313">
        <v>731800</v>
      </c>
      <c r="C70" s="313">
        <v>800281</v>
      </c>
      <c r="D70" s="313">
        <v>1517895</v>
      </c>
      <c r="E70" s="313">
        <v>34576</v>
      </c>
      <c r="F70" s="313">
        <v>185346</v>
      </c>
      <c r="G70" s="313">
        <v>767845</v>
      </c>
      <c r="H70" s="243"/>
      <c r="I70" s="243"/>
      <c r="J70" s="247" t="s">
        <v>25</v>
      </c>
      <c r="K70" s="314">
        <v>0</v>
      </c>
      <c r="L70" s="314">
        <v>33755382.214499995</v>
      </c>
      <c r="M70" s="314">
        <v>70797875.940249979</v>
      </c>
      <c r="N70" s="314">
        <v>2015458.5858333332</v>
      </c>
      <c r="O70" s="314">
        <v>20462447.771666668</v>
      </c>
      <c r="P70" s="314">
        <v>25422986.577333342</v>
      </c>
      <c r="Q70" s="243"/>
      <c r="R70" s="243"/>
    </row>
    <row r="71" spans="1:18" x14ac:dyDescent="0.25">
      <c r="A71" s="247" t="s">
        <v>26</v>
      </c>
      <c r="B71" s="313">
        <v>728077</v>
      </c>
      <c r="C71" s="313">
        <v>796294</v>
      </c>
      <c r="D71" s="313">
        <v>1510296</v>
      </c>
      <c r="E71" s="313">
        <v>34404</v>
      </c>
      <c r="F71" s="313">
        <v>184417</v>
      </c>
      <c r="G71" s="313">
        <v>764005</v>
      </c>
      <c r="H71" s="243"/>
      <c r="I71" s="243"/>
      <c r="J71" s="247" t="s">
        <v>26</v>
      </c>
      <c r="K71" s="314">
        <v>0</v>
      </c>
      <c r="L71" s="314">
        <v>33747027.224499993</v>
      </c>
      <c r="M71" s="314">
        <v>70562271.690250009</v>
      </c>
      <c r="N71" s="314">
        <v>2010431.5158333336</v>
      </c>
      <c r="O71" s="314">
        <v>20462447.771666668</v>
      </c>
      <c r="P71" s="314">
        <v>25298568.377333336</v>
      </c>
      <c r="Q71" s="243"/>
      <c r="R71" s="243"/>
    </row>
    <row r="72" spans="1:18" x14ac:dyDescent="0.25">
      <c r="A72" s="247" t="s">
        <v>27</v>
      </c>
      <c r="B72" s="313">
        <v>724329</v>
      </c>
      <c r="C72" s="313">
        <v>792294</v>
      </c>
      <c r="D72" s="313">
        <v>1502751</v>
      </c>
      <c r="E72" s="313">
        <v>34233</v>
      </c>
      <c r="F72" s="313">
        <v>183498</v>
      </c>
      <c r="G72" s="313">
        <v>760186</v>
      </c>
      <c r="H72" s="243"/>
      <c r="I72" s="243"/>
      <c r="J72" s="247" t="s">
        <v>27</v>
      </c>
      <c r="K72" s="314">
        <v>0</v>
      </c>
      <c r="L72" s="314">
        <v>31669497.609416667</v>
      </c>
      <c r="M72" s="314">
        <v>70327909.950249985</v>
      </c>
      <c r="N72" s="314">
        <v>2005422.9158333333</v>
      </c>
      <c r="O72" s="314">
        <v>20462447.771666668</v>
      </c>
      <c r="P72" s="314">
        <v>25175059.137333333</v>
      </c>
      <c r="Q72" s="243"/>
      <c r="R72" s="243"/>
    </row>
    <row r="73" spans="1:18" x14ac:dyDescent="0.25">
      <c r="A73" s="247" t="s">
        <v>28</v>
      </c>
      <c r="B73" s="313">
        <v>720680</v>
      </c>
      <c r="C73" s="313">
        <v>788329</v>
      </c>
      <c r="D73" s="313">
        <v>1495231</v>
      </c>
      <c r="E73" s="313">
        <v>34060</v>
      </c>
      <c r="F73" s="313">
        <v>182579</v>
      </c>
      <c r="G73" s="313">
        <v>756387</v>
      </c>
      <c r="H73" s="243"/>
      <c r="I73" s="243"/>
      <c r="J73" s="247" t="s">
        <v>28</v>
      </c>
      <c r="K73" s="314">
        <v>0</v>
      </c>
      <c r="L73" s="314">
        <v>10367820.907416664</v>
      </c>
      <c r="M73" s="314">
        <v>70094804.650249988</v>
      </c>
      <c r="N73" s="314">
        <v>2000417.4558333333</v>
      </c>
      <c r="O73" s="314">
        <v>19633653.51783333</v>
      </c>
      <c r="P73" s="314">
        <v>25052175.897333343</v>
      </c>
      <c r="Q73" s="243"/>
      <c r="R73" s="243"/>
    </row>
    <row r="74" spans="1:18" x14ac:dyDescent="0.25">
      <c r="A74" s="247" t="s">
        <v>29</v>
      </c>
      <c r="B74" s="313">
        <v>716897</v>
      </c>
      <c r="C74" s="313">
        <v>784341</v>
      </c>
      <c r="D74" s="313">
        <v>1487750</v>
      </c>
      <c r="E74" s="313">
        <v>33889</v>
      </c>
      <c r="F74" s="313">
        <v>181667</v>
      </c>
      <c r="G74" s="313">
        <v>752600</v>
      </c>
      <c r="H74" s="243"/>
      <c r="I74" s="243"/>
      <c r="J74" s="247" t="s">
        <v>29</v>
      </c>
      <c r="K74" s="314">
        <v>0</v>
      </c>
      <c r="L74" s="314">
        <v>0</v>
      </c>
      <c r="M74" s="314">
        <v>69862685.970249996</v>
      </c>
      <c r="N74" s="314">
        <v>1905075.5759999999</v>
      </c>
      <c r="O74" s="314">
        <v>3414045.9383333339</v>
      </c>
      <c r="P74" s="314">
        <v>24353934.779999994</v>
      </c>
      <c r="Q74" s="243"/>
      <c r="R74" s="243"/>
    </row>
    <row r="75" spans="1:18" x14ac:dyDescent="0.25">
      <c r="A75" s="247" t="s">
        <v>30</v>
      </c>
      <c r="B75" s="313">
        <v>712901</v>
      </c>
      <c r="C75" s="313">
        <v>780338</v>
      </c>
      <c r="D75" s="313">
        <v>1480317</v>
      </c>
      <c r="E75" s="313">
        <v>33723</v>
      </c>
      <c r="F75" s="313">
        <v>180759</v>
      </c>
      <c r="G75" s="313">
        <v>748839</v>
      </c>
      <c r="H75" s="243"/>
      <c r="I75" s="243"/>
      <c r="J75" s="247" t="s">
        <v>30</v>
      </c>
      <c r="K75" s="314">
        <v>0</v>
      </c>
      <c r="L75" s="314">
        <v>0</v>
      </c>
      <c r="M75" s="314">
        <v>45925065.229999989</v>
      </c>
      <c r="N75" s="314">
        <v>982972.16</v>
      </c>
      <c r="O75" s="314">
        <v>0</v>
      </c>
      <c r="P75" s="314">
        <v>24232347.659999993</v>
      </c>
      <c r="Q75" s="243"/>
      <c r="R75" s="243"/>
    </row>
    <row r="76" spans="1:18" x14ac:dyDescent="0.25">
      <c r="A76" s="247" t="s">
        <v>31</v>
      </c>
      <c r="B76" s="313">
        <v>574505</v>
      </c>
      <c r="C76" s="313">
        <v>560354</v>
      </c>
      <c r="D76" s="313">
        <v>1390087</v>
      </c>
      <c r="E76" s="313">
        <v>33385</v>
      </c>
      <c r="F76" s="313">
        <v>178954</v>
      </c>
      <c r="G76" s="313">
        <v>741364</v>
      </c>
      <c r="H76" s="243"/>
      <c r="I76" s="243"/>
      <c r="J76" s="247" t="s">
        <v>31</v>
      </c>
      <c r="K76" s="314">
        <v>0</v>
      </c>
      <c r="L76" s="314">
        <v>0</v>
      </c>
      <c r="M76" s="314">
        <v>45695072.240000002</v>
      </c>
      <c r="N76" s="314">
        <v>977966.7</v>
      </c>
      <c r="O76" s="314">
        <v>0</v>
      </c>
      <c r="P76" s="314">
        <v>24111040.190000009</v>
      </c>
      <c r="Q76" s="243"/>
      <c r="R76" s="243"/>
    </row>
    <row r="77" spans="1:18" x14ac:dyDescent="0.25">
      <c r="A77" s="247" t="s">
        <v>32</v>
      </c>
      <c r="B77" s="313">
        <v>668825</v>
      </c>
      <c r="C77" s="313">
        <v>725515</v>
      </c>
      <c r="D77" s="313">
        <v>1471667</v>
      </c>
      <c r="E77" s="313">
        <v>33550</v>
      </c>
      <c r="F77" s="313">
        <v>179857</v>
      </c>
      <c r="G77" s="313">
        <v>745089</v>
      </c>
      <c r="H77" s="243"/>
      <c r="I77" s="243"/>
      <c r="J77" s="247" t="s">
        <v>32</v>
      </c>
      <c r="K77" s="314">
        <v>0</v>
      </c>
      <c r="L77" s="314">
        <v>0</v>
      </c>
      <c r="M77" s="314">
        <v>45467026.320000023</v>
      </c>
      <c r="N77" s="314">
        <v>973088.46</v>
      </c>
      <c r="O77" s="314">
        <v>0</v>
      </c>
      <c r="P77" s="314">
        <v>23990463.480000012</v>
      </c>
      <c r="Q77" s="243"/>
      <c r="R77" s="243"/>
    </row>
    <row r="78" spans="1:18" x14ac:dyDescent="0.25">
      <c r="A78" s="247" t="s">
        <v>33</v>
      </c>
      <c r="B78" s="313">
        <v>531439</v>
      </c>
      <c r="C78" s="313">
        <v>508788</v>
      </c>
      <c r="D78" s="313">
        <v>1214812</v>
      </c>
      <c r="E78" s="313">
        <v>33218</v>
      </c>
      <c r="F78" s="313">
        <v>178058</v>
      </c>
      <c r="G78" s="313">
        <v>737660</v>
      </c>
      <c r="H78" s="243"/>
      <c r="I78" s="243"/>
      <c r="J78" s="247" t="s">
        <v>33</v>
      </c>
      <c r="K78" s="314">
        <v>0</v>
      </c>
      <c r="L78" s="314">
        <v>0</v>
      </c>
      <c r="M78" s="314">
        <v>45239772.010000005</v>
      </c>
      <c r="N78" s="314">
        <v>968211.04999999993</v>
      </c>
      <c r="O78" s="314">
        <v>0</v>
      </c>
      <c r="P78" s="314">
        <v>23870525.810000006</v>
      </c>
      <c r="Q78" s="243"/>
      <c r="R78" s="243"/>
    </row>
    <row r="79" spans="1:18" x14ac:dyDescent="0.25">
      <c r="A79" s="247" t="s">
        <v>34</v>
      </c>
      <c r="B79" s="313">
        <v>465481</v>
      </c>
      <c r="C79" s="313">
        <v>487329</v>
      </c>
      <c r="D79" s="313">
        <v>1146927</v>
      </c>
      <c r="E79" s="313">
        <v>33050</v>
      </c>
      <c r="F79" s="313">
        <v>177173</v>
      </c>
      <c r="G79" s="313">
        <v>733973</v>
      </c>
      <c r="H79" s="243"/>
      <c r="I79" s="243"/>
      <c r="J79" s="247" t="s">
        <v>34</v>
      </c>
      <c r="K79" s="314">
        <v>0</v>
      </c>
      <c r="L79" s="314">
        <v>0</v>
      </c>
      <c r="M79" s="314">
        <v>45013466.929999992</v>
      </c>
      <c r="N79" s="314">
        <v>963340.41999999981</v>
      </c>
      <c r="O79" s="314">
        <v>0</v>
      </c>
      <c r="P79" s="314">
        <v>23751267.709999997</v>
      </c>
      <c r="Q79" s="243"/>
      <c r="R79" s="243"/>
    </row>
    <row r="80" spans="1:18" x14ac:dyDescent="0.25">
      <c r="A80" s="247" t="s">
        <v>35</v>
      </c>
      <c r="B80" s="313">
        <v>232206</v>
      </c>
      <c r="C80" s="313">
        <v>432079</v>
      </c>
      <c r="D80" s="313">
        <v>1129981</v>
      </c>
      <c r="E80" s="313">
        <v>32887</v>
      </c>
      <c r="F80" s="313">
        <v>176282</v>
      </c>
      <c r="G80" s="313">
        <v>730299</v>
      </c>
      <c r="H80" s="243"/>
      <c r="I80" s="243"/>
      <c r="J80" s="247" t="s">
        <v>35</v>
      </c>
      <c r="K80" s="314">
        <v>0</v>
      </c>
      <c r="L80" s="314">
        <v>0</v>
      </c>
      <c r="M80" s="314">
        <v>44788075.010000035</v>
      </c>
      <c r="N80" s="314">
        <v>958623.36999999988</v>
      </c>
      <c r="O80" s="314">
        <v>0</v>
      </c>
      <c r="P80" s="314">
        <v>23632218.089999992</v>
      </c>
      <c r="Q80" s="243"/>
      <c r="R80" s="243"/>
    </row>
    <row r="81" spans="1:18" x14ac:dyDescent="0.25">
      <c r="A81" s="247" t="s">
        <v>36</v>
      </c>
      <c r="B81" s="313">
        <v>95689</v>
      </c>
      <c r="C81" s="313">
        <v>205790</v>
      </c>
      <c r="D81" s="313">
        <v>1124308</v>
      </c>
      <c r="E81" s="313">
        <v>32719</v>
      </c>
      <c r="F81" s="313">
        <v>169542</v>
      </c>
      <c r="G81" s="313">
        <v>726651</v>
      </c>
      <c r="H81" s="243"/>
      <c r="I81" s="243"/>
      <c r="J81" s="247" t="s">
        <v>36</v>
      </c>
      <c r="K81" s="314">
        <v>0</v>
      </c>
      <c r="L81" s="314">
        <v>0</v>
      </c>
      <c r="M81" s="314">
        <v>44564481.880000018</v>
      </c>
      <c r="N81" s="314">
        <v>953792.0299999998</v>
      </c>
      <c r="O81" s="314">
        <v>0</v>
      </c>
      <c r="P81" s="314">
        <v>23514438.169999998</v>
      </c>
      <c r="Q81" s="243"/>
      <c r="R81" s="243"/>
    </row>
    <row r="82" spans="1:18" x14ac:dyDescent="0.25">
      <c r="A82" s="247" t="s">
        <v>37</v>
      </c>
      <c r="B82" s="313">
        <v>22511</v>
      </c>
      <c r="C82" s="313">
        <v>28494</v>
      </c>
      <c r="D82" s="313">
        <v>1118617</v>
      </c>
      <c r="E82" s="313">
        <v>32554</v>
      </c>
      <c r="F82" s="313">
        <v>62322</v>
      </c>
      <c r="G82" s="313">
        <v>716511</v>
      </c>
      <c r="H82" s="243"/>
      <c r="I82" s="243"/>
      <c r="J82" s="247" t="s">
        <v>37</v>
      </c>
      <c r="K82" s="314">
        <v>0</v>
      </c>
      <c r="L82" s="314">
        <v>0</v>
      </c>
      <c r="M82" s="314">
        <v>44341208.449999966</v>
      </c>
      <c r="N82" s="314">
        <v>949045.80999999994</v>
      </c>
      <c r="O82" s="314">
        <v>0</v>
      </c>
      <c r="P82" s="314">
        <v>23396760.030000012</v>
      </c>
      <c r="Q82" s="243"/>
      <c r="R82" s="243"/>
    </row>
    <row r="83" spans="1:18" x14ac:dyDescent="0.25">
      <c r="A83" s="247" t="s">
        <v>38</v>
      </c>
      <c r="B83" s="313">
        <v>0</v>
      </c>
      <c r="C83" s="313">
        <v>0</v>
      </c>
      <c r="D83" s="313">
        <v>1112952</v>
      </c>
      <c r="E83" s="313">
        <v>32386</v>
      </c>
      <c r="F83" s="313">
        <v>0</v>
      </c>
      <c r="G83" s="313">
        <v>712900</v>
      </c>
      <c r="H83" s="243"/>
      <c r="I83" s="243"/>
      <c r="J83" s="247" t="s">
        <v>38</v>
      </c>
      <c r="K83" s="314">
        <v>0</v>
      </c>
      <c r="L83" s="314">
        <v>0</v>
      </c>
      <c r="M83" s="314">
        <v>44119972.520000033</v>
      </c>
      <c r="N83" s="314">
        <v>944272.22</v>
      </c>
      <c r="O83" s="314">
        <v>0</v>
      </c>
      <c r="P83" s="314">
        <v>23279949.540000003</v>
      </c>
      <c r="Q83" s="243"/>
      <c r="R83" s="243"/>
    </row>
    <row r="84" spans="1:18" x14ac:dyDescent="0.25">
      <c r="A84" s="247" t="s">
        <v>39</v>
      </c>
      <c r="B84" s="313">
        <v>0</v>
      </c>
      <c r="C84" s="313">
        <v>0</v>
      </c>
      <c r="D84" s="313">
        <v>1107306</v>
      </c>
      <c r="E84" s="313">
        <v>32219</v>
      </c>
      <c r="F84" s="313">
        <v>0</v>
      </c>
      <c r="G84" s="313">
        <v>709307</v>
      </c>
      <c r="H84" s="243"/>
      <c r="I84" s="243"/>
      <c r="J84" s="247" t="s">
        <v>39</v>
      </c>
      <c r="K84" s="314">
        <v>0</v>
      </c>
      <c r="L84" s="314">
        <v>0</v>
      </c>
      <c r="M84" s="314">
        <v>43899177.289999999</v>
      </c>
      <c r="N84" s="314">
        <v>939572.07</v>
      </c>
      <c r="O84" s="314">
        <v>0</v>
      </c>
      <c r="P84" s="314">
        <v>23163575.969999991</v>
      </c>
      <c r="Q84" s="243"/>
      <c r="R84" s="243"/>
    </row>
    <row r="85" spans="1:18" x14ac:dyDescent="0.25">
      <c r="A85" s="247" t="s">
        <v>158</v>
      </c>
      <c r="B85" s="313">
        <v>0</v>
      </c>
      <c r="C85" s="313">
        <v>0</v>
      </c>
      <c r="D85" s="313">
        <v>1033776</v>
      </c>
      <c r="E85" s="313">
        <v>32053</v>
      </c>
      <c r="F85" s="313">
        <v>0</v>
      </c>
      <c r="G85" s="313">
        <v>705730</v>
      </c>
      <c r="H85" s="243"/>
      <c r="I85" s="243"/>
      <c r="J85" s="247" t="s">
        <v>158</v>
      </c>
      <c r="K85" s="314">
        <v>0</v>
      </c>
      <c r="L85" s="314">
        <v>0</v>
      </c>
      <c r="M85" s="314">
        <v>35039200.899999999</v>
      </c>
      <c r="N85" s="314">
        <v>934803.2699999999</v>
      </c>
      <c r="O85" s="314">
        <v>0</v>
      </c>
      <c r="P85" s="314">
        <v>23047615.200000003</v>
      </c>
      <c r="Q85" s="243"/>
      <c r="R85" s="243"/>
    </row>
    <row r="86" spans="1:18" x14ac:dyDescent="0.25">
      <c r="A86" s="275" t="s">
        <v>179</v>
      </c>
      <c r="B86" s="313">
        <v>0</v>
      </c>
      <c r="C86" s="313">
        <v>0</v>
      </c>
      <c r="D86" s="313">
        <v>743954</v>
      </c>
      <c r="E86" s="313">
        <v>31037</v>
      </c>
      <c r="F86" s="313">
        <v>0</v>
      </c>
      <c r="G86" s="313">
        <v>702170</v>
      </c>
      <c r="H86" s="243"/>
      <c r="I86" s="243"/>
      <c r="J86" s="275" t="s">
        <v>179</v>
      </c>
      <c r="K86" s="314">
        <v>0</v>
      </c>
      <c r="L86" s="314">
        <v>0</v>
      </c>
      <c r="M86" s="314">
        <v>21531545.54000001</v>
      </c>
      <c r="N86" s="314">
        <v>873678.47</v>
      </c>
      <c r="O86" s="314">
        <v>0</v>
      </c>
      <c r="P86" s="314">
        <v>22932255.580000002</v>
      </c>
      <c r="Q86" s="243"/>
      <c r="R86" s="243"/>
    </row>
    <row r="87" spans="1:18" x14ac:dyDescent="0.25">
      <c r="A87" s="243"/>
      <c r="B87" s="284" t="s">
        <v>178</v>
      </c>
      <c r="C87" s="284" t="s">
        <v>178</v>
      </c>
      <c r="D87" s="283"/>
      <c r="E87" s="283"/>
      <c r="F87" s="284"/>
      <c r="G87" s="283"/>
      <c r="H87" s="243"/>
      <c r="I87" s="243"/>
      <c r="J87" s="243"/>
      <c r="K87" s="243"/>
      <c r="L87" s="243"/>
      <c r="M87" s="243"/>
      <c r="N87" s="243"/>
      <c r="O87" s="243"/>
      <c r="P87" s="243"/>
      <c r="Q87" s="243"/>
      <c r="R87" s="243"/>
    </row>
    <row r="88" spans="1:18" x14ac:dyDescent="0.25">
      <c r="A88" s="243"/>
      <c r="B88" s="243"/>
      <c r="C88" s="243"/>
      <c r="D88" s="243"/>
      <c r="E88" s="243"/>
      <c r="F88" s="243"/>
      <c r="G88" s="243"/>
      <c r="H88" s="243"/>
      <c r="I88" s="243"/>
      <c r="J88" s="243"/>
      <c r="K88" s="243"/>
      <c r="L88" s="243"/>
      <c r="M88" s="243"/>
      <c r="N88" s="243"/>
      <c r="O88" s="243"/>
      <c r="P88" s="243"/>
      <c r="Q88" s="243"/>
      <c r="R88" s="243"/>
    </row>
    <row r="89" spans="1:18" x14ac:dyDescent="0.25">
      <c r="A89" s="251" t="s">
        <v>43</v>
      </c>
      <c r="B89" s="251" t="s">
        <v>170</v>
      </c>
      <c r="C89" s="251" t="s">
        <v>170</v>
      </c>
      <c r="D89" s="251" t="s">
        <v>170</v>
      </c>
      <c r="E89" s="251" t="s">
        <v>170</v>
      </c>
      <c r="F89" s="251" t="s">
        <v>170</v>
      </c>
      <c r="G89" s="255" t="s">
        <v>170</v>
      </c>
      <c r="H89" s="243"/>
      <c r="I89" s="243"/>
      <c r="J89" s="241" t="s">
        <v>43</v>
      </c>
      <c r="K89" s="242" t="s">
        <v>170</v>
      </c>
      <c r="L89" s="242" t="s">
        <v>170</v>
      </c>
      <c r="M89" s="242" t="s">
        <v>170</v>
      </c>
      <c r="N89" s="242" t="s">
        <v>170</v>
      </c>
      <c r="O89" s="242" t="s">
        <v>170</v>
      </c>
      <c r="P89" s="242" t="s">
        <v>170</v>
      </c>
      <c r="Q89" s="243"/>
      <c r="R89" s="243"/>
    </row>
    <row r="90" spans="1:18" x14ac:dyDescent="0.25">
      <c r="A90" s="251" t="s">
        <v>1</v>
      </c>
      <c r="B90" s="251" t="s">
        <v>172</v>
      </c>
      <c r="C90" s="251" t="s">
        <v>173</v>
      </c>
      <c r="D90" s="251" t="s">
        <v>174</v>
      </c>
      <c r="E90" s="251" t="s">
        <v>175</v>
      </c>
      <c r="F90" s="253" t="s">
        <v>176</v>
      </c>
      <c r="G90" s="251" t="s">
        <v>177</v>
      </c>
      <c r="H90" s="243"/>
      <c r="I90" s="243"/>
      <c r="J90" s="245" t="s">
        <v>1</v>
      </c>
      <c r="K90" s="246" t="s">
        <v>172</v>
      </c>
      <c r="L90" s="246" t="s">
        <v>173</v>
      </c>
      <c r="M90" s="246" t="s">
        <v>174</v>
      </c>
      <c r="N90" s="246" t="s">
        <v>175</v>
      </c>
      <c r="O90" s="246" t="s">
        <v>176</v>
      </c>
      <c r="P90" s="244" t="s">
        <v>177</v>
      </c>
      <c r="Q90" s="243"/>
      <c r="R90" s="243"/>
    </row>
    <row r="91" spans="1:18" x14ac:dyDescent="0.25">
      <c r="A91" s="252" t="s">
        <v>170</v>
      </c>
      <c r="B91" s="252" t="s">
        <v>170</v>
      </c>
      <c r="C91" s="252" t="s">
        <v>170</v>
      </c>
      <c r="D91" s="252" t="s">
        <v>170</v>
      </c>
      <c r="E91" s="252" t="s">
        <v>170</v>
      </c>
      <c r="F91" s="254" t="s">
        <v>170</v>
      </c>
      <c r="G91" s="252" t="s">
        <v>170</v>
      </c>
      <c r="H91" s="243"/>
      <c r="I91" s="243"/>
      <c r="J91" s="247" t="s">
        <v>170</v>
      </c>
      <c r="K91" s="248" t="s">
        <v>170</v>
      </c>
      <c r="L91" s="248" t="s">
        <v>170</v>
      </c>
      <c r="M91" s="248" t="s">
        <v>170</v>
      </c>
      <c r="N91" s="248" t="s">
        <v>170</v>
      </c>
      <c r="O91" s="248" t="s">
        <v>170</v>
      </c>
      <c r="P91" s="249" t="s">
        <v>170</v>
      </c>
      <c r="Q91" s="243"/>
      <c r="R91" s="243"/>
    </row>
    <row r="92" spans="1:18" x14ac:dyDescent="0.25">
      <c r="A92" s="252" t="s">
        <v>16</v>
      </c>
      <c r="B92" s="313"/>
      <c r="C92" s="313">
        <v>297</v>
      </c>
      <c r="D92" s="276"/>
      <c r="E92" s="276"/>
      <c r="F92" s="276"/>
      <c r="G92" s="276"/>
      <c r="H92" s="243"/>
      <c r="I92" s="243"/>
      <c r="J92" s="247" t="s">
        <v>16</v>
      </c>
      <c r="K92" s="314">
        <v>0</v>
      </c>
      <c r="L92" s="314">
        <v>40121.536</v>
      </c>
      <c r="M92" s="314">
        <v>0</v>
      </c>
      <c r="N92" s="277"/>
      <c r="O92" s="277"/>
      <c r="P92" s="277"/>
      <c r="Q92" s="243"/>
      <c r="R92" s="243"/>
    </row>
    <row r="93" spans="1:18" x14ac:dyDescent="0.25">
      <c r="A93" s="252" t="s">
        <v>17</v>
      </c>
      <c r="B93" s="313"/>
      <c r="C93" s="313">
        <v>3127</v>
      </c>
      <c r="D93" s="276"/>
      <c r="E93" s="276"/>
      <c r="F93" s="276"/>
      <c r="G93" s="276"/>
      <c r="H93" s="243"/>
      <c r="I93" s="243"/>
      <c r="J93" s="247" t="s">
        <v>17</v>
      </c>
      <c r="K93" s="314">
        <v>0</v>
      </c>
      <c r="L93" s="314">
        <v>372758.78399999999</v>
      </c>
      <c r="M93" s="314">
        <v>0</v>
      </c>
      <c r="N93" s="277"/>
      <c r="O93" s="277"/>
      <c r="P93" s="277"/>
      <c r="Q93" s="243"/>
      <c r="R93" s="243"/>
    </row>
    <row r="94" spans="1:18" x14ac:dyDescent="0.25">
      <c r="A94" s="252" t="s">
        <v>18</v>
      </c>
      <c r="B94" s="313">
        <v>266</v>
      </c>
      <c r="C94" s="313">
        <v>3659</v>
      </c>
      <c r="D94" s="276"/>
      <c r="E94" s="276"/>
      <c r="F94" s="276"/>
      <c r="G94" s="276"/>
      <c r="H94" s="243"/>
      <c r="I94" s="243"/>
      <c r="J94" s="247" t="s">
        <v>18</v>
      </c>
      <c r="K94" s="314">
        <v>295259.03999999998</v>
      </c>
      <c r="L94" s="314">
        <v>438019.44400000002</v>
      </c>
      <c r="M94" s="314">
        <v>0</v>
      </c>
      <c r="N94" s="277"/>
      <c r="O94" s="277"/>
      <c r="P94" s="277"/>
      <c r="Q94" s="243"/>
      <c r="R94" s="243"/>
    </row>
    <row r="95" spans="1:18" x14ac:dyDescent="0.25">
      <c r="A95" s="252" t="s">
        <v>19</v>
      </c>
      <c r="B95" s="313">
        <v>6112</v>
      </c>
      <c r="C95" s="313">
        <v>5900</v>
      </c>
      <c r="D95" s="276"/>
      <c r="E95" s="276"/>
      <c r="F95" s="276"/>
      <c r="G95" s="276"/>
      <c r="H95" s="243"/>
      <c r="I95" s="243"/>
      <c r="J95" s="247" t="s">
        <v>19</v>
      </c>
      <c r="K95" s="314">
        <v>4560781.5999999996</v>
      </c>
      <c r="L95" s="314">
        <v>1207831.054</v>
      </c>
      <c r="M95" s="314">
        <v>0</v>
      </c>
      <c r="N95" s="277"/>
      <c r="O95" s="277"/>
      <c r="P95" s="277"/>
      <c r="Q95" s="243"/>
      <c r="R95" s="243"/>
    </row>
    <row r="96" spans="1:18" x14ac:dyDescent="0.25">
      <c r="A96" s="252" t="s">
        <v>21</v>
      </c>
      <c r="B96" s="313">
        <v>7745</v>
      </c>
      <c r="C96" s="313">
        <v>14017</v>
      </c>
      <c r="D96" s="276"/>
      <c r="E96" s="276"/>
      <c r="F96" s="276"/>
      <c r="G96" s="276"/>
      <c r="H96" s="243"/>
      <c r="I96" s="243"/>
      <c r="J96" s="247" t="s">
        <v>21</v>
      </c>
      <c r="K96" s="314">
        <v>2674143.2799999998</v>
      </c>
      <c r="L96" s="314">
        <v>1665823.14</v>
      </c>
      <c r="M96" s="314">
        <v>0</v>
      </c>
      <c r="N96" s="277"/>
      <c r="O96" s="277"/>
      <c r="P96" s="277"/>
      <c r="Q96" s="243"/>
      <c r="R96" s="243"/>
    </row>
    <row r="97" spans="1:18" x14ac:dyDescent="0.25">
      <c r="A97" s="252" t="s">
        <v>22</v>
      </c>
      <c r="B97" s="313">
        <v>7916</v>
      </c>
      <c r="C97" s="313">
        <v>16567</v>
      </c>
      <c r="D97" s="276"/>
      <c r="E97" s="276"/>
      <c r="F97" s="276"/>
      <c r="G97" s="276"/>
      <c r="H97" s="243"/>
      <c r="I97" s="243"/>
      <c r="J97" s="247" t="s">
        <v>22</v>
      </c>
      <c r="K97" s="314">
        <v>1466506.31</v>
      </c>
      <c r="L97" s="314">
        <v>1905768.1259999999</v>
      </c>
      <c r="M97" s="314">
        <v>0</v>
      </c>
      <c r="N97" s="277"/>
      <c r="O97" s="277"/>
      <c r="P97" s="277"/>
      <c r="Q97" s="243"/>
      <c r="R97" s="243"/>
    </row>
    <row r="98" spans="1:18" x14ac:dyDescent="0.25">
      <c r="A98" s="252" t="s">
        <v>23</v>
      </c>
      <c r="B98" s="313">
        <v>7875</v>
      </c>
      <c r="C98" s="313">
        <v>16483</v>
      </c>
      <c r="D98" s="276"/>
      <c r="E98" s="276"/>
      <c r="F98" s="276"/>
      <c r="G98" s="276"/>
      <c r="H98" s="243"/>
      <c r="I98" s="243"/>
      <c r="J98" s="247" t="s">
        <v>23</v>
      </c>
      <c r="K98" s="314">
        <v>0</v>
      </c>
      <c r="L98" s="314">
        <v>1556148.567</v>
      </c>
      <c r="M98" s="314">
        <v>0</v>
      </c>
      <c r="N98" s="277"/>
      <c r="O98" s="277"/>
      <c r="P98" s="277"/>
      <c r="Q98" s="243"/>
      <c r="R98" s="243"/>
    </row>
    <row r="99" spans="1:18" x14ac:dyDescent="0.25">
      <c r="A99" s="252" t="s">
        <v>24</v>
      </c>
      <c r="B99" s="313">
        <v>7842</v>
      </c>
      <c r="C99" s="313">
        <v>16400</v>
      </c>
      <c r="D99" s="276"/>
      <c r="E99" s="276"/>
      <c r="F99" s="276"/>
      <c r="G99" s="276"/>
      <c r="H99" s="243"/>
      <c r="I99" s="243"/>
      <c r="J99" s="247" t="s">
        <v>24</v>
      </c>
      <c r="K99" s="314">
        <v>0</v>
      </c>
      <c r="L99" s="314">
        <v>1490887.9069999999</v>
      </c>
      <c r="M99" s="314">
        <v>0</v>
      </c>
      <c r="N99" s="277"/>
      <c r="O99" s="277"/>
      <c r="P99" s="277"/>
      <c r="Q99" s="243"/>
      <c r="R99" s="243"/>
    </row>
    <row r="100" spans="1:18" x14ac:dyDescent="0.25">
      <c r="A100" s="252" t="s">
        <v>25</v>
      </c>
      <c r="B100" s="313">
        <v>7802</v>
      </c>
      <c r="C100" s="313">
        <v>16320</v>
      </c>
      <c r="D100" s="276"/>
      <c r="E100" s="276"/>
      <c r="F100" s="276"/>
      <c r="G100" s="276"/>
      <c r="H100" s="243"/>
      <c r="I100" s="243"/>
      <c r="J100" s="247" t="s">
        <v>25</v>
      </c>
      <c r="K100" s="314">
        <v>0</v>
      </c>
      <c r="L100" s="314">
        <v>776505.53899999999</v>
      </c>
      <c r="M100" s="314">
        <v>0</v>
      </c>
      <c r="N100" s="277"/>
      <c r="O100" s="277"/>
      <c r="P100" s="277"/>
      <c r="Q100" s="243"/>
      <c r="R100" s="243"/>
    </row>
    <row r="101" spans="1:18" x14ac:dyDescent="0.25">
      <c r="A101" s="252" t="s">
        <v>26</v>
      </c>
      <c r="B101" s="313">
        <v>7769</v>
      </c>
      <c r="C101" s="313">
        <v>16234</v>
      </c>
      <c r="D101" s="276"/>
      <c r="E101" s="276"/>
      <c r="F101" s="276"/>
      <c r="G101" s="276"/>
      <c r="H101" s="243"/>
      <c r="I101" s="243"/>
      <c r="J101" s="247" t="s">
        <v>26</v>
      </c>
      <c r="K101" s="314">
        <v>0</v>
      </c>
      <c r="L101" s="314">
        <v>776505.53899999999</v>
      </c>
      <c r="M101" s="314">
        <v>0</v>
      </c>
      <c r="N101" s="277"/>
      <c r="O101" s="277"/>
      <c r="P101" s="277"/>
      <c r="Q101" s="243"/>
      <c r="R101" s="243"/>
    </row>
    <row r="102" spans="1:18" x14ac:dyDescent="0.25">
      <c r="A102" s="252" t="s">
        <v>27</v>
      </c>
      <c r="B102" s="313">
        <v>7732</v>
      </c>
      <c r="C102" s="313">
        <v>16151</v>
      </c>
      <c r="D102" s="276"/>
      <c r="E102" s="276"/>
      <c r="F102" s="276"/>
      <c r="G102" s="276"/>
      <c r="H102" s="243"/>
      <c r="I102" s="243"/>
      <c r="J102" s="247" t="s">
        <v>27</v>
      </c>
      <c r="K102" s="314">
        <v>0</v>
      </c>
      <c r="L102" s="314">
        <v>724155.69940000004</v>
      </c>
      <c r="M102" s="314">
        <v>0</v>
      </c>
      <c r="N102" s="277"/>
      <c r="O102" s="277"/>
      <c r="P102" s="277"/>
      <c r="Q102" s="243"/>
      <c r="R102" s="243"/>
    </row>
    <row r="103" spans="1:18" x14ac:dyDescent="0.25">
      <c r="A103" s="252" t="s">
        <v>28</v>
      </c>
      <c r="B103" s="313">
        <v>7695</v>
      </c>
      <c r="C103" s="313">
        <v>16078</v>
      </c>
      <c r="D103" s="276"/>
      <c r="E103" s="276"/>
      <c r="F103" s="276"/>
      <c r="G103" s="276"/>
      <c r="H103" s="243"/>
      <c r="I103" s="243"/>
      <c r="J103" s="247" t="s">
        <v>28</v>
      </c>
      <c r="K103" s="314">
        <v>0</v>
      </c>
      <c r="L103" s="314">
        <v>288699.2941</v>
      </c>
      <c r="M103" s="314">
        <v>0</v>
      </c>
      <c r="N103" s="277"/>
      <c r="O103" s="277"/>
      <c r="P103" s="277"/>
      <c r="Q103" s="243"/>
      <c r="R103" s="243"/>
    </row>
    <row r="104" spans="1:18" x14ac:dyDescent="0.25">
      <c r="A104" s="252" t="s">
        <v>29</v>
      </c>
      <c r="B104" s="313">
        <v>7653</v>
      </c>
      <c r="C104" s="313">
        <v>15995</v>
      </c>
      <c r="D104" s="276"/>
      <c r="E104" s="276"/>
      <c r="F104" s="276"/>
      <c r="G104" s="276"/>
      <c r="H104" s="243"/>
      <c r="I104" s="243"/>
      <c r="J104" s="247" t="s">
        <v>29</v>
      </c>
      <c r="K104" s="314">
        <v>0</v>
      </c>
      <c r="L104" s="314">
        <v>0</v>
      </c>
      <c r="M104" s="314">
        <v>0</v>
      </c>
      <c r="N104" s="277"/>
      <c r="O104" s="277"/>
      <c r="P104" s="277"/>
      <c r="Q104" s="243"/>
      <c r="R104" s="243"/>
    </row>
    <row r="105" spans="1:18" x14ac:dyDescent="0.25">
      <c r="A105" s="252" t="s">
        <v>30</v>
      </c>
      <c r="B105" s="313">
        <v>7608</v>
      </c>
      <c r="C105" s="313">
        <v>15915</v>
      </c>
      <c r="D105" s="276"/>
      <c r="E105" s="276"/>
      <c r="F105" s="276"/>
      <c r="G105" s="276"/>
      <c r="H105" s="243"/>
      <c r="I105" s="243"/>
      <c r="J105" s="247" t="s">
        <v>30</v>
      </c>
      <c r="K105" s="314">
        <v>0</v>
      </c>
      <c r="L105" s="314">
        <v>0</v>
      </c>
      <c r="M105" s="314">
        <v>0</v>
      </c>
      <c r="N105" s="277"/>
      <c r="O105" s="277"/>
      <c r="P105" s="277"/>
      <c r="Q105" s="243"/>
      <c r="R105" s="243"/>
    </row>
    <row r="106" spans="1:18" x14ac:dyDescent="0.25">
      <c r="A106" s="252" t="s">
        <v>31</v>
      </c>
      <c r="B106" s="313">
        <v>7533</v>
      </c>
      <c r="C106" s="313">
        <v>15479</v>
      </c>
      <c r="D106" s="276"/>
      <c r="E106" s="276"/>
      <c r="F106" s="276"/>
      <c r="G106" s="276"/>
      <c r="H106" s="243"/>
      <c r="I106" s="243"/>
      <c r="J106" s="247" t="s">
        <v>31</v>
      </c>
      <c r="K106" s="314">
        <v>0</v>
      </c>
      <c r="L106" s="314">
        <v>0</v>
      </c>
      <c r="M106" s="314">
        <v>0</v>
      </c>
      <c r="N106" s="277"/>
      <c r="O106" s="277"/>
      <c r="P106" s="277"/>
      <c r="Q106" s="243"/>
      <c r="R106" s="243"/>
    </row>
    <row r="107" spans="1:18" x14ac:dyDescent="0.25">
      <c r="A107" s="252" t="s">
        <v>32</v>
      </c>
      <c r="B107" s="313">
        <v>7573</v>
      </c>
      <c r="C107" s="313">
        <v>15835</v>
      </c>
      <c r="D107" s="276"/>
      <c r="E107" s="276"/>
      <c r="F107" s="276"/>
      <c r="G107" s="276"/>
      <c r="H107" s="243"/>
      <c r="I107" s="243"/>
      <c r="J107" s="247" t="s">
        <v>32</v>
      </c>
      <c r="K107" s="278">
        <v>0</v>
      </c>
      <c r="L107" s="278">
        <v>0</v>
      </c>
      <c r="M107" s="277"/>
      <c r="N107" s="277"/>
      <c r="O107" s="277"/>
      <c r="P107" s="277"/>
      <c r="Q107" s="243"/>
      <c r="R107" s="243"/>
    </row>
    <row r="108" spans="1:18" x14ac:dyDescent="0.25">
      <c r="A108" s="252" t="s">
        <v>33</v>
      </c>
      <c r="B108" s="313">
        <v>7494</v>
      </c>
      <c r="C108" s="313">
        <v>12778</v>
      </c>
      <c r="D108" s="276"/>
      <c r="E108" s="276"/>
      <c r="F108" s="276"/>
      <c r="G108" s="276"/>
      <c r="H108" s="243"/>
      <c r="I108" s="243"/>
      <c r="J108" s="247" t="s">
        <v>33</v>
      </c>
      <c r="K108" s="278">
        <v>0</v>
      </c>
      <c r="L108" s="278">
        <v>0</v>
      </c>
      <c r="M108" s="277"/>
      <c r="N108" s="277"/>
      <c r="O108" s="277"/>
      <c r="P108" s="277"/>
      <c r="Q108" s="243"/>
      <c r="R108" s="243"/>
    </row>
    <row r="109" spans="1:18" x14ac:dyDescent="0.25">
      <c r="A109" s="252" t="s">
        <v>34</v>
      </c>
      <c r="B109" s="313">
        <v>7207</v>
      </c>
      <c r="C109" s="313">
        <v>12207</v>
      </c>
      <c r="D109" s="276"/>
      <c r="E109" s="276"/>
      <c r="F109" s="276"/>
      <c r="G109" s="276"/>
      <c r="H109" s="243"/>
      <c r="I109" s="243"/>
      <c r="J109" s="247" t="s">
        <v>34</v>
      </c>
      <c r="K109" s="278">
        <v>0</v>
      </c>
      <c r="L109" s="278">
        <v>0</v>
      </c>
      <c r="M109" s="277"/>
      <c r="N109" s="277"/>
      <c r="O109" s="277"/>
      <c r="P109" s="277"/>
      <c r="Q109" s="243"/>
      <c r="R109" s="243"/>
    </row>
    <row r="110" spans="1:18" x14ac:dyDescent="0.25">
      <c r="A110" s="252" t="s">
        <v>35</v>
      </c>
      <c r="B110" s="313">
        <v>1757</v>
      </c>
      <c r="C110" s="313">
        <v>10051</v>
      </c>
      <c r="D110" s="276"/>
      <c r="E110" s="276"/>
      <c r="F110" s="276"/>
      <c r="G110" s="276"/>
      <c r="H110" s="243"/>
      <c r="I110" s="243"/>
      <c r="J110" s="247" t="s">
        <v>35</v>
      </c>
      <c r="K110" s="278">
        <v>0</v>
      </c>
      <c r="L110" s="278">
        <v>0</v>
      </c>
      <c r="M110" s="277"/>
      <c r="N110" s="277"/>
      <c r="O110" s="277"/>
      <c r="P110" s="277"/>
      <c r="Q110" s="243"/>
      <c r="R110" s="243"/>
    </row>
    <row r="111" spans="1:18" x14ac:dyDescent="0.25">
      <c r="A111" s="252" t="s">
        <v>36</v>
      </c>
      <c r="B111" s="313">
        <v>200</v>
      </c>
      <c r="C111" s="313">
        <v>2443</v>
      </c>
      <c r="D111" s="276"/>
      <c r="E111" s="276"/>
      <c r="F111" s="276"/>
      <c r="G111" s="276"/>
      <c r="H111" s="243"/>
      <c r="I111" s="243"/>
      <c r="J111" s="247" t="s">
        <v>36</v>
      </c>
      <c r="K111" s="278">
        <v>0</v>
      </c>
      <c r="L111" s="278">
        <v>0</v>
      </c>
      <c r="M111" s="277"/>
      <c r="N111" s="277"/>
      <c r="O111" s="277"/>
      <c r="P111" s="277"/>
      <c r="Q111" s="243"/>
      <c r="R111" s="243"/>
    </row>
    <row r="112" spans="1:18" x14ac:dyDescent="0.25">
      <c r="A112" s="252" t="s">
        <v>37</v>
      </c>
      <c r="B112" s="276">
        <v>0</v>
      </c>
      <c r="C112" s="276">
        <v>0</v>
      </c>
      <c r="D112" s="276"/>
      <c r="E112" s="276"/>
      <c r="F112" s="276"/>
      <c r="G112" s="276"/>
      <c r="H112" s="243"/>
      <c r="I112" s="243"/>
      <c r="J112" s="247" t="s">
        <v>37</v>
      </c>
      <c r="K112" s="278">
        <v>0</v>
      </c>
      <c r="L112" s="278">
        <v>0</v>
      </c>
      <c r="M112" s="277"/>
      <c r="N112" s="277"/>
      <c r="O112" s="277"/>
      <c r="P112" s="277"/>
      <c r="Q112" s="243"/>
      <c r="R112" s="243"/>
    </row>
    <row r="113" spans="1:18" x14ac:dyDescent="0.25">
      <c r="A113" s="252" t="s">
        <v>38</v>
      </c>
      <c r="B113" s="276">
        <v>0</v>
      </c>
      <c r="C113" s="276">
        <v>0</v>
      </c>
      <c r="D113" s="276"/>
      <c r="E113" s="276"/>
      <c r="F113" s="276"/>
      <c r="G113" s="276"/>
      <c r="H113" s="243"/>
      <c r="I113" s="243"/>
      <c r="J113" s="247" t="s">
        <v>38</v>
      </c>
      <c r="K113" s="278">
        <v>0</v>
      </c>
      <c r="L113" s="278">
        <v>0</v>
      </c>
      <c r="M113" s="277"/>
      <c r="N113" s="277"/>
      <c r="O113" s="277"/>
      <c r="P113" s="277"/>
      <c r="Q113" s="243"/>
      <c r="R113" s="243"/>
    </row>
    <row r="114" spans="1:18" x14ac:dyDescent="0.25">
      <c r="A114" s="252" t="s">
        <v>39</v>
      </c>
      <c r="B114" s="276">
        <v>0</v>
      </c>
      <c r="C114" s="276">
        <v>0</v>
      </c>
      <c r="D114" s="276"/>
      <c r="E114" s="276"/>
      <c r="F114" s="276"/>
      <c r="G114" s="276"/>
      <c r="H114" s="243"/>
      <c r="I114" s="243"/>
      <c r="J114" s="247" t="s">
        <v>39</v>
      </c>
      <c r="K114" s="278">
        <v>0</v>
      </c>
      <c r="L114" s="278">
        <v>0</v>
      </c>
      <c r="M114" s="277"/>
      <c r="N114" s="277"/>
      <c r="O114" s="277"/>
      <c r="P114" s="277"/>
      <c r="Q114" s="243"/>
      <c r="R114" s="243"/>
    </row>
    <row r="115" spans="1:18" x14ac:dyDescent="0.25">
      <c r="A115" s="252" t="s">
        <v>158</v>
      </c>
      <c r="B115" s="276">
        <v>0</v>
      </c>
      <c r="C115" s="276">
        <v>0</v>
      </c>
      <c r="D115" s="276"/>
      <c r="E115" s="276"/>
      <c r="F115" s="276"/>
      <c r="G115" s="276"/>
      <c r="H115" s="243"/>
      <c r="I115" s="243"/>
      <c r="J115" s="247" t="s">
        <v>158</v>
      </c>
      <c r="K115" s="278"/>
      <c r="L115" s="278"/>
      <c r="M115" s="277"/>
      <c r="N115" s="277"/>
      <c r="O115" s="277"/>
      <c r="P115" s="277"/>
      <c r="Q115" s="243"/>
      <c r="R115" s="243"/>
    </row>
    <row r="116" spans="1:18" x14ac:dyDescent="0.25">
      <c r="A116" s="252" t="s">
        <v>182</v>
      </c>
      <c r="B116" s="276">
        <v>0</v>
      </c>
      <c r="C116" s="276">
        <v>0</v>
      </c>
      <c r="D116" s="276"/>
      <c r="E116" s="276"/>
      <c r="F116" s="276"/>
      <c r="G116" s="276"/>
      <c r="H116" s="243"/>
      <c r="I116" s="243"/>
      <c r="J116" s="247" t="s">
        <v>182</v>
      </c>
      <c r="K116" s="278"/>
      <c r="L116" s="278"/>
      <c r="M116" s="277"/>
      <c r="N116" s="277"/>
      <c r="O116" s="277"/>
      <c r="P116" s="277"/>
      <c r="Q116" s="243"/>
      <c r="R116" s="243"/>
    </row>
  </sheetData>
  <pageMargins left="0.7" right="0.7" top="0.75" bottom="0.75" header="0.3" footer="0.3"/>
  <pageSetup scale="35" fitToHeight="3" orientation="portrait" r:id="rId1"/>
  <customProperties>
    <customPr name="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CB913-FDFD-49DA-AF1D-5FCC39021B6C}">
  <sheetPr>
    <pageSetUpPr fitToPage="1"/>
  </sheetPr>
  <dimension ref="A1:AO146"/>
  <sheetViews>
    <sheetView zoomScaleNormal="100" workbookViewId="0">
      <pane xSplit="1" topLeftCell="B1" activePane="topRight" state="frozen"/>
      <selection activeCell="L3" sqref="L3"/>
      <selection pane="topRight" activeCell="O20" sqref="O20"/>
    </sheetView>
  </sheetViews>
  <sheetFormatPr defaultRowHeight="15" x14ac:dyDescent="0.25"/>
  <cols>
    <col min="1" max="1" width="17.42578125" bestFit="1" customWidth="1"/>
    <col min="2" max="3" width="14.5703125" bestFit="1" customWidth="1"/>
    <col min="4" max="4" width="12.7109375" bestFit="1" customWidth="1"/>
    <col min="5" max="7" width="12.5703125" customWidth="1"/>
    <col min="8" max="8" width="23.42578125" customWidth="1"/>
    <col min="9" max="9" width="13.140625" customWidth="1"/>
    <col min="10" max="10" width="10.5703125" customWidth="1"/>
    <col min="11" max="11" width="14.42578125" bestFit="1" customWidth="1"/>
    <col min="12" max="12" width="18" customWidth="1"/>
    <col min="13" max="13" width="17.5703125" customWidth="1"/>
    <col min="14" max="14" width="18.5703125" bestFit="1" customWidth="1"/>
    <col min="15" max="15" width="16.140625" customWidth="1"/>
    <col min="16" max="16" width="22" bestFit="1" customWidth="1"/>
    <col min="17" max="17" width="12.5703125" customWidth="1"/>
    <col min="18" max="18" width="39.7109375" bestFit="1" customWidth="1"/>
    <col min="19" max="19" width="24.7109375" bestFit="1" customWidth="1"/>
    <col min="20" max="20" width="25.140625" bestFit="1" customWidth="1"/>
    <col min="21" max="21" width="19.7109375" bestFit="1" customWidth="1"/>
    <col min="22" max="22" width="17.7109375" bestFit="1" customWidth="1"/>
    <col min="23" max="23" width="24.140625" bestFit="1" customWidth="1"/>
    <col min="24" max="24" width="22.5703125" bestFit="1" customWidth="1"/>
    <col min="25" max="25" width="19.7109375" bestFit="1" customWidth="1"/>
    <col min="26" max="26" width="23.7109375" bestFit="1" customWidth="1"/>
    <col min="27" max="27" width="18.5703125" bestFit="1" customWidth="1"/>
    <col min="28" max="28" width="15.5703125" bestFit="1" customWidth="1"/>
    <col min="29" max="29" width="15.7109375" bestFit="1" customWidth="1"/>
    <col min="30" max="30" width="14.5703125" bestFit="1" customWidth="1"/>
    <col min="31" max="31" width="14.42578125" customWidth="1"/>
    <col min="32" max="32" width="21.140625" bestFit="1" customWidth="1"/>
    <col min="33" max="33" width="20.7109375" bestFit="1" customWidth="1"/>
    <col min="34" max="34" width="14.7109375" bestFit="1" customWidth="1"/>
    <col min="35" max="35" width="14.5703125" customWidth="1"/>
    <col min="36" max="36" width="11.5703125" bestFit="1" customWidth="1"/>
    <col min="37" max="37" width="11" customWidth="1"/>
    <col min="38" max="38" width="17.5703125" customWidth="1"/>
    <col min="39" max="39" width="12.28515625" bestFit="1" customWidth="1"/>
    <col min="40" max="40" width="13.7109375" bestFit="1" customWidth="1"/>
    <col min="41" max="41" width="9.28515625" bestFit="1" customWidth="1"/>
  </cols>
  <sheetData>
    <row r="1" spans="1:41" x14ac:dyDescent="0.25">
      <c r="A1" t="s">
        <v>169</v>
      </c>
      <c r="B1" s="161" t="s">
        <v>183</v>
      </c>
      <c r="C1" s="161"/>
      <c r="D1" s="161"/>
      <c r="E1" s="161"/>
      <c r="F1" s="161"/>
      <c r="G1" s="161"/>
      <c r="H1" s="161"/>
      <c r="I1" s="161"/>
      <c r="J1" s="161"/>
      <c r="K1" s="161"/>
      <c r="L1" s="161"/>
      <c r="M1" s="161"/>
      <c r="N1" s="161"/>
      <c r="O1" s="161"/>
      <c r="P1" s="161"/>
      <c r="Q1" s="161"/>
      <c r="R1" s="161"/>
      <c r="S1" s="161"/>
      <c r="T1" s="161"/>
      <c r="U1" s="161"/>
      <c r="V1" s="181" t="s">
        <v>86</v>
      </c>
      <c r="W1" s="181"/>
      <c r="X1" s="181"/>
      <c r="Y1" s="181"/>
      <c r="Z1" s="181"/>
      <c r="AA1" s="181"/>
      <c r="AB1" s="181"/>
      <c r="AC1" s="181"/>
      <c r="AD1" s="181"/>
      <c r="AE1" s="181"/>
      <c r="AF1" s="181"/>
    </row>
    <row r="2" spans="1:41" ht="30" x14ac:dyDescent="0.25">
      <c r="A2" s="175" t="s">
        <v>1</v>
      </c>
      <c r="B2" s="1" t="s">
        <v>184</v>
      </c>
      <c r="C2" s="1" t="s">
        <v>185</v>
      </c>
      <c r="D2" s="1" t="s">
        <v>186</v>
      </c>
      <c r="E2" s="1" t="s">
        <v>175</v>
      </c>
      <c r="F2" s="1" t="s">
        <v>176</v>
      </c>
      <c r="G2" s="1" t="s">
        <v>177</v>
      </c>
      <c r="H2" s="22" t="s">
        <v>187</v>
      </c>
      <c r="I2" s="175" t="s">
        <v>188</v>
      </c>
      <c r="J2" s="175" t="s">
        <v>189</v>
      </c>
      <c r="K2" s="175" t="s">
        <v>190</v>
      </c>
      <c r="L2" s="175" t="s">
        <v>191</v>
      </c>
      <c r="M2" s="175" t="s">
        <v>192</v>
      </c>
      <c r="N2" s="175" t="s">
        <v>193</v>
      </c>
      <c r="O2" s="175" t="s">
        <v>194</v>
      </c>
      <c r="P2" s="175" t="s">
        <v>195</v>
      </c>
      <c r="Q2" s="298" t="s">
        <v>196</v>
      </c>
      <c r="R2" s="22" t="s">
        <v>197</v>
      </c>
      <c r="S2" s="22" t="s">
        <v>198</v>
      </c>
      <c r="T2" s="22" t="s">
        <v>199</v>
      </c>
      <c r="U2" s="22" t="s">
        <v>200</v>
      </c>
      <c r="V2" s="175" t="s">
        <v>124</v>
      </c>
      <c r="W2" s="175" t="s">
        <v>130</v>
      </c>
      <c r="X2" s="23" t="s">
        <v>139</v>
      </c>
      <c r="Y2" s="175" t="s">
        <v>144</v>
      </c>
      <c r="Z2" s="23" t="s">
        <v>148</v>
      </c>
      <c r="AA2" s="23" t="s">
        <v>151</v>
      </c>
      <c r="AB2" s="175" t="s">
        <v>81</v>
      </c>
      <c r="AC2" s="175" t="s">
        <v>82</v>
      </c>
      <c r="AD2" s="175" t="s">
        <v>77</v>
      </c>
      <c r="AE2" s="175" t="s">
        <v>201</v>
      </c>
      <c r="AF2" s="23" t="s">
        <v>202</v>
      </c>
      <c r="AG2" s="183" t="s">
        <v>203</v>
      </c>
      <c r="AH2" s="22" t="s">
        <v>204</v>
      </c>
      <c r="AI2" s="22" t="s">
        <v>205</v>
      </c>
      <c r="AJ2" s="346" t="s">
        <v>206</v>
      </c>
      <c r="AK2" s="347"/>
      <c r="AL2" s="67" t="s">
        <v>207</v>
      </c>
      <c r="AM2" s="67" t="s">
        <v>208</v>
      </c>
      <c r="AN2" t="s">
        <v>209</v>
      </c>
      <c r="AO2" t="s">
        <v>210</v>
      </c>
    </row>
    <row r="3" spans="1:41" x14ac:dyDescent="0.25">
      <c r="A3" s="175"/>
      <c r="B3" s="175"/>
      <c r="C3" s="175"/>
      <c r="D3" s="175"/>
      <c r="E3" s="175"/>
      <c r="F3" s="175"/>
      <c r="G3" s="175"/>
      <c r="H3" s="22"/>
      <c r="I3" s="175"/>
      <c r="J3" s="175"/>
      <c r="K3" s="175"/>
      <c r="L3" s="175"/>
      <c r="M3" s="175"/>
      <c r="N3" s="175"/>
      <c r="O3" s="175"/>
      <c r="P3" s="175"/>
      <c r="Q3" s="175"/>
      <c r="R3" s="22"/>
      <c r="S3" s="22"/>
      <c r="T3" s="22"/>
      <c r="U3" s="22"/>
      <c r="V3" s="175"/>
      <c r="W3" s="175"/>
      <c r="X3" s="175"/>
      <c r="Y3" s="175"/>
      <c r="Z3" s="175"/>
      <c r="AA3" s="175"/>
      <c r="AB3" s="175"/>
      <c r="AC3" s="175"/>
      <c r="AD3" s="175"/>
      <c r="AE3" s="175"/>
      <c r="AF3" s="175"/>
      <c r="AG3" s="22"/>
      <c r="AH3" s="22"/>
      <c r="AI3" s="22"/>
    </row>
    <row r="4" spans="1:41" x14ac:dyDescent="0.25">
      <c r="A4" s="168" t="s">
        <v>16</v>
      </c>
      <c r="B4" s="169">
        <f>'ABP Under Contract'!B4</f>
        <v>177254</v>
      </c>
      <c r="C4" s="169">
        <f>'ABP Under Contract'!C4</f>
        <v>355630</v>
      </c>
      <c r="D4" s="169">
        <f>'ABP Under Contract'!D4</f>
        <v>127823</v>
      </c>
      <c r="E4" s="169">
        <f>'ABP Under Contract'!E4</f>
        <v>0</v>
      </c>
      <c r="F4" s="169">
        <f>'ABP Under Contract'!F4</f>
        <v>0</v>
      </c>
      <c r="G4" s="169">
        <f>'ABP Under Contract'!G4</f>
        <v>0</v>
      </c>
      <c r="H4" s="165">
        <f>SUM(B4:G4)</f>
        <v>660707</v>
      </c>
      <c r="I4" s="169">
        <v>1830409</v>
      </c>
      <c r="J4" s="169">
        <v>31316</v>
      </c>
      <c r="K4" s="169">
        <v>3273</v>
      </c>
      <c r="L4" s="169">
        <v>730000</v>
      </c>
      <c r="M4" s="169">
        <f>M33+M61+M89</f>
        <v>24313.292300000001</v>
      </c>
      <c r="N4" s="169" cm="1">
        <f t="array" ref="N4:P27">TRANSPOSE('Indexed REC Activities'!C74:Z76)</f>
        <v>0</v>
      </c>
      <c r="O4" s="169">
        <v>0</v>
      </c>
      <c r="P4" s="169">
        <v>0</v>
      </c>
      <c r="Q4" s="169">
        <v>58271.600000000006</v>
      </c>
      <c r="R4" s="165">
        <f t="shared" ref="R4:R26" si="0">SUM(I4:Q4)</f>
        <v>2677582.8922999999</v>
      </c>
      <c r="S4" s="165">
        <f>H4+J4+K4+M4+O4+P4+Q4</f>
        <v>777880.89229999995</v>
      </c>
      <c r="T4" s="165">
        <f>I4+L4+N4</f>
        <v>2560409</v>
      </c>
      <c r="U4" s="165">
        <f t="shared" ref="U4:U27" si="1">H4+R4</f>
        <v>3338289.8922999999</v>
      </c>
      <c r="V4" s="24"/>
      <c r="W4" s="24"/>
      <c r="X4" s="24"/>
      <c r="Y4" s="24"/>
      <c r="Z4" s="24"/>
      <c r="AA4" s="24"/>
      <c r="AB4" s="24" cm="1">
        <f t="array" ref="AB4:AD27">TRANSPOSE('Indexed REC Activities'!C80:Z82)</f>
        <v>0</v>
      </c>
      <c r="AC4" s="24">
        <v>0</v>
      </c>
      <c r="AD4" s="24">
        <v>0</v>
      </c>
      <c r="AE4" s="24"/>
      <c r="AF4" s="24"/>
      <c r="AG4" s="165">
        <f>SUM(V4:AF4)</f>
        <v>0</v>
      </c>
      <c r="AH4" s="165">
        <f>H4+R4+AG4</f>
        <v>3338289.8922999999</v>
      </c>
      <c r="AI4" s="182">
        <f>AH4/'Collections and ACP'!E7</f>
        <v>2.7622852116278847E-2</v>
      </c>
      <c r="AJ4" s="176">
        <v>2839962.8922999999</v>
      </c>
      <c r="AK4" s="176">
        <f>AH4-AJ4</f>
        <v>498327</v>
      </c>
      <c r="AL4" s="163">
        <f>H4+J4+K4+M4+Q4+V4+W4+X4+Y4+Z4+AA4+AC4+AD4+AF4+O4+P4+AE4</f>
        <v>777880.89229999995</v>
      </c>
      <c r="AM4" s="163">
        <f>I4+L4+AB4+N4</f>
        <v>2560409</v>
      </c>
      <c r="AN4" s="96">
        <f>AL4/(AL4+AM4)</f>
        <v>0.2330177777832407</v>
      </c>
      <c r="AO4" s="96">
        <f>1-AN4</f>
        <v>0.76698222221675927</v>
      </c>
    </row>
    <row r="5" spans="1:41" x14ac:dyDescent="0.25">
      <c r="A5" s="168" t="s">
        <v>17</v>
      </c>
      <c r="B5" s="169">
        <f>'ABP Under Contract'!B5</f>
        <v>234148</v>
      </c>
      <c r="C5" s="169">
        <f>'ABP Under Contract'!C5</f>
        <v>447752</v>
      </c>
      <c r="D5" s="169">
        <f>'ABP Under Contract'!D5</f>
        <v>361977</v>
      </c>
      <c r="E5" s="169">
        <f>'ABP Under Contract'!E5</f>
        <v>0</v>
      </c>
      <c r="F5" s="169">
        <f>'ABP Under Contract'!F5</f>
        <v>0</v>
      </c>
      <c r="G5" s="169">
        <f>'ABP Under Contract'!G5</f>
        <v>0</v>
      </c>
      <c r="H5" s="165">
        <f t="shared" ref="H5:H26" si="2">SUM(B5:G5)</f>
        <v>1043877</v>
      </c>
      <c r="I5" s="169">
        <v>1830409</v>
      </c>
      <c r="J5" s="169">
        <v>31316</v>
      </c>
      <c r="K5" s="169">
        <v>21732</v>
      </c>
      <c r="L5" s="169">
        <v>2065519</v>
      </c>
      <c r="M5" s="169">
        <f t="shared" ref="M5:M27" si="3">M34+M62+M90</f>
        <v>927320.57460000005</v>
      </c>
      <c r="N5" s="169">
        <v>0</v>
      </c>
      <c r="O5" s="169">
        <v>0</v>
      </c>
      <c r="P5" s="169">
        <v>0</v>
      </c>
      <c r="Q5" s="169">
        <v>65181.53333333334</v>
      </c>
      <c r="R5" s="165">
        <f t="shared" si="0"/>
        <v>4941478.1079333331</v>
      </c>
      <c r="S5" s="165">
        <f t="shared" ref="S5:S27" si="4">H5+J5+K5+M5+O5+P5+Q5</f>
        <v>2089427.1079333334</v>
      </c>
      <c r="T5" s="165">
        <f t="shared" ref="T5:T27" si="5">I5+L5+N5</f>
        <v>3895928</v>
      </c>
      <c r="U5" s="165">
        <f t="shared" si="1"/>
        <v>5985355.1079333331</v>
      </c>
      <c r="V5" s="165"/>
      <c r="W5" s="165"/>
      <c r="X5" s="165"/>
      <c r="Y5" s="165"/>
      <c r="Z5" s="165"/>
      <c r="AA5" s="165"/>
      <c r="AB5" s="165">
        <v>0</v>
      </c>
      <c r="AC5" s="165">
        <v>0</v>
      </c>
      <c r="AD5" s="165">
        <v>0</v>
      </c>
      <c r="AE5" s="25"/>
      <c r="AF5" s="25"/>
      <c r="AG5" s="165">
        <f t="shared" ref="AG5:AG26" si="6">SUM(V5:AF5)</f>
        <v>0</v>
      </c>
      <c r="AH5" s="165">
        <f t="shared" ref="AH5:AH26" si="7">H5+R5+AG5</f>
        <v>5985355.1079333331</v>
      </c>
      <c r="AI5" s="182">
        <f>AH5/'Collections and ACP'!E8</f>
        <v>4.9909803690878801E-2</v>
      </c>
      <c r="AJ5" s="176">
        <v>5490150.1079333331</v>
      </c>
      <c r="AK5" s="176">
        <f t="shared" ref="AK5:AK27" si="8">AH5-AJ5</f>
        <v>495205</v>
      </c>
      <c r="AL5" s="163">
        <f t="shared" ref="AL5:AL27" si="9">H5+J5+K5+M5+Q5+V5+W5+X5+Y5+Z5+AA5+AC5+AD5+AF5+O5+P5+AE5</f>
        <v>2089427.1079333334</v>
      </c>
      <c r="AM5" s="163">
        <f t="shared" ref="AM5:AM27" si="10">I5+L5+AB5+N5</f>
        <v>3895928</v>
      </c>
      <c r="AN5" s="96">
        <f t="shared" ref="AN5:AN27" si="11">AL5/(AL5+AM5)</f>
        <v>0.34908991534418515</v>
      </c>
      <c r="AO5" s="96">
        <f t="shared" ref="AO5:AO27" si="12">1-AN5</f>
        <v>0.6509100846558149</v>
      </c>
    </row>
    <row r="6" spans="1:41" x14ac:dyDescent="0.25">
      <c r="A6" s="168" t="s">
        <v>18</v>
      </c>
      <c r="B6" s="169">
        <f>'ABP Under Contract'!B6</f>
        <v>319118</v>
      </c>
      <c r="C6" s="169">
        <f>'ABP Under Contract'!C6</f>
        <v>484287</v>
      </c>
      <c r="D6" s="169">
        <f>'ABP Under Contract'!D6</f>
        <v>439459</v>
      </c>
      <c r="E6" s="169">
        <f>'ABP Under Contract'!E6</f>
        <v>0</v>
      </c>
      <c r="F6" s="169">
        <f>'ABP Under Contract'!F6</f>
        <v>0</v>
      </c>
      <c r="G6" s="169">
        <f>'ABP Under Contract'!G6</f>
        <v>0</v>
      </c>
      <c r="H6" s="165">
        <f t="shared" si="2"/>
        <v>1242864</v>
      </c>
      <c r="I6" s="169">
        <v>1830409</v>
      </c>
      <c r="J6" s="169">
        <v>31316</v>
      </c>
      <c r="K6" s="169">
        <v>5613</v>
      </c>
      <c r="L6" s="169">
        <v>2065519</v>
      </c>
      <c r="M6" s="169">
        <f t="shared" si="3"/>
        <v>1995629.5746000002</v>
      </c>
      <c r="N6" s="169">
        <v>0</v>
      </c>
      <c r="O6" s="169">
        <v>0</v>
      </c>
      <c r="P6" s="169">
        <v>0</v>
      </c>
      <c r="Q6" s="169">
        <v>64855.625666666674</v>
      </c>
      <c r="R6" s="165">
        <f t="shared" si="0"/>
        <v>5993342.2002666667</v>
      </c>
      <c r="S6" s="165">
        <f t="shared" si="4"/>
        <v>3340278.2002666667</v>
      </c>
      <c r="T6" s="165">
        <f>I6+L6+N6</f>
        <v>3895928</v>
      </c>
      <c r="U6" s="165">
        <f t="shared" si="1"/>
        <v>7236206.2002666667</v>
      </c>
      <c r="V6" s="26"/>
      <c r="W6" s="26"/>
      <c r="X6" s="26"/>
      <c r="Y6" s="26"/>
      <c r="Z6" s="26"/>
      <c r="AA6" s="26"/>
      <c r="AB6" s="27">
        <v>0</v>
      </c>
      <c r="AC6" s="27">
        <v>0</v>
      </c>
      <c r="AD6" s="27">
        <v>0</v>
      </c>
      <c r="AE6" s="27"/>
      <c r="AF6" s="27"/>
      <c r="AG6" s="165">
        <f t="shared" si="6"/>
        <v>0</v>
      </c>
      <c r="AH6" s="165">
        <f t="shared" si="7"/>
        <v>7236206.2002666667</v>
      </c>
      <c r="AI6" s="182">
        <f>AH6/'Collections and ACP'!E9</f>
        <v>6.0150176220310408E-2</v>
      </c>
      <c r="AJ6" s="176">
        <v>6755290.2002666667</v>
      </c>
      <c r="AK6" s="176">
        <f t="shared" si="8"/>
        <v>480916</v>
      </c>
      <c r="AL6" s="163">
        <f t="shared" si="9"/>
        <v>3340278.2002666667</v>
      </c>
      <c r="AM6" s="163">
        <f t="shared" si="10"/>
        <v>3895928</v>
      </c>
      <c r="AN6" s="96">
        <f t="shared" si="11"/>
        <v>0.46160627652423331</v>
      </c>
      <c r="AO6" s="96">
        <f t="shared" si="12"/>
        <v>0.53839372347576675</v>
      </c>
    </row>
    <row r="7" spans="1:41" x14ac:dyDescent="0.25">
      <c r="A7" s="168" t="s">
        <v>19</v>
      </c>
      <c r="B7" s="169">
        <f>'ABP Under Contract'!B7</f>
        <v>605506</v>
      </c>
      <c r="C7" s="169">
        <f>'ABP Under Contract'!C7</f>
        <v>568289</v>
      </c>
      <c r="D7" s="169">
        <f>'ABP Under Contract'!D7</f>
        <v>586683</v>
      </c>
      <c r="E7" s="169">
        <f>'ABP Under Contract'!E7</f>
        <v>0</v>
      </c>
      <c r="F7" s="169">
        <f>'ABP Under Contract'!F7</f>
        <v>0</v>
      </c>
      <c r="G7" s="169">
        <f>'ABP Under Contract'!G7</f>
        <v>0</v>
      </c>
      <c r="H7" s="165">
        <f t="shared" si="2"/>
        <v>1760478</v>
      </c>
      <c r="I7" s="169">
        <v>1830409</v>
      </c>
      <c r="J7" s="169">
        <v>31316</v>
      </c>
      <c r="K7" s="28"/>
      <c r="L7" s="169">
        <v>2065519</v>
      </c>
      <c r="M7" s="169">
        <f t="shared" si="3"/>
        <v>1995629.5746000002</v>
      </c>
      <c r="N7" s="169">
        <v>0</v>
      </c>
      <c r="O7" s="169">
        <v>0</v>
      </c>
      <c r="P7" s="169">
        <v>0</v>
      </c>
      <c r="Q7" s="169">
        <v>64531.347538333343</v>
      </c>
      <c r="R7" s="165">
        <f t="shared" si="0"/>
        <v>5987404.9221383333</v>
      </c>
      <c r="S7" s="165">
        <f t="shared" si="4"/>
        <v>3851954.9221383333</v>
      </c>
      <c r="T7" s="165">
        <f t="shared" si="5"/>
        <v>3895928</v>
      </c>
      <c r="U7" s="165">
        <f t="shared" si="1"/>
        <v>7747882.9221383333</v>
      </c>
      <c r="V7" s="26"/>
      <c r="W7" s="26"/>
      <c r="X7" s="26"/>
      <c r="Y7" s="26"/>
      <c r="Z7" s="26"/>
      <c r="AA7" s="26"/>
      <c r="AB7" s="27">
        <v>0</v>
      </c>
      <c r="AC7" s="27">
        <v>0</v>
      </c>
      <c r="AD7" s="27">
        <v>0</v>
      </c>
      <c r="AE7" s="27"/>
      <c r="AF7" s="27">
        <v>47000</v>
      </c>
      <c r="AG7" s="165">
        <f>SUM(V7:AF7)</f>
        <v>47000</v>
      </c>
      <c r="AH7" s="165">
        <f>H7+R7+AG7</f>
        <v>7794882.9221383333</v>
      </c>
      <c r="AI7" s="182">
        <f>AH7/'Collections and ACP'!E10</f>
        <v>6.5899406200576577E-2</v>
      </c>
      <c r="AJ7" s="176">
        <v>7191317.9221383333</v>
      </c>
      <c r="AK7" s="176">
        <f t="shared" si="8"/>
        <v>603565</v>
      </c>
      <c r="AL7" s="163">
        <f t="shared" si="9"/>
        <v>3898954.9221383333</v>
      </c>
      <c r="AM7" s="163">
        <f t="shared" si="10"/>
        <v>3895928</v>
      </c>
      <c r="AN7" s="96">
        <f t="shared" si="11"/>
        <v>0.50019416084683821</v>
      </c>
      <c r="AO7" s="96">
        <f t="shared" si="12"/>
        <v>0.49980583915316179</v>
      </c>
    </row>
    <row r="8" spans="1:41" x14ac:dyDescent="0.25">
      <c r="A8" s="168" t="s">
        <v>21</v>
      </c>
      <c r="B8" s="169">
        <f>'ABP Under Contract'!B8</f>
        <v>761884</v>
      </c>
      <c r="C8" s="169">
        <f>'ABP Under Contract'!C8</f>
        <v>849364</v>
      </c>
      <c r="D8" s="169">
        <f>'ABP Under Contract'!D8</f>
        <v>997609</v>
      </c>
      <c r="E8" s="169">
        <f>'ABP Under Contract'!E8</f>
        <v>1664</v>
      </c>
      <c r="F8" s="169">
        <f>'ABP Under Contract'!F8</f>
        <v>6313</v>
      </c>
      <c r="G8" s="169">
        <f>'ABP Under Contract'!G8</f>
        <v>0</v>
      </c>
      <c r="H8" s="165">
        <f t="shared" si="2"/>
        <v>2616834</v>
      </c>
      <c r="I8" s="169">
        <v>1830409</v>
      </c>
      <c r="J8" s="169">
        <v>31316</v>
      </c>
      <c r="K8" s="28"/>
      <c r="L8" s="169">
        <v>2065519</v>
      </c>
      <c r="M8" s="169">
        <f t="shared" si="3"/>
        <v>1995629.5746000002</v>
      </c>
      <c r="N8" s="169">
        <v>0</v>
      </c>
      <c r="O8" s="169">
        <v>0</v>
      </c>
      <c r="P8" s="169">
        <v>0</v>
      </c>
      <c r="Q8" s="169">
        <v>64208.690800641678</v>
      </c>
      <c r="R8" s="165">
        <f t="shared" si="0"/>
        <v>5987082.2654006416</v>
      </c>
      <c r="S8" s="165">
        <f t="shared" si="4"/>
        <v>4707988.2654006416</v>
      </c>
      <c r="T8" s="165">
        <f t="shared" si="5"/>
        <v>3895928</v>
      </c>
      <c r="U8" s="165">
        <f t="shared" si="1"/>
        <v>8603916.2654006407</v>
      </c>
      <c r="V8" s="11" cm="1">
        <f t="array" ref="V8:AA27">TRANSPOSE('Projected ABP RECs'!B164:U169)</f>
        <v>0</v>
      </c>
      <c r="W8" s="26">
        <v>0</v>
      </c>
      <c r="X8" s="26">
        <v>0</v>
      </c>
      <c r="Y8" s="26">
        <v>0</v>
      </c>
      <c r="Z8" s="26">
        <v>0</v>
      </c>
      <c r="AA8" s="26">
        <v>0</v>
      </c>
      <c r="AB8" s="27">
        <v>0</v>
      </c>
      <c r="AC8" s="27">
        <v>0</v>
      </c>
      <c r="AD8" s="27">
        <v>0</v>
      </c>
      <c r="AE8" s="27">
        <v>379110</v>
      </c>
      <c r="AF8" s="27">
        <v>93530</v>
      </c>
      <c r="AG8" s="165">
        <f>SUM(V8:AF8)</f>
        <v>472640</v>
      </c>
      <c r="AH8" s="165">
        <f t="shared" si="7"/>
        <v>9076556.2654006407</v>
      </c>
      <c r="AI8" s="182">
        <f>AH8/'Collections and ACP'!E11</f>
        <v>7.7281136885415463E-2</v>
      </c>
      <c r="AJ8" s="176">
        <v>9319906.5583002046</v>
      </c>
      <c r="AK8" s="176">
        <f t="shared" si="8"/>
        <v>-243350.29289956391</v>
      </c>
      <c r="AL8" s="163">
        <f t="shared" si="9"/>
        <v>5180628.2654006416</v>
      </c>
      <c r="AM8" s="163">
        <f t="shared" si="10"/>
        <v>3895928</v>
      </c>
      <c r="AN8" s="96">
        <f t="shared" si="11"/>
        <v>0.57077024742841365</v>
      </c>
      <c r="AO8" s="96">
        <f t="shared" si="12"/>
        <v>0.42922975257158635</v>
      </c>
    </row>
    <row r="9" spans="1:41" x14ac:dyDescent="0.25">
      <c r="A9" s="168" t="s">
        <v>22</v>
      </c>
      <c r="B9" s="169">
        <f>'ABP Under Contract'!B9</f>
        <v>845401</v>
      </c>
      <c r="C9" s="169">
        <f>'ABP Under Contract'!C9</f>
        <v>1073418</v>
      </c>
      <c r="D9" s="169">
        <f>'ABP Under Contract'!D9</f>
        <v>1759101</v>
      </c>
      <c r="E9" s="169">
        <f>'ABP Under Contract'!E9</f>
        <v>32347</v>
      </c>
      <c r="F9" s="169">
        <f>'ABP Under Contract'!F9</f>
        <v>157401</v>
      </c>
      <c r="G9" s="169">
        <f>'ABP Under Contract'!G9</f>
        <v>815558</v>
      </c>
      <c r="H9" s="165">
        <f t="shared" si="2"/>
        <v>4683226</v>
      </c>
      <c r="I9" s="169">
        <v>1830409</v>
      </c>
      <c r="J9" s="169">
        <v>31316</v>
      </c>
      <c r="K9" s="28"/>
      <c r="L9" s="169">
        <v>2065519</v>
      </c>
      <c r="M9" s="169">
        <f t="shared" si="3"/>
        <v>2565628.5745999999</v>
      </c>
      <c r="N9" s="169">
        <v>76224.164383561641</v>
      </c>
      <c r="O9" s="169">
        <v>109095.89041095891</v>
      </c>
      <c r="P9" s="169">
        <v>817.89041095890411</v>
      </c>
      <c r="Q9" s="169">
        <v>63887.64734663847</v>
      </c>
      <c r="R9" s="165">
        <f t="shared" si="0"/>
        <v>6742898.167152117</v>
      </c>
      <c r="S9" s="165">
        <f t="shared" si="4"/>
        <v>7453972.0027685557</v>
      </c>
      <c r="T9" s="165">
        <f t="shared" si="5"/>
        <v>3972152.1643835618</v>
      </c>
      <c r="U9" s="165">
        <f t="shared" si="1"/>
        <v>11426124.167152118</v>
      </c>
      <c r="V9" s="11">
        <v>33039.493113768054</v>
      </c>
      <c r="W9" s="11">
        <v>72006.831323747145</v>
      </c>
      <c r="X9" s="11">
        <v>0</v>
      </c>
      <c r="Y9" s="11">
        <v>210287.16032034397</v>
      </c>
      <c r="Z9" s="11">
        <v>0</v>
      </c>
      <c r="AA9" s="11">
        <v>82474.584510483939</v>
      </c>
      <c r="AB9" s="27">
        <v>0</v>
      </c>
      <c r="AC9" s="27">
        <v>0</v>
      </c>
      <c r="AD9" s="27">
        <v>0</v>
      </c>
      <c r="AE9" s="27">
        <v>379110</v>
      </c>
      <c r="AF9" s="27">
        <v>140295</v>
      </c>
      <c r="AG9" s="165">
        <f t="shared" si="6"/>
        <v>917213.06926834304</v>
      </c>
      <c r="AH9" s="165">
        <f t="shared" si="7"/>
        <v>12343337.23642046</v>
      </c>
      <c r="AI9" s="182">
        <f>AH9/'Collections and ACP'!E12</f>
        <v>0.10542927154872085</v>
      </c>
      <c r="AJ9" s="176">
        <v>13756961.622285817</v>
      </c>
      <c r="AK9" s="176">
        <f t="shared" si="8"/>
        <v>-1413624.3858653568</v>
      </c>
      <c r="AL9" s="163">
        <f t="shared" si="9"/>
        <v>8371185.0720368996</v>
      </c>
      <c r="AM9" s="163">
        <f t="shared" si="10"/>
        <v>3972152.1643835618</v>
      </c>
      <c r="AN9" s="96">
        <f t="shared" si="11"/>
        <v>0.67819463340406339</v>
      </c>
      <c r="AO9" s="96">
        <f t="shared" si="12"/>
        <v>0.32180536659593661</v>
      </c>
    </row>
    <row r="10" spans="1:41" s="174" customFormat="1" x14ac:dyDescent="0.25">
      <c r="A10" s="316" t="s">
        <v>23</v>
      </c>
      <c r="B10" s="63">
        <f>'ABP Under Contract'!B10</f>
        <v>871386</v>
      </c>
      <c r="C10" s="63">
        <f>'ABP Under Contract'!C10</f>
        <v>1098594</v>
      </c>
      <c r="D10" s="63">
        <f>'ABP Under Contract'!D10</f>
        <v>2214814</v>
      </c>
      <c r="E10" s="63">
        <f>'ABP Under Contract'!E10</f>
        <v>44019</v>
      </c>
      <c r="F10" s="63">
        <f>'ABP Under Contract'!F10</f>
        <v>236618</v>
      </c>
      <c r="G10" s="63">
        <f>'ABP Under Contract'!G10</f>
        <v>1119782</v>
      </c>
      <c r="H10" s="317">
        <f t="shared" si="2"/>
        <v>5585213</v>
      </c>
      <c r="I10" s="63">
        <v>1830409</v>
      </c>
      <c r="J10" s="63">
        <v>31316</v>
      </c>
      <c r="K10" s="318"/>
      <c r="L10" s="63">
        <v>2065519</v>
      </c>
      <c r="M10" s="63">
        <f t="shared" si="3"/>
        <v>2565628.5745999999</v>
      </c>
      <c r="N10" s="63">
        <v>580274.35061643831</v>
      </c>
      <c r="O10" s="63">
        <v>447421.76438356168</v>
      </c>
      <c r="P10" s="63">
        <v>13736.639520547946</v>
      </c>
      <c r="Q10" s="63">
        <v>63568.209109905278</v>
      </c>
      <c r="R10" s="317">
        <f t="shared" si="0"/>
        <v>7597873.5382304536</v>
      </c>
      <c r="S10" s="317">
        <f t="shared" si="4"/>
        <v>8706884.1876140162</v>
      </c>
      <c r="T10" s="317">
        <f>I10+L10+N10</f>
        <v>4476202.3506164383</v>
      </c>
      <c r="U10" s="317">
        <f t="shared" si="1"/>
        <v>13183086.538230453</v>
      </c>
      <c r="V10" s="319">
        <v>207875.02737299923</v>
      </c>
      <c r="W10" s="319">
        <v>257964.44602015783</v>
      </c>
      <c r="X10" s="319">
        <v>32794.750999999997</v>
      </c>
      <c r="Y10" s="319">
        <v>363265.25731874222</v>
      </c>
      <c r="Z10" s="319">
        <v>0</v>
      </c>
      <c r="AA10" s="319">
        <v>289081.82142463082</v>
      </c>
      <c r="AB10" s="320">
        <v>0</v>
      </c>
      <c r="AC10" s="320">
        <v>0</v>
      </c>
      <c r="AD10" s="320">
        <v>0</v>
      </c>
      <c r="AE10" s="320">
        <v>379110</v>
      </c>
      <c r="AF10" s="320">
        <v>187060</v>
      </c>
      <c r="AG10" s="317">
        <f t="shared" si="6"/>
        <v>1717151.3031365301</v>
      </c>
      <c r="AH10" s="317">
        <f t="shared" si="7"/>
        <v>14900237.841366982</v>
      </c>
      <c r="AI10" s="321">
        <f>AH10/'Collections and ACP'!E13</f>
        <v>0.12779151232366417</v>
      </c>
      <c r="AJ10" s="265">
        <v>16967213.8996915</v>
      </c>
      <c r="AK10" s="265">
        <f t="shared" si="8"/>
        <v>-2066976.0583245177</v>
      </c>
      <c r="AL10" s="280">
        <f t="shared" si="9"/>
        <v>10424035.490750547</v>
      </c>
      <c r="AM10" s="280">
        <f t="shared" si="10"/>
        <v>4476202.3506164383</v>
      </c>
      <c r="AN10" s="322">
        <f t="shared" si="11"/>
        <v>0.69958853017840283</v>
      </c>
      <c r="AO10" s="322">
        <f t="shared" si="12"/>
        <v>0.30041146982159717</v>
      </c>
    </row>
    <row r="11" spans="1:41" x14ac:dyDescent="0.25">
      <c r="A11" s="168" t="s">
        <v>24</v>
      </c>
      <c r="B11" s="169">
        <f>'ABP Under Contract'!B11</f>
        <v>866846</v>
      </c>
      <c r="C11" s="169">
        <f>'ABP Under Contract'!C11</f>
        <v>1093087</v>
      </c>
      <c r="D11" s="169">
        <f>'ABP Under Contract'!D11</f>
        <v>2203744</v>
      </c>
      <c r="E11" s="169">
        <f>'ABP Under Contract'!E11</f>
        <v>43798</v>
      </c>
      <c r="F11" s="169">
        <f>'ABP Under Contract'!F11</f>
        <v>235428</v>
      </c>
      <c r="G11" s="169">
        <f>'ABP Under Contract'!G11</f>
        <v>1114181</v>
      </c>
      <c r="H11" s="165">
        <f t="shared" si="2"/>
        <v>5557084</v>
      </c>
      <c r="I11" s="169">
        <v>1830409</v>
      </c>
      <c r="J11" s="169">
        <v>31316</v>
      </c>
      <c r="K11" s="28"/>
      <c r="L11" s="169">
        <v>2065519</v>
      </c>
      <c r="M11" s="169">
        <f t="shared" si="3"/>
        <v>2565628.5745999999</v>
      </c>
      <c r="N11" s="169">
        <v>1810941.1273972602</v>
      </c>
      <c r="O11" s="169">
        <v>1993603.1123630137</v>
      </c>
      <c r="P11" s="169">
        <v>51028.273775000009</v>
      </c>
      <c r="Q11" s="169">
        <v>63250.368064355753</v>
      </c>
      <c r="R11" s="165">
        <f t="shared" si="0"/>
        <v>10411695.456199629</v>
      </c>
      <c r="S11" s="165">
        <f t="shared" si="4"/>
        <v>10261910.32880237</v>
      </c>
      <c r="T11" s="165">
        <f t="shared" si="5"/>
        <v>5706869.1273972597</v>
      </c>
      <c r="U11" s="165">
        <f t="shared" si="1"/>
        <v>15968779.456199629</v>
      </c>
      <c r="V11" s="11">
        <v>381836.38396093424</v>
      </c>
      <c r="W11" s="11">
        <v>442992.27264308644</v>
      </c>
      <c r="X11" s="11">
        <v>352538.26844499994</v>
      </c>
      <c r="Y11" s="11">
        <v>515478.46383214853</v>
      </c>
      <c r="Z11" s="11">
        <v>47393.702399999995</v>
      </c>
      <c r="AA11" s="11">
        <v>494656.02215420705</v>
      </c>
      <c r="AB11" s="27">
        <v>0</v>
      </c>
      <c r="AC11" s="27">
        <v>0</v>
      </c>
      <c r="AD11" s="27">
        <v>0</v>
      </c>
      <c r="AE11" s="27">
        <v>379110</v>
      </c>
      <c r="AF11" s="27">
        <v>233825</v>
      </c>
      <c r="AG11" s="165">
        <f t="shared" si="6"/>
        <v>2847830.113435376</v>
      </c>
      <c r="AH11" s="165">
        <f t="shared" si="7"/>
        <v>18816609.569635004</v>
      </c>
      <c r="AI11" s="182">
        <f>AH11/'Collections and ACP'!E14</f>
        <v>0.15952833886679074</v>
      </c>
      <c r="AJ11" s="176">
        <v>26963739.245710157</v>
      </c>
      <c r="AK11" s="176">
        <f t="shared" si="8"/>
        <v>-8147129.6760751531</v>
      </c>
      <c r="AL11" s="163">
        <f t="shared" si="9"/>
        <v>13109740.442237746</v>
      </c>
      <c r="AM11" s="163">
        <f t="shared" si="10"/>
        <v>5706869.1273972597</v>
      </c>
      <c r="AN11" s="96">
        <f t="shared" si="11"/>
        <v>0.69671108356275702</v>
      </c>
      <c r="AO11" s="96">
        <f t="shared" si="12"/>
        <v>0.30328891643724298</v>
      </c>
    </row>
    <row r="12" spans="1:41" x14ac:dyDescent="0.25">
      <c r="A12" s="168" t="s">
        <v>25</v>
      </c>
      <c r="B12" s="169">
        <f>'ABP Under Contract'!B12</f>
        <v>862344</v>
      </c>
      <c r="C12" s="169">
        <f>'ABP Under Contract'!C12</f>
        <v>1087648</v>
      </c>
      <c r="D12" s="169">
        <f>'ABP Under Contract'!D12</f>
        <v>2192722</v>
      </c>
      <c r="E12" s="169">
        <f>'ABP Under Contract'!E12</f>
        <v>43579</v>
      </c>
      <c r="F12" s="169">
        <f>'ABP Under Contract'!F12</f>
        <v>234256</v>
      </c>
      <c r="G12" s="169">
        <f>'ABP Under Contract'!G12</f>
        <v>1108614</v>
      </c>
      <c r="H12" s="165">
        <f>SUM(B12:G12)</f>
        <v>5529163</v>
      </c>
      <c r="I12" s="169">
        <v>1830409</v>
      </c>
      <c r="J12" s="169">
        <v>31316</v>
      </c>
      <c r="K12" s="28"/>
      <c r="L12" s="169">
        <v>2065519</v>
      </c>
      <c r="M12" s="169">
        <f t="shared" si="3"/>
        <v>2565628.5745999999</v>
      </c>
      <c r="N12" s="169">
        <v>3105369.0554109588</v>
      </c>
      <c r="O12" s="169">
        <v>4713686.4187190067</v>
      </c>
      <c r="P12" s="169">
        <v>156507.28066734999</v>
      </c>
      <c r="Q12" s="169">
        <v>62934.116224033976</v>
      </c>
      <c r="R12" s="165">
        <f t="shared" si="0"/>
        <v>14531369.445621349</v>
      </c>
      <c r="S12" s="165">
        <f t="shared" si="4"/>
        <v>13059235.39021039</v>
      </c>
      <c r="T12" s="165">
        <f t="shared" si="5"/>
        <v>7001297.0554109588</v>
      </c>
      <c r="U12" s="165">
        <f t="shared" si="1"/>
        <v>20060532.445621349</v>
      </c>
      <c r="V12" s="11">
        <v>554927.93376592966</v>
      </c>
      <c r="W12" s="11">
        <v>627094.96013290039</v>
      </c>
      <c r="X12" s="11">
        <v>670683.0683027748</v>
      </c>
      <c r="Y12" s="11">
        <v>666930.60431298777</v>
      </c>
      <c r="Z12" s="11">
        <v>94550.436287999997</v>
      </c>
      <c r="AA12" s="11">
        <v>699202.35188013536</v>
      </c>
      <c r="AB12" s="27">
        <v>2500000</v>
      </c>
      <c r="AC12" s="27">
        <v>666666</v>
      </c>
      <c r="AD12" s="27">
        <v>85000</v>
      </c>
      <c r="AE12" s="27">
        <v>379110</v>
      </c>
      <c r="AF12" s="27">
        <v>280590</v>
      </c>
      <c r="AG12" s="165">
        <f t="shared" si="6"/>
        <v>7224755.3546827286</v>
      </c>
      <c r="AH12" s="165">
        <f t="shared" si="7"/>
        <v>27285287.800304078</v>
      </c>
      <c r="AI12" s="182">
        <f>AH12/'Collections and ACP'!E15</f>
        <v>0.22707374028134497</v>
      </c>
      <c r="AJ12" s="176">
        <v>31948053.689998716</v>
      </c>
      <c r="AK12" s="176">
        <f t="shared" si="8"/>
        <v>-4662765.8896946386</v>
      </c>
      <c r="AL12" s="163">
        <f t="shared" si="9"/>
        <v>17783990.744893119</v>
      </c>
      <c r="AM12" s="163">
        <f t="shared" si="10"/>
        <v>9501297.0554109588</v>
      </c>
      <c r="AN12" s="96">
        <f t="shared" si="11"/>
        <v>0.65177948186036461</v>
      </c>
      <c r="AO12" s="96">
        <f t="shared" si="12"/>
        <v>0.34822051813963539</v>
      </c>
    </row>
    <row r="13" spans="1:41" x14ac:dyDescent="0.25">
      <c r="A13" s="168" t="s">
        <v>26</v>
      </c>
      <c r="B13" s="169">
        <f>'ABP Under Contract'!B13</f>
        <v>857957</v>
      </c>
      <c r="C13" s="169">
        <f>'ABP Under Contract'!C13</f>
        <v>1082224</v>
      </c>
      <c r="D13" s="169">
        <f>'ABP Under Contract'!D13</f>
        <v>2181742</v>
      </c>
      <c r="E13" s="169">
        <f>'ABP Under Contract'!E13</f>
        <v>43363</v>
      </c>
      <c r="F13" s="169">
        <f>'ABP Under Contract'!F13</f>
        <v>233083</v>
      </c>
      <c r="G13" s="169">
        <f>'ABP Under Contract'!G13</f>
        <v>1103064</v>
      </c>
      <c r="H13" s="165">
        <f t="shared" si="2"/>
        <v>5501433</v>
      </c>
      <c r="I13" s="169">
        <v>1830409</v>
      </c>
      <c r="J13" s="169">
        <v>31316</v>
      </c>
      <c r="K13" s="28"/>
      <c r="L13" s="169">
        <v>2065519</v>
      </c>
      <c r="M13" s="169">
        <f t="shared" si="3"/>
        <v>2565628.5745999999</v>
      </c>
      <c r="N13" s="169">
        <v>3671180.3649999998</v>
      </c>
      <c r="O13" s="169">
        <v>5380752.5349541791</v>
      </c>
      <c r="P13" s="169">
        <v>155724.74426401325</v>
      </c>
      <c r="Q13" s="169">
        <v>62619.445642913808</v>
      </c>
      <c r="R13" s="165">
        <f t="shared" si="0"/>
        <v>15763149.664461108</v>
      </c>
      <c r="S13" s="165">
        <f t="shared" si="4"/>
        <v>13697474.299461108</v>
      </c>
      <c r="T13" s="165">
        <f t="shared" si="5"/>
        <v>7567108.3650000002</v>
      </c>
      <c r="U13" s="165">
        <f t="shared" si="1"/>
        <v>21264582.664461106</v>
      </c>
      <c r="V13" s="11">
        <v>727154.0258219</v>
      </c>
      <c r="W13" s="11">
        <v>810277.13418526528</v>
      </c>
      <c r="X13" s="11">
        <v>987237.14416126092</v>
      </c>
      <c r="Y13" s="11">
        <v>817625.48409142275</v>
      </c>
      <c r="Z13" s="11">
        <v>141471.38650655997</v>
      </c>
      <c r="AA13" s="11">
        <v>902725.94995743397</v>
      </c>
      <c r="AB13" s="27">
        <v>5000000</v>
      </c>
      <c r="AC13" s="27">
        <v>2163332.67</v>
      </c>
      <c r="AD13" s="27">
        <v>169575</v>
      </c>
      <c r="AE13" s="27">
        <v>379110</v>
      </c>
      <c r="AF13" s="27">
        <v>315751.65413533832</v>
      </c>
      <c r="AG13" s="165">
        <f t="shared" si="6"/>
        <v>12414260.448859181</v>
      </c>
      <c r="AH13" s="165">
        <f t="shared" si="7"/>
        <v>33678843.113320291</v>
      </c>
      <c r="AI13" s="182">
        <f>AH13/'Collections and ACP'!E16</f>
        <v>0.2730561977598196</v>
      </c>
      <c r="AJ13" s="176">
        <v>36908506.366201177</v>
      </c>
      <c r="AK13" s="176">
        <f t="shared" si="8"/>
        <v>-3229663.2528808862</v>
      </c>
      <c r="AL13" s="163">
        <f t="shared" si="9"/>
        <v>21111734.748320289</v>
      </c>
      <c r="AM13" s="163">
        <f t="shared" si="10"/>
        <v>12567108.365</v>
      </c>
      <c r="AN13" s="96">
        <f t="shared" si="11"/>
        <v>0.62685451151884741</v>
      </c>
      <c r="AO13" s="96">
        <f t="shared" si="12"/>
        <v>0.37314548848115259</v>
      </c>
    </row>
    <row r="14" spans="1:41" x14ac:dyDescent="0.25">
      <c r="A14" s="168" t="s">
        <v>27</v>
      </c>
      <c r="B14" s="169">
        <f>'ABP Under Contract'!B14</f>
        <v>853562</v>
      </c>
      <c r="C14" s="169">
        <f>'ABP Under Contract'!C14</f>
        <v>1076777</v>
      </c>
      <c r="D14" s="169">
        <f>'ABP Under Contract'!D14</f>
        <v>2170852</v>
      </c>
      <c r="E14" s="169">
        <f>'ABP Under Contract'!E14</f>
        <v>43146</v>
      </c>
      <c r="F14" s="169">
        <f>'ABP Under Contract'!F14</f>
        <v>231919</v>
      </c>
      <c r="G14" s="169">
        <f>'ABP Under Contract'!G14</f>
        <v>1097551</v>
      </c>
      <c r="H14" s="165">
        <f t="shared" si="2"/>
        <v>5473807</v>
      </c>
      <c r="I14" s="169">
        <v>1830409</v>
      </c>
      <c r="J14" s="169">
        <v>31316</v>
      </c>
      <c r="K14" s="28"/>
      <c r="L14" s="169">
        <v>2065519</v>
      </c>
      <c r="M14" s="169">
        <f t="shared" si="3"/>
        <v>2565628.5745999999</v>
      </c>
      <c r="N14" s="169">
        <v>3671180.3649999998</v>
      </c>
      <c r="O14" s="169">
        <v>5355399.3012914034</v>
      </c>
      <c r="P14" s="169">
        <v>154946.12054269318</v>
      </c>
      <c r="Q14" s="169">
        <v>62306.348414699241</v>
      </c>
      <c r="R14" s="165">
        <f t="shared" si="0"/>
        <v>15736704.709848797</v>
      </c>
      <c r="S14" s="165">
        <f t="shared" si="4"/>
        <v>13643403.344848795</v>
      </c>
      <c r="T14" s="165">
        <f t="shared" si="5"/>
        <v>7567108.3650000002</v>
      </c>
      <c r="U14" s="165">
        <f t="shared" si="1"/>
        <v>21210511.709848799</v>
      </c>
      <c r="V14" s="11">
        <v>898518.98741759057</v>
      </c>
      <c r="W14" s="11">
        <v>992543.39736736845</v>
      </c>
      <c r="X14" s="11">
        <v>1302208.4496404547</v>
      </c>
      <c r="Y14" s="11">
        <v>967566.88947096583</v>
      </c>
      <c r="Z14" s="11">
        <v>188157.73197402718</v>
      </c>
      <c r="AA14" s="11">
        <v>1105231.930044346</v>
      </c>
      <c r="AB14" s="27">
        <v>7500000</v>
      </c>
      <c r="AC14" s="27">
        <v>3652516.0066499999</v>
      </c>
      <c r="AD14" s="27">
        <v>253727.125</v>
      </c>
      <c r="AE14" s="27">
        <v>379110</v>
      </c>
      <c r="AF14" s="27">
        <v>350913.30827067664</v>
      </c>
      <c r="AG14" s="165">
        <f t="shared" si="6"/>
        <v>17590493.825835429</v>
      </c>
      <c r="AH14" s="165">
        <f t="shared" si="7"/>
        <v>38801005.535684228</v>
      </c>
      <c r="AI14" s="182">
        <f>AH14/'Collections and ACP'!E17</f>
        <v>0.30381987105763997</v>
      </c>
      <c r="AJ14" s="176">
        <v>41856771.792293303</v>
      </c>
      <c r="AK14" s="176">
        <f t="shared" si="8"/>
        <v>-3055766.2566090748</v>
      </c>
      <c r="AL14" s="163">
        <f t="shared" si="9"/>
        <v>23733897.17068423</v>
      </c>
      <c r="AM14" s="163">
        <f t="shared" si="10"/>
        <v>15067108.365</v>
      </c>
      <c r="AN14" s="96">
        <f t="shared" si="11"/>
        <v>0.61168252840398196</v>
      </c>
      <c r="AO14" s="96">
        <f t="shared" si="12"/>
        <v>0.38831747159601804</v>
      </c>
    </row>
    <row r="15" spans="1:41" x14ac:dyDescent="0.25">
      <c r="A15" s="168" t="s">
        <v>28</v>
      </c>
      <c r="B15" s="169">
        <f>'ABP Under Contract'!B15</f>
        <v>849298</v>
      </c>
      <c r="C15" s="169">
        <f>'ABP Under Contract'!C15</f>
        <v>1071409</v>
      </c>
      <c r="D15" s="169">
        <f>'ABP Under Contract'!D15</f>
        <v>2159986</v>
      </c>
      <c r="E15" s="169">
        <f>'ABP Under Contract'!E15</f>
        <v>42929</v>
      </c>
      <c r="F15" s="169">
        <f>'ABP Under Contract'!F15</f>
        <v>230758</v>
      </c>
      <c r="G15" s="169">
        <f>'ABP Under Contract'!G15</f>
        <v>1092063</v>
      </c>
      <c r="H15" s="165">
        <f t="shared" si="2"/>
        <v>5446443</v>
      </c>
      <c r="I15" s="169">
        <v>1830409</v>
      </c>
      <c r="J15" s="169">
        <v>31316</v>
      </c>
      <c r="K15" s="28"/>
      <c r="L15" s="169">
        <v>2065519</v>
      </c>
      <c r="M15" s="169">
        <f t="shared" si="3"/>
        <v>2565628.5745999999</v>
      </c>
      <c r="N15" s="169">
        <v>3671180.3649999998</v>
      </c>
      <c r="O15" s="169">
        <v>5328622.3047849461</v>
      </c>
      <c r="P15" s="169">
        <v>154171.38993997971</v>
      </c>
      <c r="Q15" s="169">
        <v>61994.816672625748</v>
      </c>
      <c r="R15" s="165">
        <f t="shared" si="0"/>
        <v>15708841.450997552</v>
      </c>
      <c r="S15" s="165">
        <f t="shared" si="4"/>
        <v>13588176.085997552</v>
      </c>
      <c r="T15" s="165">
        <f>I15+L15+N15</f>
        <v>7567108.3650000002</v>
      </c>
      <c r="U15" s="165">
        <f t="shared" si="1"/>
        <v>21155284.450997554</v>
      </c>
      <c r="V15" s="11">
        <v>1069027.1242053024</v>
      </c>
      <c r="W15" s="11">
        <v>1173898.3292335609</v>
      </c>
      <c r="X15" s="11">
        <v>1615604.8985922523</v>
      </c>
      <c r="Y15" s="11">
        <v>1116758.5878236108</v>
      </c>
      <c r="Z15" s="11">
        <v>234610.64571415703</v>
      </c>
      <c r="AA15" s="11">
        <v>1306725.380230824</v>
      </c>
      <c r="AB15" s="27">
        <v>10000000</v>
      </c>
      <c r="AC15" s="27">
        <v>4634253.4266167497</v>
      </c>
      <c r="AD15" s="27">
        <v>337458.489375</v>
      </c>
      <c r="AE15" s="27">
        <v>379110</v>
      </c>
      <c r="AF15" s="27">
        <v>386074.96240601491</v>
      </c>
      <c r="AG15" s="165">
        <f t="shared" si="6"/>
        <v>22253521.844197471</v>
      </c>
      <c r="AH15" s="165">
        <f t="shared" si="7"/>
        <v>43408806.295195028</v>
      </c>
      <c r="AI15" s="182">
        <f>AH15/'Collections and ACP'!E18</f>
        <v>0.32711267151849693</v>
      </c>
      <c r="AJ15" s="176">
        <v>46260072.917674832</v>
      </c>
      <c r="AK15" s="176">
        <f t="shared" si="8"/>
        <v>-2851266.6224798039</v>
      </c>
      <c r="AL15" s="163">
        <f t="shared" si="9"/>
        <v>25841697.930195019</v>
      </c>
      <c r="AM15" s="163">
        <f t="shared" si="10"/>
        <v>17567108.364999998</v>
      </c>
      <c r="AN15" s="96">
        <f t="shared" si="11"/>
        <v>0.59531003350938672</v>
      </c>
      <c r="AO15" s="96">
        <f t="shared" si="12"/>
        <v>0.40468996649061328</v>
      </c>
    </row>
    <row r="16" spans="1:41" x14ac:dyDescent="0.25">
      <c r="A16" s="168" t="s">
        <v>29</v>
      </c>
      <c r="B16" s="169">
        <f>'ABP Under Contract'!B16</f>
        <v>844745</v>
      </c>
      <c r="C16" s="169">
        <f>'ABP Under Contract'!C16</f>
        <v>1065968</v>
      </c>
      <c r="D16" s="169">
        <f>'ABP Under Contract'!D16</f>
        <v>2149180</v>
      </c>
      <c r="E16" s="169">
        <f>'ABP Under Contract'!E16</f>
        <v>42713</v>
      </c>
      <c r="F16" s="169">
        <f>'ABP Under Contract'!F16</f>
        <v>229606</v>
      </c>
      <c r="G16" s="169">
        <f>'ABP Under Contract'!G16</f>
        <v>1086600</v>
      </c>
      <c r="H16" s="165">
        <f t="shared" si="2"/>
        <v>5418812</v>
      </c>
      <c r="I16" s="28"/>
      <c r="J16" s="28"/>
      <c r="K16" s="28"/>
      <c r="L16" s="169">
        <v>2065519</v>
      </c>
      <c r="M16" s="169">
        <f t="shared" si="3"/>
        <v>2565628.5745999999</v>
      </c>
      <c r="N16" s="169">
        <v>3671180.3649999998</v>
      </c>
      <c r="O16" s="169">
        <v>5301979.1932610217</v>
      </c>
      <c r="P16" s="169">
        <v>153400.53299027981</v>
      </c>
      <c r="Q16" s="169">
        <v>61684.842589262618</v>
      </c>
      <c r="R16" s="165">
        <f t="shared" si="0"/>
        <v>13819392.508440565</v>
      </c>
      <c r="S16" s="165">
        <f t="shared" si="4"/>
        <v>13501505.143440565</v>
      </c>
      <c r="T16" s="165">
        <f t="shared" si="5"/>
        <v>5736699.3650000002</v>
      </c>
      <c r="U16" s="165">
        <f t="shared" si="1"/>
        <v>19238204.508440565</v>
      </c>
      <c r="V16" s="11">
        <v>1238682.7203090759</v>
      </c>
      <c r="W16" s="11">
        <v>1354346.4864404225</v>
      </c>
      <c r="X16" s="11">
        <v>1927434.3652992914</v>
      </c>
      <c r="Y16" s="11">
        <v>1265204.3276844928</v>
      </c>
      <c r="Z16" s="11">
        <v>280831.29488558625</v>
      </c>
      <c r="AA16" s="11">
        <v>1507211.363166369</v>
      </c>
      <c r="AB16" s="27">
        <v>12500000</v>
      </c>
      <c r="AC16" s="27">
        <v>5611082.1594836656</v>
      </c>
      <c r="AD16" s="27">
        <v>420771.19692812499</v>
      </c>
      <c r="AE16" s="27">
        <v>379110</v>
      </c>
      <c r="AF16" s="27">
        <v>421236.61654135323</v>
      </c>
      <c r="AG16" s="165">
        <f t="shared" si="6"/>
        <v>26905910.530738376</v>
      </c>
      <c r="AH16" s="165">
        <f>H16+R16+AG16</f>
        <v>46144115.039178938</v>
      </c>
      <c r="AI16" s="182">
        <f>AH16/'Collections and ACP'!E19</f>
        <v>0.33479375321471544</v>
      </c>
      <c r="AJ16" s="176">
        <v>48831464.080076128</v>
      </c>
      <c r="AK16" s="176">
        <f t="shared" si="8"/>
        <v>-2687349.0408971906</v>
      </c>
      <c r="AL16" s="163">
        <f t="shared" si="9"/>
        <v>27907415.674178947</v>
      </c>
      <c r="AM16" s="163">
        <f t="shared" si="10"/>
        <v>18236699.364999998</v>
      </c>
      <c r="AN16" s="96">
        <f t="shared" si="11"/>
        <v>0.60478818697647541</v>
      </c>
      <c r="AO16" s="96">
        <f t="shared" si="12"/>
        <v>0.39521181302352459</v>
      </c>
    </row>
    <row r="17" spans="1:41" x14ac:dyDescent="0.25">
      <c r="A17" s="168" t="s">
        <v>30</v>
      </c>
      <c r="B17" s="169">
        <f>'ABP Under Contract'!B17</f>
        <v>839507</v>
      </c>
      <c r="C17" s="169">
        <f>'ABP Under Contract'!C17</f>
        <v>1060264</v>
      </c>
      <c r="D17" s="169">
        <f>'ABP Under Contract'!D17</f>
        <v>2138443</v>
      </c>
      <c r="E17" s="169">
        <f>'ABP Under Contract'!E17</f>
        <v>42505</v>
      </c>
      <c r="F17" s="169">
        <f>'ABP Under Contract'!F17</f>
        <v>228459</v>
      </c>
      <c r="G17" s="169">
        <f>'ABP Under Contract'!G17</f>
        <v>1081169</v>
      </c>
      <c r="H17" s="165">
        <f t="shared" si="2"/>
        <v>5390347</v>
      </c>
      <c r="I17" s="28"/>
      <c r="J17" s="28"/>
      <c r="K17" s="28"/>
      <c r="L17" s="169">
        <v>1635519</v>
      </c>
      <c r="M17" s="169">
        <f t="shared" si="3"/>
        <v>2565628.5745999999</v>
      </c>
      <c r="N17" s="169">
        <v>3671180.3649999998</v>
      </c>
      <c r="O17" s="169">
        <v>5275469.2972947173</v>
      </c>
      <c r="P17" s="169">
        <v>152633.53032532841</v>
      </c>
      <c r="Q17" s="169">
        <v>61376.418376316302</v>
      </c>
      <c r="R17" s="165">
        <f t="shared" si="0"/>
        <v>13361807.185596362</v>
      </c>
      <c r="S17" s="165">
        <f t="shared" si="4"/>
        <v>13445454.820596362</v>
      </c>
      <c r="T17" s="165">
        <f t="shared" si="5"/>
        <v>5306699.3650000002</v>
      </c>
      <c r="U17" s="165">
        <f t="shared" si="1"/>
        <v>18752154.185596362</v>
      </c>
      <c r="V17" s="11">
        <v>1407490.0384323306</v>
      </c>
      <c r="W17" s="11">
        <v>1533892.4028612496</v>
      </c>
      <c r="X17" s="11">
        <v>2237704.6846727948</v>
      </c>
      <c r="Y17" s="11">
        <v>1412907.83884607</v>
      </c>
      <c r="Z17" s="11">
        <v>326820.84081115836</v>
      </c>
      <c r="AA17" s="11">
        <v>1706694.9161872366</v>
      </c>
      <c r="AB17" s="27">
        <v>13500000</v>
      </c>
      <c r="AC17" s="27">
        <v>6333026.7486862484</v>
      </c>
      <c r="AD17" s="27">
        <v>503667.34094348439</v>
      </c>
      <c r="AE17" s="27">
        <v>379110</v>
      </c>
      <c r="AF17" s="27">
        <v>456398.27067669155</v>
      </c>
      <c r="AG17" s="165">
        <f t="shared" si="6"/>
        <v>29797713.082117263</v>
      </c>
      <c r="AH17" s="165">
        <f t="shared" si="7"/>
        <v>48549867.267713621</v>
      </c>
      <c r="AI17" s="182">
        <f>AH17/'Collections and ACP'!E20</f>
        <v>0.34094915292577949</v>
      </c>
      <c r="AJ17" s="176">
        <v>49540338.13993609</v>
      </c>
      <c r="AK17" s="176">
        <f t="shared" si="8"/>
        <v>-990470.87222246826</v>
      </c>
      <c r="AL17" s="163">
        <f t="shared" si="9"/>
        <v>29743167.902713627</v>
      </c>
      <c r="AM17" s="163">
        <f t="shared" si="10"/>
        <v>18806699.364999998</v>
      </c>
      <c r="AN17" s="96">
        <f t="shared" si="11"/>
        <v>0.61263129183657461</v>
      </c>
      <c r="AO17" s="96">
        <f t="shared" si="12"/>
        <v>0.38736870816342539</v>
      </c>
    </row>
    <row r="18" spans="1:41" x14ac:dyDescent="0.25">
      <c r="A18" s="168" t="s">
        <v>31</v>
      </c>
      <c r="B18" s="169">
        <f>'ABP Under Contract'!B18</f>
        <v>667281</v>
      </c>
      <c r="C18" s="169">
        <f>'ABP Under Contract'!C18</f>
        <v>720265</v>
      </c>
      <c r="D18" s="169">
        <f>'ABP Under Contract'!D18</f>
        <v>1998544</v>
      </c>
      <c r="E18" s="169">
        <f>'ABP Under Contract'!E18</f>
        <v>42079</v>
      </c>
      <c r="F18" s="169">
        <f>'ABP Under Contract'!F18</f>
        <v>226177</v>
      </c>
      <c r="G18" s="169">
        <f>'ABP Under Contract'!G18</f>
        <v>1070377</v>
      </c>
      <c r="H18" s="165">
        <f t="shared" si="2"/>
        <v>4724723</v>
      </c>
      <c r="I18" s="28"/>
      <c r="J18" s="28"/>
      <c r="K18" s="28"/>
      <c r="L18" s="169">
        <v>1635519</v>
      </c>
      <c r="M18" s="169">
        <f t="shared" si="3"/>
        <v>2565628.5745999999</v>
      </c>
      <c r="N18" s="169">
        <v>3671180.3649999998</v>
      </c>
      <c r="O18" s="169">
        <v>5249091.9508082438</v>
      </c>
      <c r="P18" s="169">
        <v>151870.36267370178</v>
      </c>
      <c r="Q18" s="169">
        <v>61069.536284434718</v>
      </c>
      <c r="R18" s="165">
        <f t="shared" si="0"/>
        <v>13334359.789366381</v>
      </c>
      <c r="S18" s="165">
        <f t="shared" si="4"/>
        <v>12752383.424366381</v>
      </c>
      <c r="T18" s="165">
        <f t="shared" si="5"/>
        <v>5306699.3650000002</v>
      </c>
      <c r="U18" s="165">
        <f t="shared" si="1"/>
        <v>18059082.789366379</v>
      </c>
      <c r="V18" s="11">
        <v>1487952.954102569</v>
      </c>
      <c r="W18" s="11">
        <v>1619381.7652734581</v>
      </c>
      <c r="X18" s="11">
        <v>2546423.6524494309</v>
      </c>
      <c r="Y18" s="11">
        <v>1482858.0660518399</v>
      </c>
      <c r="Z18" s="11">
        <v>372580.43900710257</v>
      </c>
      <c r="AA18" s="11">
        <v>1801671.2465246499</v>
      </c>
      <c r="AB18" s="27">
        <v>14500000</v>
      </c>
      <c r="AC18" s="27">
        <v>7051361.614942817</v>
      </c>
      <c r="AD18" s="27">
        <v>586149.00423876697</v>
      </c>
      <c r="AE18" s="27">
        <v>379110</v>
      </c>
      <c r="AF18" s="27">
        <v>491559.92481202987</v>
      </c>
      <c r="AG18" s="165">
        <f t="shared" si="6"/>
        <v>32319048.667402662</v>
      </c>
      <c r="AH18" s="165">
        <f t="shared" si="7"/>
        <v>50378131.456769042</v>
      </c>
      <c r="AI18" s="182">
        <f>AH18/'Collections and ACP'!E21</f>
        <v>0.3435574251768605</v>
      </c>
      <c r="AJ18" s="176">
        <v>51746466.779952779</v>
      </c>
      <c r="AK18" s="176">
        <f t="shared" si="8"/>
        <v>-1368335.3231837377</v>
      </c>
      <c r="AL18" s="163">
        <f t="shared" si="9"/>
        <v>30571432.091769043</v>
      </c>
      <c r="AM18" s="163">
        <f t="shared" si="10"/>
        <v>19806699.364999998</v>
      </c>
      <c r="AN18" s="96">
        <f t="shared" si="11"/>
        <v>0.60683934095497949</v>
      </c>
      <c r="AO18" s="96">
        <f t="shared" si="12"/>
        <v>0.39316065904502051</v>
      </c>
    </row>
    <row r="19" spans="1:41" x14ac:dyDescent="0.25">
      <c r="A19" s="168" t="s">
        <v>32</v>
      </c>
      <c r="B19" s="169">
        <f>'ABP Under Contract'!B19</f>
        <v>782831</v>
      </c>
      <c r="C19" s="169">
        <f>'ABP Under Contract'!C19</f>
        <v>969595</v>
      </c>
      <c r="D19" s="169">
        <f>'ABP Under Contract'!D19</f>
        <v>2126501</v>
      </c>
      <c r="E19" s="169">
        <f>'ABP Under Contract'!E19</f>
        <v>42288</v>
      </c>
      <c r="F19" s="169">
        <f>'ABP Under Contract'!F19</f>
        <v>227316</v>
      </c>
      <c r="G19" s="169">
        <f>'ABP Under Contract'!G19</f>
        <v>1075759</v>
      </c>
      <c r="H19" s="165">
        <f t="shared" si="2"/>
        <v>5224290</v>
      </c>
      <c r="I19" s="28"/>
      <c r="J19" s="28"/>
      <c r="K19" s="28"/>
      <c r="L19" s="169">
        <v>1335519</v>
      </c>
      <c r="M19" s="169">
        <f>M48+M76+M104</f>
        <v>2565628.5745999999</v>
      </c>
      <c r="N19" s="169">
        <v>3671180.3649999998</v>
      </c>
      <c r="O19" s="169">
        <v>5222846.4910542024</v>
      </c>
      <c r="P19" s="169">
        <v>151111.01086033325</v>
      </c>
      <c r="Q19" s="169">
        <v>60764.188603012546</v>
      </c>
      <c r="R19" s="165">
        <f t="shared" si="0"/>
        <v>13007049.630117547</v>
      </c>
      <c r="S19" s="165">
        <f t="shared" si="4"/>
        <v>13224640.265117548</v>
      </c>
      <c r="T19" s="165">
        <f t="shared" si="5"/>
        <v>5006699.3650000002</v>
      </c>
      <c r="U19" s="165">
        <f t="shared" si="1"/>
        <v>18231339.630117547</v>
      </c>
      <c r="V19" s="11">
        <v>1568013.5551944561</v>
      </c>
      <c r="W19" s="11">
        <v>1704443.6808736057</v>
      </c>
      <c r="X19" s="11">
        <v>2693645.2797871833</v>
      </c>
      <c r="Y19" s="11">
        <v>1552458.5421215808</v>
      </c>
      <c r="Z19" s="11">
        <v>394414.38801206701</v>
      </c>
      <c r="AA19" s="11">
        <v>1896172.6952103768</v>
      </c>
      <c r="AB19" s="27">
        <v>15500000</v>
      </c>
      <c r="AC19" s="27">
        <v>7766104.8068681033</v>
      </c>
      <c r="AD19" s="27">
        <v>668218.2592175731</v>
      </c>
      <c r="AE19" s="27">
        <v>379110</v>
      </c>
      <c r="AF19" s="27">
        <v>526721.57894736819</v>
      </c>
      <c r="AG19" s="165">
        <f t="shared" si="6"/>
        <v>34649302.786232308</v>
      </c>
      <c r="AH19" s="165">
        <f t="shared" si="7"/>
        <v>52880642.416349858</v>
      </c>
      <c r="AI19" s="182">
        <f>AH19/'Collections and ACP'!E22</f>
        <v>0.35269693036244576</v>
      </c>
      <c r="AJ19" s="176">
        <v>55096065.102970064</v>
      </c>
      <c r="AK19" s="176">
        <f t="shared" si="8"/>
        <v>-2215422.6866202056</v>
      </c>
      <c r="AL19" s="163">
        <f t="shared" si="9"/>
        <v>32373943.051349867</v>
      </c>
      <c r="AM19" s="163">
        <f t="shared" si="10"/>
        <v>20506699.364999998</v>
      </c>
      <c r="AN19" s="96">
        <f t="shared" si="11"/>
        <v>0.61220782449005107</v>
      </c>
      <c r="AO19" s="96">
        <f t="shared" si="12"/>
        <v>0.38779217550994893</v>
      </c>
    </row>
    <row r="20" spans="1:41" x14ac:dyDescent="0.25">
      <c r="A20" s="168" t="s">
        <v>33</v>
      </c>
      <c r="B20" s="169">
        <f>'ABP Under Contract'!B20</f>
        <v>610364</v>
      </c>
      <c r="C20" s="169">
        <f>'ABP Under Contract'!C20</f>
        <v>629576</v>
      </c>
      <c r="D20" s="169">
        <f>'ABP Under Contract'!D20</f>
        <v>1770768</v>
      </c>
      <c r="E20" s="169">
        <f>'ABP Under Contract'!E20</f>
        <v>41869</v>
      </c>
      <c r="F20" s="169">
        <f>'ABP Under Contract'!F20</f>
        <v>225045</v>
      </c>
      <c r="G20" s="169">
        <f>'ABP Under Contract'!G20</f>
        <v>1065029</v>
      </c>
      <c r="H20" s="165">
        <f t="shared" si="2"/>
        <v>4342651</v>
      </c>
      <c r="I20" s="28"/>
      <c r="J20" s="28"/>
      <c r="K20" s="28"/>
      <c r="L20" s="28"/>
      <c r="M20" s="169">
        <f>M49+M77+M105</f>
        <v>569999</v>
      </c>
      <c r="N20" s="169">
        <v>3671180.3649999998</v>
      </c>
      <c r="O20" s="169">
        <v>5196732.2585989311</v>
      </c>
      <c r="P20" s="169">
        <v>150355.45580603159</v>
      </c>
      <c r="Q20" s="169">
        <v>60460.367659997486</v>
      </c>
      <c r="R20" s="165">
        <f t="shared" si="0"/>
        <v>9648727.4470649604</v>
      </c>
      <c r="S20" s="165">
        <f t="shared" si="4"/>
        <v>10320198.08206496</v>
      </c>
      <c r="T20" s="165">
        <f t="shared" si="5"/>
        <v>3671180.3649999998</v>
      </c>
      <c r="U20" s="165">
        <f t="shared" si="1"/>
        <v>13991378.44706496</v>
      </c>
      <c r="V20" s="11">
        <v>1647673.853280884</v>
      </c>
      <c r="W20" s="11">
        <v>1789080.2868957527</v>
      </c>
      <c r="X20" s="11">
        <v>2840130.7989882473</v>
      </c>
      <c r="Y20" s="11">
        <v>1621711.015810973</v>
      </c>
      <c r="Z20" s="11">
        <v>416139.16727200663</v>
      </c>
      <c r="AA20" s="11">
        <v>1990201.6366526743</v>
      </c>
      <c r="AB20" s="27">
        <v>16500000</v>
      </c>
      <c r="AC20" s="27">
        <v>8477274.2828337625</v>
      </c>
      <c r="AD20" s="27">
        <v>749877.16792148526</v>
      </c>
      <c r="AE20" s="27">
        <v>379110</v>
      </c>
      <c r="AF20" s="27">
        <v>561883.23308270646</v>
      </c>
      <c r="AG20" s="165">
        <f t="shared" si="6"/>
        <v>36973081.442738488</v>
      </c>
      <c r="AH20" s="165">
        <f t="shared" si="7"/>
        <v>50964459.889803447</v>
      </c>
      <c r="AI20" s="182">
        <f>AH20/'Collections and ACP'!E23</f>
        <v>0.33452849851778754</v>
      </c>
      <c r="AJ20" s="176">
        <v>52107275.731181443</v>
      </c>
      <c r="AK20" s="176">
        <f t="shared" si="8"/>
        <v>-1142815.8413779959</v>
      </c>
      <c r="AL20" s="163">
        <f t="shared" si="9"/>
        <v>30793279.524803456</v>
      </c>
      <c r="AM20" s="163">
        <f t="shared" si="10"/>
        <v>20171180.364999998</v>
      </c>
      <c r="AN20" s="96">
        <f t="shared" si="11"/>
        <v>0.60421084793963098</v>
      </c>
      <c r="AO20" s="96">
        <f t="shared" si="12"/>
        <v>0.39578915206036902</v>
      </c>
    </row>
    <row r="21" spans="1:41" x14ac:dyDescent="0.25">
      <c r="A21" s="168" t="s">
        <v>34</v>
      </c>
      <c r="B21" s="169">
        <f>'ABP Under Contract'!B21</f>
        <v>527602</v>
      </c>
      <c r="C21" s="169">
        <f>'ABP Under Contract'!C21</f>
        <v>590500</v>
      </c>
      <c r="D21" s="169">
        <f>'ABP Under Contract'!D21</f>
        <v>1688364</v>
      </c>
      <c r="E21" s="169">
        <f>'ABP Under Contract'!E21</f>
        <v>41657</v>
      </c>
      <c r="F21" s="169">
        <f>'ABP Under Contract'!F21</f>
        <v>223927</v>
      </c>
      <c r="G21" s="169">
        <f>'ABP Under Contract'!G21</f>
        <v>1059708</v>
      </c>
      <c r="H21" s="165">
        <f t="shared" si="2"/>
        <v>4131758</v>
      </c>
      <c r="I21" s="28"/>
      <c r="J21" s="28"/>
      <c r="K21" s="28"/>
      <c r="L21" s="28"/>
      <c r="M21" s="169">
        <f t="shared" si="3"/>
        <v>569999</v>
      </c>
      <c r="N21" s="169">
        <v>3671180.3649999998</v>
      </c>
      <c r="O21" s="169">
        <v>5170748.5973059367</v>
      </c>
      <c r="P21" s="169">
        <v>149603.67852700141</v>
      </c>
      <c r="Q21" s="169">
        <v>60158.065821697499</v>
      </c>
      <c r="R21" s="165">
        <f t="shared" si="0"/>
        <v>9621689.7066546362</v>
      </c>
      <c r="S21" s="165">
        <f t="shared" si="4"/>
        <v>10082267.341654636</v>
      </c>
      <c r="T21" s="165">
        <f t="shared" si="5"/>
        <v>3671180.3649999998</v>
      </c>
      <c r="U21" s="165">
        <f t="shared" si="1"/>
        <v>13753447.706654636</v>
      </c>
      <c r="V21" s="11">
        <v>1726935.8498768792</v>
      </c>
      <c r="W21" s="11">
        <v>1873293.7098877886</v>
      </c>
      <c r="X21" s="11">
        <v>2985883.8905933062</v>
      </c>
      <c r="Y21" s="11">
        <v>1690617.2271319178</v>
      </c>
      <c r="Z21" s="11">
        <v>437755.32263564662</v>
      </c>
      <c r="AA21" s="11">
        <v>2083760.4333877608</v>
      </c>
      <c r="AB21" s="27">
        <v>17500000</v>
      </c>
      <c r="AC21" s="27">
        <v>9184887.9114195947</v>
      </c>
      <c r="AD21" s="27">
        <v>831127.78208187781</v>
      </c>
      <c r="AE21" s="27">
        <v>379110</v>
      </c>
      <c r="AF21" s="27">
        <v>597044.88721804484</v>
      </c>
      <c r="AG21" s="165">
        <f t="shared" si="6"/>
        <v>39290417.014232814</v>
      </c>
      <c r="AH21" s="165">
        <f t="shared" si="7"/>
        <v>53043864.720887452</v>
      </c>
      <c r="AI21" s="182">
        <f>AH21/'Collections and ACP'!E24</f>
        <v>0.34585601401238319</v>
      </c>
      <c r="AJ21" s="176">
        <v>54181029.455410942</v>
      </c>
      <c r="AK21" s="176">
        <f t="shared" si="8"/>
        <v>-1137164.7345234901</v>
      </c>
      <c r="AL21" s="163">
        <f t="shared" si="9"/>
        <v>31872684.355887454</v>
      </c>
      <c r="AM21" s="163">
        <f t="shared" si="10"/>
        <v>21171180.364999998</v>
      </c>
      <c r="AN21" s="96">
        <f t="shared" si="11"/>
        <v>0.60087409776039047</v>
      </c>
      <c r="AO21" s="96">
        <f t="shared" si="12"/>
        <v>0.39912590223960953</v>
      </c>
    </row>
    <row r="22" spans="1:41" x14ac:dyDescent="0.25">
      <c r="A22" s="168" t="s">
        <v>35</v>
      </c>
      <c r="B22" s="169">
        <f>'ABP Under Contract'!B22</f>
        <v>258608</v>
      </c>
      <c r="C22" s="169">
        <f>'ABP Under Contract'!C22</f>
        <v>507364</v>
      </c>
      <c r="D22" s="169">
        <f>'ABP Under Contract'!D22</f>
        <v>1668709</v>
      </c>
      <c r="E22" s="169">
        <f>'ABP Under Contract'!E22</f>
        <v>41451</v>
      </c>
      <c r="F22" s="169">
        <f>'ABP Under Contract'!F22</f>
        <v>222801</v>
      </c>
      <c r="G22" s="169">
        <f>'ABP Under Contract'!G22</f>
        <v>1054403</v>
      </c>
      <c r="H22" s="165">
        <f t="shared" si="2"/>
        <v>3753336</v>
      </c>
      <c r="I22" s="28"/>
      <c r="J22" s="28"/>
      <c r="K22" s="28"/>
      <c r="L22" s="28"/>
      <c r="M22" s="169">
        <f t="shared" si="3"/>
        <v>569999</v>
      </c>
      <c r="N22" s="169">
        <v>3671180.3649999998</v>
      </c>
      <c r="O22" s="169">
        <v>5144894.8543194067</v>
      </c>
      <c r="P22" s="169">
        <v>148855.66013436642</v>
      </c>
      <c r="Q22" s="169">
        <v>59857.275492589011</v>
      </c>
      <c r="R22" s="165">
        <f t="shared" si="0"/>
        <v>9594787.1549463626</v>
      </c>
      <c r="S22" s="165">
        <f t="shared" si="4"/>
        <v>9676942.7899463624</v>
      </c>
      <c r="T22" s="165">
        <f t="shared" si="5"/>
        <v>3671180.3649999998</v>
      </c>
      <c r="U22" s="165">
        <f t="shared" si="1"/>
        <v>13348123.154946363</v>
      </c>
      <c r="V22" s="11">
        <v>1805801.5364898951</v>
      </c>
      <c r="W22" s="11">
        <v>1957086.0657648642</v>
      </c>
      <c r="X22" s="11">
        <v>3130908.2167403391</v>
      </c>
      <c r="Y22" s="11">
        <v>1759178.9073962583</v>
      </c>
      <c r="Z22" s="11">
        <v>459263.39722246834</v>
      </c>
      <c r="AA22" s="11">
        <v>2176851.436139171</v>
      </c>
      <c r="AB22" s="27">
        <v>18500000</v>
      </c>
      <c r="AC22" s="27">
        <v>9888963.4718624949</v>
      </c>
      <c r="AD22" s="27">
        <v>911972.1431714684</v>
      </c>
      <c r="AE22" s="27">
        <v>379110</v>
      </c>
      <c r="AF22" s="27">
        <v>632206.5413533831</v>
      </c>
      <c r="AG22" s="165">
        <f t="shared" si="6"/>
        <v>41601341.716140345</v>
      </c>
      <c r="AH22" s="165">
        <f t="shared" si="7"/>
        <v>54949464.871086709</v>
      </c>
      <c r="AI22" s="182">
        <f>AH22/'Collections and ACP'!E25</f>
        <v>0.35599948575775264</v>
      </c>
      <c r="AJ22" s="176">
        <v>56280144.369289964</v>
      </c>
      <c r="AK22" s="176">
        <f t="shared" si="8"/>
        <v>-1330679.4982032552</v>
      </c>
      <c r="AL22" s="163">
        <f t="shared" si="9"/>
        <v>32778284.506086707</v>
      </c>
      <c r="AM22" s="163">
        <f t="shared" si="10"/>
        <v>22171180.364999998</v>
      </c>
      <c r="AN22" s="96">
        <f t="shared" si="11"/>
        <v>0.59651690117430023</v>
      </c>
      <c r="AO22" s="96">
        <f t="shared" si="12"/>
        <v>0.40348309882569977</v>
      </c>
    </row>
    <row r="23" spans="1:41" x14ac:dyDescent="0.25">
      <c r="A23" s="168" t="s">
        <v>36</v>
      </c>
      <c r="B23" s="169">
        <f>'ABP Under Contract'!B23</f>
        <v>109737</v>
      </c>
      <c r="C23" s="169">
        <f>'ABP Under Contract'!C23</f>
        <v>241488</v>
      </c>
      <c r="D23" s="169">
        <f>'ABP Under Contract'!D23</f>
        <v>1660337</v>
      </c>
      <c r="E23" s="169">
        <f>'ABP Under Contract'!E23</f>
        <v>41239</v>
      </c>
      <c r="F23" s="169">
        <f>'ABP Under Contract'!F23</f>
        <v>215828</v>
      </c>
      <c r="G23" s="169">
        <f>'ABP Under Contract'!G23</f>
        <v>1049133</v>
      </c>
      <c r="H23" s="165">
        <f t="shared" si="2"/>
        <v>3317762</v>
      </c>
      <c r="I23" s="28"/>
      <c r="J23" s="28"/>
      <c r="K23" s="28"/>
      <c r="L23" s="28"/>
      <c r="M23" s="169">
        <f>M52+M80+M108</f>
        <v>569999</v>
      </c>
      <c r="N23" s="169">
        <v>3671180.3649999998</v>
      </c>
      <c r="O23" s="169">
        <v>5119170.3800478103</v>
      </c>
      <c r="P23" s="169">
        <v>148111.38183369458</v>
      </c>
      <c r="Q23" s="169">
        <v>59557.989115126067</v>
      </c>
      <c r="R23" s="165">
        <f t="shared" si="0"/>
        <v>9568019.1159966327</v>
      </c>
      <c r="S23" s="165">
        <f t="shared" si="4"/>
        <v>9214600.7509966306</v>
      </c>
      <c r="T23" s="165">
        <f t="shared" si="5"/>
        <v>3671180.3649999998</v>
      </c>
      <c r="U23" s="165">
        <f t="shared" si="1"/>
        <v>12885781.115996633</v>
      </c>
      <c r="V23" s="11">
        <v>1884272.8946698457</v>
      </c>
      <c r="W23" s="11">
        <v>2040459.4598625549</v>
      </c>
      <c r="X23" s="11">
        <v>3275207.4212566372</v>
      </c>
      <c r="Y23" s="11">
        <v>1827397.779259277</v>
      </c>
      <c r="Z23" s="11">
        <v>480663.9314363561</v>
      </c>
      <c r="AA23" s="11">
        <v>2269476.9838768258</v>
      </c>
      <c r="AB23" s="27">
        <v>19500000</v>
      </c>
      <c r="AC23" s="27">
        <v>10589518.654503183</v>
      </c>
      <c r="AD23" s="27">
        <v>992412.28245561104</v>
      </c>
      <c r="AE23" s="27">
        <v>379110</v>
      </c>
      <c r="AF23" s="27">
        <v>667368.19548872148</v>
      </c>
      <c r="AG23" s="165">
        <f t="shared" si="6"/>
        <v>43905887.602809012</v>
      </c>
      <c r="AH23" s="165">
        <f t="shared" si="7"/>
        <v>56791668.718805641</v>
      </c>
      <c r="AI23" s="182">
        <f>AH23/'Collections and ACP'!E26</f>
        <v>0.36643562433766924</v>
      </c>
      <c r="AJ23" s="176">
        <v>57356310.108593807</v>
      </c>
      <c r="AK23" s="176">
        <f t="shared" si="8"/>
        <v>-564641.38978816569</v>
      </c>
      <c r="AL23" s="163">
        <f t="shared" si="9"/>
        <v>33620488.353805646</v>
      </c>
      <c r="AM23" s="163">
        <f t="shared" si="10"/>
        <v>23171180.364999998</v>
      </c>
      <c r="AN23" s="96">
        <f t="shared" si="11"/>
        <v>0.59199683883690435</v>
      </c>
      <c r="AO23" s="96">
        <f t="shared" si="12"/>
        <v>0.40800316116309565</v>
      </c>
    </row>
    <row r="24" spans="1:41" x14ac:dyDescent="0.25">
      <c r="A24" s="168" t="s">
        <v>37</v>
      </c>
      <c r="B24" s="169">
        <f>'ABP Under Contract'!B24</f>
        <v>28349</v>
      </c>
      <c r="C24" s="169">
        <f>'ABP Under Contract'!C24</f>
        <v>28494</v>
      </c>
      <c r="D24" s="169">
        <f>'ABP Under Contract'!D24</f>
        <v>1651935</v>
      </c>
      <c r="E24" s="169">
        <f>'ABP Under Contract'!E24</f>
        <v>41031</v>
      </c>
      <c r="F24" s="169">
        <f>'ABP Under Contract'!F24</f>
        <v>74582</v>
      </c>
      <c r="G24" s="169">
        <f>'ABP Under Contract'!G24</f>
        <v>1037358</v>
      </c>
      <c r="H24" s="165">
        <f t="shared" si="2"/>
        <v>2861749</v>
      </c>
      <c r="I24" s="28"/>
      <c r="J24" s="28"/>
      <c r="K24" s="28"/>
      <c r="L24" s="28"/>
      <c r="M24" s="169">
        <f t="shared" si="3"/>
        <v>0</v>
      </c>
      <c r="N24" s="169">
        <v>3671180.3649999998</v>
      </c>
      <c r="O24" s="169">
        <v>5093574.5281475708</v>
      </c>
      <c r="P24" s="169">
        <v>147370.8249245261</v>
      </c>
      <c r="Q24" s="169">
        <v>59260.199169550433</v>
      </c>
      <c r="R24" s="165">
        <f t="shared" si="0"/>
        <v>8971385.9172416478</v>
      </c>
      <c r="S24" s="165">
        <f t="shared" si="4"/>
        <v>8161954.5522416467</v>
      </c>
      <c r="T24" s="165">
        <f t="shared" si="5"/>
        <v>3671180.3649999998</v>
      </c>
      <c r="U24" s="165">
        <f t="shared" si="1"/>
        <v>11833134.917241648</v>
      </c>
      <c r="V24" s="11">
        <v>1931705.4875010783</v>
      </c>
      <c r="W24" s="11">
        <v>2056624.6847109133</v>
      </c>
      <c r="X24" s="11">
        <v>3418785.1297503537</v>
      </c>
      <c r="Y24" s="11">
        <v>1895275.5567629808</v>
      </c>
      <c r="Z24" s="11">
        <v>501957.46297917428</v>
      </c>
      <c r="AA24" s="11">
        <v>2285138.5385676813</v>
      </c>
      <c r="AB24" s="27">
        <v>20500000</v>
      </c>
      <c r="AC24" s="27">
        <v>11286571.061230667</v>
      </c>
      <c r="AD24" s="27">
        <v>1072450.2210433329</v>
      </c>
      <c r="AE24" s="27">
        <v>379110</v>
      </c>
      <c r="AF24" s="27">
        <v>702529.84962405975</v>
      </c>
      <c r="AG24" s="165">
        <f t="shared" si="6"/>
        <v>46030147.992170244</v>
      </c>
      <c r="AH24" s="165">
        <f t="shared" si="7"/>
        <v>57863282.909411892</v>
      </c>
      <c r="AI24" s="182">
        <f>AH24/'Collections and ACP'!E27</f>
        <v>0.37145280834509642</v>
      </c>
      <c r="AJ24" s="176">
        <v>58945753.695705831</v>
      </c>
      <c r="AK24" s="176">
        <f t="shared" si="8"/>
        <v>-1082470.7862939388</v>
      </c>
      <c r="AL24" s="163">
        <f t="shared" si="9"/>
        <v>33692102.544411883</v>
      </c>
      <c r="AM24" s="163">
        <f t="shared" si="10"/>
        <v>24171180.364999998</v>
      </c>
      <c r="AN24" s="96">
        <f t="shared" si="11"/>
        <v>0.58227084344935465</v>
      </c>
      <c r="AO24" s="96">
        <f t="shared" si="12"/>
        <v>0.41772915655064535</v>
      </c>
    </row>
    <row r="25" spans="1:41" x14ac:dyDescent="0.25">
      <c r="A25" s="168" t="s">
        <v>38</v>
      </c>
      <c r="B25" s="169">
        <f>'ABP Under Contract'!B25</f>
        <v>0</v>
      </c>
      <c r="C25" s="169">
        <f>'ABP Under Contract'!C25</f>
        <v>0</v>
      </c>
      <c r="D25" s="169">
        <f>'ABP Under Contract'!D25</f>
        <v>1643572</v>
      </c>
      <c r="E25" s="169">
        <f>'ABP Under Contract'!E25</f>
        <v>40820</v>
      </c>
      <c r="F25" s="169">
        <f>'ABP Under Contract'!F25</f>
        <v>0</v>
      </c>
      <c r="G25" s="169">
        <f>'ABP Under Contract'!G25</f>
        <v>1032129</v>
      </c>
      <c r="H25" s="165">
        <f t="shared" si="2"/>
        <v>2716521</v>
      </c>
      <c r="I25" s="28"/>
      <c r="J25" s="28"/>
      <c r="K25" s="28"/>
      <c r="L25" s="28"/>
      <c r="M25" s="169">
        <f t="shared" si="3"/>
        <v>0</v>
      </c>
      <c r="N25" s="169">
        <v>3671180.3649999998</v>
      </c>
      <c r="O25" s="169">
        <v>5068106.6555068325</v>
      </c>
      <c r="P25" s="169">
        <v>146633.9707999035</v>
      </c>
      <c r="Q25" s="169">
        <v>58963.898173702677</v>
      </c>
      <c r="R25" s="165">
        <f t="shared" si="0"/>
        <v>8944884.8894804399</v>
      </c>
      <c r="S25" s="165">
        <f t="shared" si="4"/>
        <v>7990225.5244804388</v>
      </c>
      <c r="T25" s="165">
        <f t="shared" si="5"/>
        <v>3671180.3649999998</v>
      </c>
      <c r="U25" s="165">
        <f t="shared" si="1"/>
        <v>11661405.88948044</v>
      </c>
      <c r="V25" s="11">
        <v>1847222.0776575473</v>
      </c>
      <c r="W25" s="11">
        <v>1966677.9162946136</v>
      </c>
      <c r="X25" s="11">
        <v>3561644.9497016026</v>
      </c>
      <c r="Y25" s="11">
        <v>1962813.9453791659</v>
      </c>
      <c r="Z25" s="11">
        <v>523144.52686427842</v>
      </c>
      <c r="AA25" s="11">
        <v>2185197.684771793</v>
      </c>
      <c r="AB25" s="27">
        <v>21500000</v>
      </c>
      <c r="AC25" s="27">
        <v>11980138.205924515</v>
      </c>
      <c r="AD25" s="27">
        <v>1152087.9699381161</v>
      </c>
      <c r="AE25" s="27">
        <v>379110</v>
      </c>
      <c r="AF25" s="27">
        <v>737691.50375939801</v>
      </c>
      <c r="AG25" s="165">
        <f t="shared" si="6"/>
        <v>47795728.780291036</v>
      </c>
      <c r="AH25" s="165">
        <f t="shared" si="7"/>
        <v>59457134.669771478</v>
      </c>
      <c r="AI25" s="182">
        <f>AH25/'Collections and ACP'!E28</f>
        <v>0.38022047978038231</v>
      </c>
      <c r="AJ25" s="176">
        <v>62081899.349713385</v>
      </c>
      <c r="AK25" s="176">
        <f t="shared" si="8"/>
        <v>-2624764.6799419075</v>
      </c>
      <c r="AL25" s="163">
        <f t="shared" si="9"/>
        <v>34285954.304771468</v>
      </c>
      <c r="AM25" s="163">
        <f t="shared" si="10"/>
        <v>25171180.364999998</v>
      </c>
      <c r="AN25" s="96">
        <f t="shared" si="11"/>
        <v>0.57664995959185961</v>
      </c>
      <c r="AO25" s="96">
        <f t="shared" si="12"/>
        <v>0.42335004040814039</v>
      </c>
    </row>
    <row r="26" spans="1:41" x14ac:dyDescent="0.25">
      <c r="A26" s="168" t="s">
        <v>39</v>
      </c>
      <c r="B26" s="169">
        <f>'ABP Under Contract'!B26</f>
        <v>0</v>
      </c>
      <c r="C26" s="169">
        <f>'ABP Under Contract'!C26</f>
        <v>0</v>
      </c>
      <c r="D26" s="169">
        <f>'ABP Under Contract'!D26</f>
        <v>1635246</v>
      </c>
      <c r="E26" s="169">
        <f>'ABP Under Contract'!E26</f>
        <v>40609</v>
      </c>
      <c r="F26" s="169">
        <f>'ABP Under Contract'!F26</f>
        <v>0</v>
      </c>
      <c r="G26" s="169">
        <f>'ABP Under Contract'!G26</f>
        <v>1026926</v>
      </c>
      <c r="H26" s="165">
        <f t="shared" si="2"/>
        <v>2702781</v>
      </c>
      <c r="I26" s="28"/>
      <c r="J26" s="28"/>
      <c r="K26" s="28"/>
      <c r="L26" s="28"/>
      <c r="M26" s="169">
        <f t="shared" si="3"/>
        <v>0</v>
      </c>
      <c r="N26" s="169">
        <v>3671180.3649999998</v>
      </c>
      <c r="O26" s="169">
        <v>5042766.1222292986</v>
      </c>
      <c r="P26" s="169">
        <v>145900.80094590396</v>
      </c>
      <c r="Q26" s="169">
        <v>58669.078682834166</v>
      </c>
      <c r="R26" s="165">
        <f t="shared" si="0"/>
        <v>8918516.3668580372</v>
      </c>
      <c r="S26" s="165">
        <f t="shared" si="4"/>
        <v>7950117.001858037</v>
      </c>
      <c r="T26" s="165">
        <f t="shared" si="5"/>
        <v>3671180.3649999998</v>
      </c>
      <c r="U26" s="165">
        <f t="shared" si="1"/>
        <v>11621297.366858037</v>
      </c>
      <c r="V26" s="11">
        <v>1675660.7190008338</v>
      </c>
      <c r="W26" s="11">
        <v>1784022.0572938805</v>
      </c>
      <c r="X26" s="11">
        <v>3703790.470553095</v>
      </c>
      <c r="Y26" s="11">
        <v>1952999.8756522702</v>
      </c>
      <c r="Z26" s="11">
        <v>500264.72776630631</v>
      </c>
      <c r="AA26" s="11">
        <v>1982246.730326534</v>
      </c>
      <c r="AB26" s="27">
        <v>22500000</v>
      </c>
      <c r="AC26" s="27">
        <v>12670237.514894892</v>
      </c>
      <c r="AD26" s="27">
        <v>1231327.5300884256</v>
      </c>
      <c r="AE26" s="27">
        <v>379110</v>
      </c>
      <c r="AF26" s="27">
        <v>772853.15789473639</v>
      </c>
      <c r="AG26" s="165">
        <f t="shared" si="6"/>
        <v>49152512.783470966</v>
      </c>
      <c r="AH26" s="165">
        <f t="shared" si="7"/>
        <v>60773810.150329001</v>
      </c>
      <c r="AI26" s="182">
        <f>AH26/'Collections and ACP'!E29</f>
        <v>0.38710479748261351</v>
      </c>
      <c r="AJ26" s="176">
        <v>61534544.680906937</v>
      </c>
      <c r="AK26" s="176">
        <f t="shared" si="8"/>
        <v>-760734.53057793528</v>
      </c>
      <c r="AL26" s="163">
        <f t="shared" si="9"/>
        <v>34602629.785329007</v>
      </c>
      <c r="AM26" s="163">
        <f t="shared" si="10"/>
        <v>26171180.364999998</v>
      </c>
      <c r="AN26" s="96">
        <f t="shared" si="11"/>
        <v>0.5693674577871054</v>
      </c>
      <c r="AO26" s="96">
        <f t="shared" si="12"/>
        <v>0.4306325422128946</v>
      </c>
    </row>
    <row r="27" spans="1:41" x14ac:dyDescent="0.25">
      <c r="A27" s="180" t="s">
        <v>158</v>
      </c>
      <c r="B27" s="169">
        <f>'ABP Under Contract'!B27</f>
        <v>0</v>
      </c>
      <c r="C27" s="169">
        <f>'ABP Under Contract'!C27</f>
        <v>0</v>
      </c>
      <c r="D27" s="169">
        <f>'ABP Under Contract'!D27</f>
        <v>1502731</v>
      </c>
      <c r="E27" s="169">
        <f>'ABP Under Contract'!E27</f>
        <v>40399</v>
      </c>
      <c r="F27" s="169">
        <f>'ABP Under Contract'!F27</f>
        <v>0</v>
      </c>
      <c r="G27" s="169">
        <f>'ABP Under Contract'!G27</f>
        <v>1021744</v>
      </c>
      <c r="H27" s="165">
        <f>SUM(B27:G27)</f>
        <v>2564874</v>
      </c>
      <c r="I27" s="28"/>
      <c r="J27" s="28"/>
      <c r="K27" s="28"/>
      <c r="L27" s="28"/>
      <c r="M27" s="169">
        <f t="shared" si="3"/>
        <v>0</v>
      </c>
      <c r="N27" s="169">
        <v>3671180.3649999998</v>
      </c>
      <c r="O27" s="169">
        <v>5017552.2916181516</v>
      </c>
      <c r="P27" s="169">
        <v>145171.29694117446</v>
      </c>
      <c r="Q27" s="169"/>
      <c r="R27" s="165">
        <f>SUM(I27:Q27)</f>
        <v>8833903.953559326</v>
      </c>
      <c r="S27" s="165">
        <f t="shared" si="4"/>
        <v>7727597.5885593258</v>
      </c>
      <c r="T27" s="165">
        <f t="shared" si="5"/>
        <v>3671180.3649999998</v>
      </c>
      <c r="U27" s="165">
        <f t="shared" si="1"/>
        <v>11398777.953559326</v>
      </c>
      <c r="V27" s="176">
        <v>1504957.1671374042</v>
      </c>
      <c r="W27" s="176">
        <v>1602279.4775881513</v>
      </c>
      <c r="X27" s="176">
        <v>3685271.5182003286</v>
      </c>
      <c r="Y27" s="176">
        <v>1943234.8762740088</v>
      </c>
      <c r="Z27" s="176">
        <v>453802.47646382404</v>
      </c>
      <c r="AA27" s="176">
        <v>1780310.5306535016</v>
      </c>
      <c r="AB27" s="176">
        <v>23500000</v>
      </c>
      <c r="AC27" s="176">
        <v>13360636.327320417</v>
      </c>
      <c r="AD27" s="176">
        <v>1310170.8924379835</v>
      </c>
      <c r="AG27" s="165">
        <f t="shared" ref="AG27" si="13">SUM(V27:AF27)</f>
        <v>49140663.266075626</v>
      </c>
      <c r="AH27" s="165">
        <f t="shared" ref="AH27" si="14">H27+R27+AG27</f>
        <v>60539441.21963495</v>
      </c>
      <c r="AI27" s="182"/>
      <c r="AJ27" s="176">
        <v>61395847.932918511</v>
      </c>
      <c r="AK27" s="176">
        <f t="shared" si="8"/>
        <v>-856406.71328356117</v>
      </c>
      <c r="AL27" s="163">
        <f t="shared" si="9"/>
        <v>33368260.854634948</v>
      </c>
      <c r="AM27" s="163">
        <f t="shared" si="10"/>
        <v>27171180.364999998</v>
      </c>
      <c r="AN27" s="96">
        <f t="shared" si="11"/>
        <v>0.55118217450300011</v>
      </c>
      <c r="AO27" s="96">
        <f t="shared" si="12"/>
        <v>0.44881782549699989</v>
      </c>
    </row>
    <row r="29" spans="1:41" x14ac:dyDescent="0.25">
      <c r="A29" s="180"/>
      <c r="C29" t="s">
        <v>201</v>
      </c>
      <c r="H29" s="29"/>
      <c r="I29" s="29"/>
      <c r="J29" s="29"/>
      <c r="V29" s="176"/>
      <c r="W29" s="176"/>
      <c r="X29" s="176"/>
      <c r="Y29" s="176"/>
      <c r="Z29" s="176"/>
      <c r="AA29" s="176"/>
      <c r="AB29" s="176"/>
    </row>
    <row r="30" spans="1:41" x14ac:dyDescent="0.25">
      <c r="A30" s="168" t="s">
        <v>40</v>
      </c>
      <c r="B30" s="20">
        <v>0.2896143019416435</v>
      </c>
      <c r="C30" s="20">
        <v>0.28693999999999997</v>
      </c>
    </row>
    <row r="31" spans="1:41" ht="30" x14ac:dyDescent="0.25">
      <c r="A31" s="175" t="s">
        <v>1</v>
      </c>
      <c r="B31" s="175" t="str">
        <f t="shared" ref="B31:G31" si="15">B2</f>
        <v>Small DG</v>
      </c>
      <c r="C31" s="175" t="str">
        <f t="shared" si="15"/>
        <v>Large DG</v>
      </c>
      <c r="D31" s="175" t="str">
        <f t="shared" si="15"/>
        <v>Traditional CS</v>
      </c>
      <c r="E31" s="175" t="str">
        <f t="shared" si="15"/>
        <v xml:space="preserve"> Public Schools </v>
      </c>
      <c r="F31" s="175" t="str">
        <f t="shared" si="15"/>
        <v xml:space="preserve"> CDCS </v>
      </c>
      <c r="G31" s="175" t="str">
        <f t="shared" si="15"/>
        <v xml:space="preserve"> EEC </v>
      </c>
      <c r="H31" s="22" t="s">
        <v>187</v>
      </c>
      <c r="I31" s="175" t="s">
        <v>188</v>
      </c>
      <c r="J31" s="175" t="s">
        <v>189</v>
      </c>
      <c r="K31" s="175" t="s">
        <v>190</v>
      </c>
      <c r="L31" s="175" t="s">
        <v>211</v>
      </c>
      <c r="M31" s="175" t="s">
        <v>212</v>
      </c>
      <c r="N31" s="175" t="s">
        <v>193</v>
      </c>
      <c r="O31" s="175" t="s">
        <v>194</v>
      </c>
      <c r="P31" s="175" t="s">
        <v>195</v>
      </c>
      <c r="Q31" s="298" t="s">
        <v>196</v>
      </c>
      <c r="R31" s="22" t="s">
        <v>197</v>
      </c>
      <c r="S31" s="22" t="s">
        <v>198</v>
      </c>
      <c r="T31" s="22" t="s">
        <v>199</v>
      </c>
      <c r="U31" s="22" t="s">
        <v>200</v>
      </c>
      <c r="V31" s="175" t="s">
        <v>124</v>
      </c>
      <c r="W31" s="175" t="s">
        <v>130</v>
      </c>
      <c r="X31" s="23" t="s">
        <v>139</v>
      </c>
      <c r="Y31" s="175" t="s">
        <v>144</v>
      </c>
      <c r="Z31" s="23" t="s">
        <v>148</v>
      </c>
      <c r="AA31" s="23" t="s">
        <v>151</v>
      </c>
      <c r="AB31" s="175" t="s">
        <v>81</v>
      </c>
      <c r="AC31" s="175" t="s">
        <v>82</v>
      </c>
      <c r="AD31" s="175" t="s">
        <v>77</v>
      </c>
      <c r="AE31" s="175" t="s">
        <v>201</v>
      </c>
      <c r="AF31" s="23" t="s">
        <v>202</v>
      </c>
      <c r="AG31" s="183" t="s">
        <v>203</v>
      </c>
      <c r="AH31" s="22" t="s">
        <v>204</v>
      </c>
      <c r="AI31" s="22" t="s">
        <v>205</v>
      </c>
      <c r="AL31" s="67" t="s">
        <v>207</v>
      </c>
      <c r="AM31" s="67" t="s">
        <v>208</v>
      </c>
      <c r="AN31" t="s">
        <v>209</v>
      </c>
      <c r="AO31" t="s">
        <v>210</v>
      </c>
    </row>
    <row r="32" spans="1:41" x14ac:dyDescent="0.25">
      <c r="A32" s="175"/>
      <c r="B32" s="175"/>
      <c r="C32" s="175"/>
      <c r="D32" s="175"/>
      <c r="E32" s="175"/>
      <c r="F32" s="175"/>
      <c r="G32" s="175"/>
      <c r="H32" s="22"/>
      <c r="I32" s="175"/>
      <c r="J32" s="175"/>
      <c r="K32" s="175"/>
      <c r="L32" s="175"/>
      <c r="M32" s="175"/>
      <c r="N32" s="175"/>
      <c r="O32" s="175"/>
      <c r="P32" s="175"/>
      <c r="Q32" s="175"/>
      <c r="R32" s="22"/>
      <c r="S32" s="165"/>
      <c r="T32" s="165">
        <f t="shared" ref="T32:T56" si="16">I32+L32+N32</f>
        <v>0</v>
      </c>
      <c r="U32" s="165">
        <f t="shared" ref="U32:U56" si="17">H32+R32</f>
        <v>0</v>
      </c>
      <c r="V32" s="175"/>
      <c r="W32" s="175"/>
      <c r="X32" s="175"/>
      <c r="Y32" s="175"/>
      <c r="Z32" s="175"/>
      <c r="AA32" s="175"/>
      <c r="AB32" s="175"/>
      <c r="AC32" s="175"/>
      <c r="AD32" s="175"/>
      <c r="AE32" s="175"/>
      <c r="AF32" s="175"/>
      <c r="AG32" s="22"/>
      <c r="AH32" s="22"/>
      <c r="AI32" s="22"/>
    </row>
    <row r="33" spans="1:41" x14ac:dyDescent="0.25">
      <c r="A33" s="168" t="s">
        <v>16</v>
      </c>
      <c r="B33" s="169">
        <f>'ABP Under Contract'!B32</f>
        <v>35653</v>
      </c>
      <c r="C33" s="169">
        <f>'ABP Under Contract'!C32</f>
        <v>126418</v>
      </c>
      <c r="D33" s="169">
        <f>'ABP Under Contract'!D32</f>
        <v>46468</v>
      </c>
      <c r="E33" s="169">
        <f>'ABP Under Contract'!E32</f>
        <v>0</v>
      </c>
      <c r="F33" s="169">
        <f>'ABP Under Contract'!F32</f>
        <v>0</v>
      </c>
      <c r="G33" s="169">
        <f>'ABP Under Contract'!G32</f>
        <v>0</v>
      </c>
      <c r="H33" s="165">
        <f>SUM(B33:G33)</f>
        <v>208539</v>
      </c>
      <c r="I33" s="169">
        <v>600000</v>
      </c>
      <c r="J33" s="169"/>
      <c r="K33" s="169">
        <v>3273</v>
      </c>
      <c r="L33" s="169">
        <v>214109</v>
      </c>
      <c r="M33" s="169">
        <v>2838</v>
      </c>
      <c r="N33" s="169"/>
      <c r="O33" s="169"/>
      <c r="P33" s="169"/>
      <c r="Q33" s="169">
        <f t="shared" ref="Q33:Q55" si="18">Q4*$B$30</f>
        <v>16876.288757022674</v>
      </c>
      <c r="R33" s="165">
        <f>SUM(I33:Q33)</f>
        <v>837096.2887570227</v>
      </c>
      <c r="S33" s="165">
        <f>H33+J33+K33+M33+O33+P33+Q33</f>
        <v>231526.28875702267</v>
      </c>
      <c r="T33" s="165">
        <f>I33+L33+N33</f>
        <v>814109</v>
      </c>
      <c r="U33" s="165">
        <f>H33+R33</f>
        <v>1045635.2887570227</v>
      </c>
      <c r="V33" s="165">
        <f t="shared" ref="V33:AD33" si="19">$B$30*V4</f>
        <v>0</v>
      </c>
      <c r="W33" s="165">
        <f t="shared" si="19"/>
        <v>0</v>
      </c>
      <c r="X33" s="165">
        <f t="shared" si="19"/>
        <v>0</v>
      </c>
      <c r="Y33" s="165">
        <f t="shared" si="19"/>
        <v>0</v>
      </c>
      <c r="Z33" s="165">
        <f t="shared" si="19"/>
        <v>0</v>
      </c>
      <c r="AA33" s="165">
        <f t="shared" si="19"/>
        <v>0</v>
      </c>
      <c r="AB33" s="165">
        <f t="shared" si="19"/>
        <v>0</v>
      </c>
      <c r="AC33" s="165">
        <f t="shared" si="19"/>
        <v>0</v>
      </c>
      <c r="AD33" s="165">
        <f t="shared" si="19"/>
        <v>0</v>
      </c>
      <c r="AE33" s="165"/>
      <c r="AF33" s="165">
        <f t="shared" ref="AF33:AF56" si="20">AF4*$B$30</f>
        <v>0</v>
      </c>
      <c r="AG33" s="165">
        <f>SUM(V33:AF33)</f>
        <v>0</v>
      </c>
      <c r="AH33" s="165">
        <f t="shared" ref="AH33:AH55" si="21">H33+R33+AG33</f>
        <v>1045635.2887570227</v>
      </c>
      <c r="AI33" s="182">
        <f>AH33/'Collections and ACP'!E40</f>
        <v>2.9488895906188278E-2</v>
      </c>
      <c r="AL33" s="163">
        <f>H33+J33+K33+M33+Q33+V33+W33+X33+Y33+Z33+AA33+AC33+AD33+AF33+O33+P33+AE33</f>
        <v>231526.28875702267</v>
      </c>
      <c r="AM33" s="163">
        <f>I33+L33+AB33+N33</f>
        <v>814109</v>
      </c>
      <c r="AN33" s="96">
        <f>AL33/(AL33+AM33)</f>
        <v>0.22142164791726257</v>
      </c>
      <c r="AO33" s="96">
        <f>1-AN33</f>
        <v>0.7785783520827374</v>
      </c>
    </row>
    <row r="34" spans="1:41" x14ac:dyDescent="0.25">
      <c r="A34" s="168" t="s">
        <v>17</v>
      </c>
      <c r="B34" s="169">
        <f>'ABP Under Contract'!B33</f>
        <v>49947</v>
      </c>
      <c r="C34" s="169">
        <f>'ABP Under Contract'!C33</f>
        <v>164286</v>
      </c>
      <c r="D34" s="169">
        <f>'ABP Under Contract'!D33</f>
        <v>99554</v>
      </c>
      <c r="E34" s="169">
        <f>'ABP Under Contract'!E33</f>
        <v>0</v>
      </c>
      <c r="F34" s="169">
        <f>'ABP Under Contract'!F33</f>
        <v>0</v>
      </c>
      <c r="G34" s="169">
        <f>'ABP Under Contract'!G33</f>
        <v>0</v>
      </c>
      <c r="H34" s="165">
        <f t="shared" ref="H34:H55" si="22">SUM(B34:G34)</f>
        <v>313787</v>
      </c>
      <c r="I34" s="169">
        <v>600000</v>
      </c>
      <c r="J34" s="169"/>
      <c r="K34" s="169">
        <v>2838</v>
      </c>
      <c r="L34" s="169">
        <v>605816</v>
      </c>
      <c r="M34" s="169">
        <v>269620.28230000002</v>
      </c>
      <c r="N34" s="169"/>
      <c r="O34" s="169"/>
      <c r="P34" s="169"/>
      <c r="Q34" s="169">
        <f t="shared" si="18"/>
        <v>18877.504275819301</v>
      </c>
      <c r="R34" s="165">
        <f t="shared" ref="R34:R55" si="23">SUM(I34:Q34)</f>
        <v>1497151.7865758194</v>
      </c>
      <c r="S34" s="165">
        <f t="shared" ref="S34:S56" si="24">H34+J34+K34+M34+O34+P34+Q34</f>
        <v>605122.78657581937</v>
      </c>
      <c r="T34" s="165">
        <f t="shared" si="16"/>
        <v>1205816</v>
      </c>
      <c r="U34" s="165">
        <f t="shared" si="17"/>
        <v>1810938.7865758194</v>
      </c>
      <c r="V34" s="165">
        <f t="shared" ref="V34:AD34" si="25">$B$30*V5</f>
        <v>0</v>
      </c>
      <c r="W34" s="165">
        <f t="shared" si="25"/>
        <v>0</v>
      </c>
      <c r="X34" s="165">
        <f t="shared" si="25"/>
        <v>0</v>
      </c>
      <c r="Y34" s="165">
        <f t="shared" si="25"/>
        <v>0</v>
      </c>
      <c r="Z34" s="165">
        <f t="shared" si="25"/>
        <v>0</v>
      </c>
      <c r="AA34" s="165">
        <f t="shared" si="25"/>
        <v>0</v>
      </c>
      <c r="AB34" s="165">
        <f t="shared" si="25"/>
        <v>0</v>
      </c>
      <c r="AC34" s="165">
        <f t="shared" si="25"/>
        <v>0</v>
      </c>
      <c r="AD34" s="165">
        <f t="shared" si="25"/>
        <v>0</v>
      </c>
      <c r="AE34" s="165"/>
      <c r="AF34" s="165">
        <f t="shared" si="20"/>
        <v>0</v>
      </c>
      <c r="AG34" s="165">
        <f t="shared" ref="AG34:AG35" si="26">SUM(V34:AF34)</f>
        <v>0</v>
      </c>
      <c r="AH34" s="165">
        <f t="shared" si="21"/>
        <v>1810938.7865758194</v>
      </c>
      <c r="AI34" s="182">
        <f>AH34/'Collections and ACP'!E41</f>
        <v>5.1631217779137088E-2</v>
      </c>
      <c r="AL34" s="163">
        <f t="shared" ref="AL34:AL56" si="27">H34+J34+K34+M34+Q34+V34+W34+X34+Y34+Z34+AA34+AC34+AD34+AF34+O34+P34+AE34</f>
        <v>605122.78657581937</v>
      </c>
      <c r="AM34" s="163">
        <f t="shared" ref="AM34:AM56" si="28">I34+L34+AB34+N34</f>
        <v>1205816</v>
      </c>
      <c r="AN34" s="96">
        <f t="shared" ref="AN34:AN56" si="29">AL34/(AL34+AM34)</f>
        <v>0.33414866977365082</v>
      </c>
      <c r="AO34" s="96">
        <f t="shared" ref="AO34:AO56" si="30">1-AN34</f>
        <v>0.66585133022634913</v>
      </c>
    </row>
    <row r="35" spans="1:41" x14ac:dyDescent="0.25">
      <c r="A35" s="168" t="s">
        <v>18</v>
      </c>
      <c r="B35" s="169">
        <f>'ABP Under Contract'!B34</f>
        <v>67216</v>
      </c>
      <c r="C35" s="169">
        <f>'ABP Under Contract'!C34</f>
        <v>181268</v>
      </c>
      <c r="D35" s="169">
        <f>'ABP Under Contract'!D34</f>
        <v>111714</v>
      </c>
      <c r="E35" s="169">
        <f>'ABP Under Contract'!E34</f>
        <v>0</v>
      </c>
      <c r="F35" s="169">
        <f>'ABP Under Contract'!F34</f>
        <v>0</v>
      </c>
      <c r="G35" s="169">
        <f>'ABP Under Contract'!G34</f>
        <v>0</v>
      </c>
      <c r="H35" s="165">
        <f t="shared" si="22"/>
        <v>360198</v>
      </c>
      <c r="I35" s="169">
        <v>600000</v>
      </c>
      <c r="J35" s="169"/>
      <c r="K35" s="169">
        <v>327</v>
      </c>
      <c r="L35" s="169">
        <v>605816</v>
      </c>
      <c r="M35" s="169">
        <v>585317.28229999996</v>
      </c>
      <c r="N35" s="169"/>
      <c r="O35" s="169"/>
      <c r="P35" s="169"/>
      <c r="Q35" s="169">
        <f t="shared" si="18"/>
        <v>18783.116754440205</v>
      </c>
      <c r="R35" s="165">
        <f t="shared" si="23"/>
        <v>1810243.3990544402</v>
      </c>
      <c r="S35" s="165">
        <f t="shared" si="24"/>
        <v>964625.3990544402</v>
      </c>
      <c r="T35" s="165">
        <f t="shared" si="16"/>
        <v>1205816</v>
      </c>
      <c r="U35" s="165">
        <f t="shared" si="17"/>
        <v>2170441.3990544402</v>
      </c>
      <c r="V35" s="165">
        <f t="shared" ref="V35:AD35" si="31">$B$30*V6</f>
        <v>0</v>
      </c>
      <c r="W35" s="165">
        <f t="shared" si="31"/>
        <v>0</v>
      </c>
      <c r="X35" s="165">
        <f t="shared" si="31"/>
        <v>0</v>
      </c>
      <c r="Y35" s="165">
        <f t="shared" si="31"/>
        <v>0</v>
      </c>
      <c r="Z35" s="165">
        <f t="shared" si="31"/>
        <v>0</v>
      </c>
      <c r="AA35" s="165">
        <f t="shared" si="31"/>
        <v>0</v>
      </c>
      <c r="AB35" s="165">
        <f t="shared" si="31"/>
        <v>0</v>
      </c>
      <c r="AC35" s="165">
        <f t="shared" si="31"/>
        <v>0</v>
      </c>
      <c r="AD35" s="165">
        <f t="shared" si="31"/>
        <v>0</v>
      </c>
      <c r="AE35" s="165"/>
      <c r="AF35" s="165">
        <f t="shared" si="20"/>
        <v>0</v>
      </c>
      <c r="AG35" s="165">
        <f t="shared" si="26"/>
        <v>0</v>
      </c>
      <c r="AH35" s="165">
        <f t="shared" si="21"/>
        <v>2170441.3990544402</v>
      </c>
      <c r="AI35" s="182">
        <f>AH35/'Collections and ACP'!E42</f>
        <v>6.3244029037442834E-2</v>
      </c>
      <c r="AJ35" s="163"/>
      <c r="AK35" s="163"/>
      <c r="AL35" s="163">
        <f t="shared" si="27"/>
        <v>964625.3990544402</v>
      </c>
      <c r="AM35" s="163">
        <f t="shared" si="28"/>
        <v>1205816</v>
      </c>
      <c r="AN35" s="96">
        <f t="shared" si="29"/>
        <v>0.4444374307800627</v>
      </c>
      <c r="AO35" s="96">
        <f t="shared" si="30"/>
        <v>0.5555625692199373</v>
      </c>
    </row>
    <row r="36" spans="1:41" x14ac:dyDescent="0.25">
      <c r="A36" s="168" t="s">
        <v>19</v>
      </c>
      <c r="B36" s="169">
        <f>'ABP Under Contract'!B35</f>
        <v>99301</v>
      </c>
      <c r="C36" s="169">
        <f>'ABP Under Contract'!C35</f>
        <v>207594</v>
      </c>
      <c r="D36" s="169">
        <f>'ABP Under Contract'!D35</f>
        <v>173414</v>
      </c>
      <c r="E36" s="169">
        <f>'ABP Under Contract'!E35</f>
        <v>0</v>
      </c>
      <c r="F36" s="169">
        <f>'ABP Under Contract'!F35</f>
        <v>0</v>
      </c>
      <c r="G36" s="169">
        <f>'ABP Under Contract'!G35</f>
        <v>0</v>
      </c>
      <c r="H36" s="165">
        <f t="shared" si="22"/>
        <v>480309</v>
      </c>
      <c r="I36" s="169">
        <v>600000</v>
      </c>
      <c r="J36" s="169"/>
      <c r="K36" s="28"/>
      <c r="L36" s="169">
        <v>605816</v>
      </c>
      <c r="M36" s="169">
        <v>585317.28229999996</v>
      </c>
      <c r="N36" s="169"/>
      <c r="O36" s="169"/>
      <c r="P36" s="169"/>
      <c r="Q36" s="169">
        <f t="shared" si="18"/>
        <v>18689.201170668006</v>
      </c>
      <c r="R36" s="165">
        <f t="shared" si="23"/>
        <v>1809822.4834706681</v>
      </c>
      <c r="S36" s="165">
        <f t="shared" si="24"/>
        <v>1084315.4834706681</v>
      </c>
      <c r="T36" s="165">
        <f t="shared" si="16"/>
        <v>1205816</v>
      </c>
      <c r="U36" s="165">
        <f t="shared" si="17"/>
        <v>2290131.4834706681</v>
      </c>
      <c r="V36" s="165">
        <f t="shared" ref="V36:AD36" si="32">$B$30*V7</f>
        <v>0</v>
      </c>
      <c r="W36" s="165">
        <f t="shared" si="32"/>
        <v>0</v>
      </c>
      <c r="X36" s="165">
        <f t="shared" si="32"/>
        <v>0</v>
      </c>
      <c r="Y36" s="165">
        <f t="shared" si="32"/>
        <v>0</v>
      </c>
      <c r="Z36" s="165">
        <f t="shared" si="32"/>
        <v>0</v>
      </c>
      <c r="AA36" s="165">
        <f t="shared" si="32"/>
        <v>0</v>
      </c>
      <c r="AB36" s="165">
        <f t="shared" si="32"/>
        <v>0</v>
      </c>
      <c r="AC36" s="165">
        <f t="shared" si="32"/>
        <v>0</v>
      </c>
      <c r="AD36" s="165">
        <f t="shared" si="32"/>
        <v>0</v>
      </c>
      <c r="AE36" s="165"/>
      <c r="AF36" s="165">
        <f t="shared" si="20"/>
        <v>13611.872191257246</v>
      </c>
      <c r="AG36" s="165">
        <f>SUM(V36:AF36)</f>
        <v>13611.872191257246</v>
      </c>
      <c r="AH36" s="165">
        <f t="shared" si="21"/>
        <v>2303743.3556619254</v>
      </c>
      <c r="AI36" s="182">
        <f>AH36/'Collections and ACP'!E43</f>
        <v>6.7830445125754285E-2</v>
      </c>
      <c r="AJ36" s="163"/>
      <c r="AK36" s="163"/>
      <c r="AL36" s="163">
        <f t="shared" si="27"/>
        <v>1097927.3556619254</v>
      </c>
      <c r="AM36" s="163">
        <f t="shared" si="28"/>
        <v>1205816</v>
      </c>
      <c r="AN36" s="96">
        <f t="shared" si="29"/>
        <v>0.47658405740532772</v>
      </c>
      <c r="AO36" s="96">
        <f t="shared" si="30"/>
        <v>0.52341594259467228</v>
      </c>
    </row>
    <row r="37" spans="1:41" x14ac:dyDescent="0.25">
      <c r="A37" s="168" t="s">
        <v>21</v>
      </c>
      <c r="B37" s="169">
        <f>'ABP Under Contract'!B36</f>
        <v>110270</v>
      </c>
      <c r="C37" s="169">
        <f>'ABP Under Contract'!C36</f>
        <v>240704</v>
      </c>
      <c r="D37" s="169">
        <f>'ABP Under Contract'!D36</f>
        <v>271713</v>
      </c>
      <c r="E37" s="169">
        <f>'ABP Under Contract'!E36</f>
        <v>720</v>
      </c>
      <c r="F37" s="169">
        <f>'ABP Under Contract'!F36</f>
        <v>0</v>
      </c>
      <c r="G37" s="169">
        <f>'ABP Under Contract'!G36</f>
        <v>0</v>
      </c>
      <c r="H37" s="165">
        <f t="shared" si="22"/>
        <v>623407</v>
      </c>
      <c r="I37" s="169">
        <v>600000</v>
      </c>
      <c r="J37" s="169"/>
      <c r="K37" s="28"/>
      <c r="L37" s="169">
        <v>605816</v>
      </c>
      <c r="M37" s="169">
        <v>585317.28229999996</v>
      </c>
      <c r="N37" s="169">
        <f t="shared" ref="N37:P56" si="33">N8*$B$30</f>
        <v>0</v>
      </c>
      <c r="O37" s="169">
        <f t="shared" si="33"/>
        <v>0</v>
      </c>
      <c r="P37" s="169">
        <f t="shared" si="33"/>
        <v>0</v>
      </c>
      <c r="Q37" s="169">
        <f t="shared" si="18"/>
        <v>18595.755164814665</v>
      </c>
      <c r="R37" s="165">
        <f t="shared" si="23"/>
        <v>1809729.0374648147</v>
      </c>
      <c r="S37" s="165">
        <f>H37+J37+K37+M37+O37+P37+Q37</f>
        <v>1227320.0374648147</v>
      </c>
      <c r="T37" s="165">
        <f t="shared" si="16"/>
        <v>1205816</v>
      </c>
      <c r="U37" s="165">
        <f t="shared" si="17"/>
        <v>2433136.0374648147</v>
      </c>
      <c r="V37" s="165">
        <f t="shared" ref="V37:AD37" si="34">$B$30*V8</f>
        <v>0</v>
      </c>
      <c r="W37" s="165">
        <f t="shared" si="34"/>
        <v>0</v>
      </c>
      <c r="X37" s="165">
        <f t="shared" si="34"/>
        <v>0</v>
      </c>
      <c r="Y37" s="165">
        <f t="shared" si="34"/>
        <v>0</v>
      </c>
      <c r="Z37" s="165">
        <f t="shared" si="34"/>
        <v>0</v>
      </c>
      <c r="AA37" s="165">
        <f t="shared" si="34"/>
        <v>0</v>
      </c>
      <c r="AB37" s="165">
        <f t="shared" si="34"/>
        <v>0</v>
      </c>
      <c r="AC37" s="165">
        <f t="shared" si="34"/>
        <v>0</v>
      </c>
      <c r="AD37" s="165">
        <f t="shared" si="34"/>
        <v>0</v>
      </c>
      <c r="AE37" s="165">
        <f t="shared" ref="AE37:AE56" si="35">AE8*$C$30</f>
        <v>108781.82339999999</v>
      </c>
      <c r="AF37" s="165">
        <f t="shared" si="20"/>
        <v>27087.625660601916</v>
      </c>
      <c r="AG37" s="165">
        <f>SUM(V37:AF37)</f>
        <v>135869.44906060191</v>
      </c>
      <c r="AH37" s="165">
        <f t="shared" si="21"/>
        <v>2569005.4865254168</v>
      </c>
      <c r="AI37" s="182">
        <f>AH37/'Collections and ACP'!E44</f>
        <v>7.4157559930625019E-2</v>
      </c>
      <c r="AJ37" s="163"/>
      <c r="AK37" s="163"/>
      <c r="AL37" s="163">
        <f t="shared" si="27"/>
        <v>1363189.4865254168</v>
      </c>
      <c r="AM37" s="163">
        <f t="shared" si="28"/>
        <v>1205816</v>
      </c>
      <c r="AN37" s="96">
        <f t="shared" si="29"/>
        <v>0.53062926244238284</v>
      </c>
      <c r="AO37" s="96">
        <f t="shared" si="30"/>
        <v>0.46937073755761716</v>
      </c>
    </row>
    <row r="38" spans="1:41" x14ac:dyDescent="0.25">
      <c r="A38" s="168" t="s">
        <v>22</v>
      </c>
      <c r="B38" s="169">
        <f>'ABP Under Contract'!B37</f>
        <v>118291</v>
      </c>
      <c r="C38" s="169">
        <f>'ABP Under Contract'!C37</f>
        <v>275159</v>
      </c>
      <c r="D38" s="169">
        <f>'ABP Under Contract'!D37</f>
        <v>540618</v>
      </c>
      <c r="E38" s="169">
        <f>'ABP Under Contract'!E37</f>
        <v>7011</v>
      </c>
      <c r="F38" s="169">
        <f>'ABP Under Contract'!F37</f>
        <v>36435</v>
      </c>
      <c r="G38" s="169">
        <f>'ABP Under Contract'!G37</f>
        <v>269651</v>
      </c>
      <c r="H38" s="165">
        <f t="shared" si="22"/>
        <v>1247165</v>
      </c>
      <c r="I38" s="169">
        <v>600000</v>
      </c>
      <c r="J38" s="169"/>
      <c r="K38" s="28"/>
      <c r="L38" s="169">
        <v>605816</v>
      </c>
      <c r="M38" s="169">
        <f>585317.2823+165080</f>
        <v>750397.28229999996</v>
      </c>
      <c r="N38" s="169">
        <f t="shared" si="33"/>
        <v>22075.608159030289</v>
      </c>
      <c r="O38" s="169">
        <f t="shared" si="33"/>
        <v>31595.730146071903</v>
      </c>
      <c r="P38" s="169">
        <f t="shared" si="33"/>
        <v>236.87276043462694</v>
      </c>
      <c r="Q38" s="169">
        <f t="shared" si="18"/>
        <v>18502.776388990595</v>
      </c>
      <c r="R38" s="165">
        <f t="shared" si="23"/>
        <v>2028624.2697545276</v>
      </c>
      <c r="S38" s="165">
        <f t="shared" si="24"/>
        <v>2047897.6615954973</v>
      </c>
      <c r="T38" s="165">
        <f t="shared" si="16"/>
        <v>1227891.6081590303</v>
      </c>
      <c r="U38" s="165">
        <f t="shared" si="17"/>
        <v>3275789.2697545276</v>
      </c>
      <c r="V38" s="165">
        <f t="shared" ref="V38:AD38" si="36">$B$30*V9</f>
        <v>9568.7097346496721</v>
      </c>
      <c r="W38" s="165">
        <f t="shared" si="36"/>
        <v>20854.208188856697</v>
      </c>
      <c r="X38" s="165">
        <f t="shared" si="36"/>
        <v>0</v>
      </c>
      <c r="Y38" s="165">
        <f t="shared" si="36"/>
        <v>60902.169143466897</v>
      </c>
      <c r="Z38" s="165">
        <f t="shared" si="36"/>
        <v>0</v>
      </c>
      <c r="AA38" s="165">
        <f t="shared" si="36"/>
        <v>23885.819220930891</v>
      </c>
      <c r="AB38" s="165">
        <f t="shared" si="36"/>
        <v>0</v>
      </c>
      <c r="AC38" s="165">
        <f t="shared" si="36"/>
        <v>0</v>
      </c>
      <c r="AD38" s="165">
        <f t="shared" si="36"/>
        <v>0</v>
      </c>
      <c r="AE38" s="165">
        <f t="shared" si="35"/>
        <v>108781.82339999999</v>
      </c>
      <c r="AF38" s="165">
        <f t="shared" si="20"/>
        <v>40631.438490902874</v>
      </c>
      <c r="AG38" s="165">
        <f t="shared" ref="AG38:AG56" si="37">SUM(V38:AF38)</f>
        <v>264624.16817880701</v>
      </c>
      <c r="AH38" s="165">
        <f t="shared" si="21"/>
        <v>3540413.4379333346</v>
      </c>
      <c r="AI38" s="182">
        <f>AH38/'Collections and ACP'!E45</f>
        <v>0.10688776137031865</v>
      </c>
      <c r="AJ38" s="163"/>
      <c r="AK38" s="163"/>
      <c r="AL38" s="163">
        <f t="shared" si="27"/>
        <v>2312521.8297743043</v>
      </c>
      <c r="AM38" s="163">
        <f t="shared" si="28"/>
        <v>1227891.6081590303</v>
      </c>
      <c r="AN38" s="96">
        <f t="shared" si="29"/>
        <v>0.65317846921409428</v>
      </c>
      <c r="AO38" s="96">
        <f t="shared" si="30"/>
        <v>0.34682153078590572</v>
      </c>
    </row>
    <row r="39" spans="1:41" x14ac:dyDescent="0.25">
      <c r="A39" s="168" t="s">
        <v>23</v>
      </c>
      <c r="B39" s="169">
        <f>'ABP Under Contract'!B38</f>
        <v>123981</v>
      </c>
      <c r="C39" s="169">
        <f>'ABP Under Contract'!C38</f>
        <v>273769</v>
      </c>
      <c r="D39" s="169">
        <f>'ABP Under Contract'!D38</f>
        <v>681628</v>
      </c>
      <c r="E39" s="169">
        <f>'ABP Under Contract'!E38</f>
        <v>9095</v>
      </c>
      <c r="F39" s="169">
        <f>'ABP Under Contract'!F38</f>
        <v>49403</v>
      </c>
      <c r="G39" s="169">
        <f>'ABP Under Contract'!G38</f>
        <v>344201</v>
      </c>
      <c r="H39" s="165">
        <f t="shared" si="22"/>
        <v>1482077</v>
      </c>
      <c r="I39" s="169">
        <v>600000</v>
      </c>
      <c r="J39" s="169"/>
      <c r="K39" s="28"/>
      <c r="L39" s="169">
        <v>605816</v>
      </c>
      <c r="M39" s="169">
        <f t="shared" ref="M39:M48" si="38">585317.2823+165080</f>
        <v>750397.28229999996</v>
      </c>
      <c r="N39" s="169">
        <f t="shared" si="33"/>
        <v>168055.75098842027</v>
      </c>
      <c r="O39" s="169">
        <f t="shared" si="33"/>
        <v>129579.74196544371</v>
      </c>
      <c r="P39" s="169">
        <f t="shared" si="33"/>
        <v>3978.3272657674856</v>
      </c>
      <c r="Q39" s="169">
        <f t="shared" si="18"/>
        <v>18410.262507045642</v>
      </c>
      <c r="R39" s="165">
        <f t="shared" si="23"/>
        <v>2276237.365026677</v>
      </c>
      <c r="S39" s="165">
        <f t="shared" si="24"/>
        <v>2384442.6140382569</v>
      </c>
      <c r="T39" s="165">
        <f t="shared" si="16"/>
        <v>1373871.7509884203</v>
      </c>
      <c r="U39" s="165">
        <f t="shared" si="17"/>
        <v>3758314.365026677</v>
      </c>
      <c r="V39" s="165">
        <f t="shared" ref="V39:AD39" si="39">$B$30*V10</f>
        <v>60203.580943731205</v>
      </c>
      <c r="W39" s="165">
        <f t="shared" si="39"/>
        <v>74710.192959890788</v>
      </c>
      <c r="X39" s="165">
        <f t="shared" si="39"/>
        <v>9497.8289182150147</v>
      </c>
      <c r="Y39" s="165">
        <f t="shared" si="39"/>
        <v>105206.81391801903</v>
      </c>
      <c r="Z39" s="165">
        <f t="shared" si="39"/>
        <v>0</v>
      </c>
      <c r="AA39" s="165">
        <f t="shared" si="39"/>
        <v>83722.229915913296</v>
      </c>
      <c r="AB39" s="165">
        <f t="shared" si="39"/>
        <v>0</v>
      </c>
      <c r="AC39" s="165">
        <f t="shared" si="39"/>
        <v>0</v>
      </c>
      <c r="AD39" s="165">
        <f t="shared" si="39"/>
        <v>0</v>
      </c>
      <c r="AE39" s="165">
        <f t="shared" si="35"/>
        <v>108781.82339999999</v>
      </c>
      <c r="AF39" s="165">
        <f t="shared" si="20"/>
        <v>54175.251321203832</v>
      </c>
      <c r="AG39" s="165">
        <f t="shared" si="37"/>
        <v>496297.72137697315</v>
      </c>
      <c r="AH39" s="165">
        <f t="shared" si="21"/>
        <v>4254612.0864036502</v>
      </c>
      <c r="AI39" s="182">
        <f>AH39/'Collections and ACP'!E46</f>
        <v>0.1295210469159625</v>
      </c>
      <c r="AJ39" s="163"/>
      <c r="AK39" s="163"/>
      <c r="AL39" s="163">
        <f t="shared" si="27"/>
        <v>2880740.3354152301</v>
      </c>
      <c r="AM39" s="163">
        <f t="shared" si="28"/>
        <v>1373871.7509884203</v>
      </c>
      <c r="AN39" s="96">
        <f t="shared" si="29"/>
        <v>0.67708648330623011</v>
      </c>
      <c r="AO39" s="96">
        <f t="shared" si="30"/>
        <v>0.32291351669376989</v>
      </c>
    </row>
    <row r="40" spans="1:41" x14ac:dyDescent="0.25">
      <c r="A40" s="168" t="s">
        <v>24</v>
      </c>
      <c r="B40" s="169">
        <f>'ABP Under Contract'!B39</f>
        <v>123374</v>
      </c>
      <c r="C40" s="169">
        <f>'ABP Under Contract'!C39</f>
        <v>272377</v>
      </c>
      <c r="D40" s="169">
        <f>'ABP Under Contract'!D39</f>
        <v>678222</v>
      </c>
      <c r="E40" s="169">
        <f>'ABP Under Contract'!E39</f>
        <v>9050</v>
      </c>
      <c r="F40" s="169">
        <f>'ABP Under Contract'!F39</f>
        <v>49154</v>
      </c>
      <c r="G40" s="169">
        <f>'ABP Under Contract'!G39</f>
        <v>342477</v>
      </c>
      <c r="H40" s="165">
        <f t="shared" si="22"/>
        <v>1474654</v>
      </c>
      <c r="I40" s="169">
        <v>600000</v>
      </c>
      <c r="J40" s="169"/>
      <c r="K40" s="28"/>
      <c r="L40" s="169">
        <v>605816</v>
      </c>
      <c r="M40" s="169">
        <f t="shared" si="38"/>
        <v>750397.28229999996</v>
      </c>
      <c r="N40" s="169">
        <f t="shared" si="33"/>
        <v>524474.45046857034</v>
      </c>
      <c r="O40" s="169">
        <f t="shared" si="33"/>
        <v>577375.97373570211</v>
      </c>
      <c r="P40" s="169">
        <f t="shared" si="33"/>
        <v>14778.517888633702</v>
      </c>
      <c r="Q40" s="169">
        <f t="shared" si="18"/>
        <v>18318.211194510412</v>
      </c>
      <c r="R40" s="165">
        <f t="shared" si="23"/>
        <v>3091160.4355874169</v>
      </c>
      <c r="S40" s="165">
        <f t="shared" si="24"/>
        <v>2835523.9851188464</v>
      </c>
      <c r="T40" s="165">
        <f t="shared" si="16"/>
        <v>1730290.4504685705</v>
      </c>
      <c r="U40" s="165">
        <f t="shared" si="17"/>
        <v>4565814.4355874173</v>
      </c>
      <c r="V40" s="165">
        <f t="shared" ref="V40:AD40" si="40">$B$30*V11</f>
        <v>110585.27779676733</v>
      </c>
      <c r="W40" s="165">
        <f t="shared" si="40"/>
        <v>128296.8978070697</v>
      </c>
      <c r="X40" s="165">
        <f t="shared" si="40"/>
        <v>102100.12452341439</v>
      </c>
      <c r="Y40" s="165">
        <f t="shared" si="40"/>
        <v>149289.93546869842</v>
      </c>
      <c r="Z40" s="165">
        <f t="shared" si="40"/>
        <v>13725.894037005994</v>
      </c>
      <c r="AA40" s="165">
        <f t="shared" si="40"/>
        <v>143259.45855742082</v>
      </c>
      <c r="AB40" s="165">
        <f t="shared" si="40"/>
        <v>0</v>
      </c>
      <c r="AC40" s="165">
        <f t="shared" si="40"/>
        <v>0</v>
      </c>
      <c r="AD40" s="165">
        <f t="shared" si="40"/>
        <v>0</v>
      </c>
      <c r="AE40" s="165">
        <f t="shared" si="35"/>
        <v>108781.82339999999</v>
      </c>
      <c r="AF40" s="165">
        <f t="shared" si="20"/>
        <v>67719.06415150479</v>
      </c>
      <c r="AG40" s="165">
        <f t="shared" si="37"/>
        <v>823758.47574188141</v>
      </c>
      <c r="AH40" s="165">
        <f t="shared" si="21"/>
        <v>5389572.9113292992</v>
      </c>
      <c r="AI40" s="182">
        <f>AH40/'Collections and ACP'!E47</f>
        <v>0.16537796102779709</v>
      </c>
      <c r="AJ40" s="163"/>
      <c r="AK40" s="163"/>
      <c r="AL40" s="163">
        <f t="shared" si="27"/>
        <v>3659282.4608607278</v>
      </c>
      <c r="AM40" s="163">
        <f t="shared" si="28"/>
        <v>1730290.4504685705</v>
      </c>
      <c r="AN40" s="96">
        <f t="shared" si="29"/>
        <v>0.67895592490615231</v>
      </c>
      <c r="AO40" s="96">
        <f t="shared" si="30"/>
        <v>0.32104407509384769</v>
      </c>
    </row>
    <row r="41" spans="1:41" x14ac:dyDescent="0.25">
      <c r="A41" s="168" t="s">
        <v>25</v>
      </c>
      <c r="B41" s="169">
        <f>'ABP Under Contract'!B40</f>
        <v>122742</v>
      </c>
      <c r="C41" s="169">
        <f>'ABP Under Contract'!C40</f>
        <v>271047</v>
      </c>
      <c r="D41" s="169">
        <f>'ABP Under Contract'!D40</f>
        <v>674827</v>
      </c>
      <c r="E41" s="169">
        <f>'ABP Under Contract'!E40</f>
        <v>9003</v>
      </c>
      <c r="F41" s="169">
        <f>'ABP Under Contract'!F40</f>
        <v>48910</v>
      </c>
      <c r="G41" s="169">
        <f>'ABP Under Contract'!G40</f>
        <v>340769</v>
      </c>
      <c r="H41" s="165">
        <f t="shared" si="22"/>
        <v>1467298</v>
      </c>
      <c r="I41" s="169">
        <v>600000</v>
      </c>
      <c r="J41" s="169"/>
      <c r="K41" s="28"/>
      <c r="L41" s="169">
        <v>605816</v>
      </c>
      <c r="M41" s="169">
        <f t="shared" si="38"/>
        <v>750397.28229999996</v>
      </c>
      <c r="N41" s="169">
        <f t="shared" si="33"/>
        <v>899359.29125402565</v>
      </c>
      <c r="O41" s="169">
        <f t="shared" si="33"/>
        <v>1365151.0017291107</v>
      </c>
      <c r="P41" s="169">
        <f t="shared" si="33"/>
        <v>45326.746839259446</v>
      </c>
      <c r="Q41" s="169">
        <f t="shared" si="18"/>
        <v>18226.620138537863</v>
      </c>
      <c r="R41" s="165">
        <f t="shared" si="23"/>
        <v>4284276.942260934</v>
      </c>
      <c r="S41" s="165">
        <f t="shared" si="24"/>
        <v>3646399.6510069082</v>
      </c>
      <c r="T41" s="165">
        <f t="shared" si="16"/>
        <v>2105175.2912540259</v>
      </c>
      <c r="U41" s="165">
        <f t="shared" si="17"/>
        <v>5751574.942260934</v>
      </c>
      <c r="V41" s="165">
        <f t="shared" ref="V41:AD41" si="41">$B$30*V12</f>
        <v>160715.0661655383</v>
      </c>
      <c r="W41" s="165">
        <f t="shared" si="41"/>
        <v>181615.66913001271</v>
      </c>
      <c r="X41" s="165">
        <f t="shared" si="41"/>
        <v>194239.40865058775</v>
      </c>
      <c r="Y41" s="165">
        <f t="shared" si="41"/>
        <v>193152.64141162441</v>
      </c>
      <c r="Z41" s="165">
        <f t="shared" si="41"/>
        <v>27383.15860382696</v>
      </c>
      <c r="AA41" s="165">
        <f t="shared" si="41"/>
        <v>202499.00105572079</v>
      </c>
      <c r="AB41" s="165">
        <f t="shared" si="41"/>
        <v>724035.75485410879</v>
      </c>
      <c r="AC41" s="165">
        <f t="shared" si="41"/>
        <v>193076.00821822771</v>
      </c>
      <c r="AD41" s="165">
        <f t="shared" si="41"/>
        <v>24617.215665039697</v>
      </c>
      <c r="AE41" s="165">
        <f t="shared" si="35"/>
        <v>108781.82339999999</v>
      </c>
      <c r="AF41" s="165">
        <f t="shared" si="20"/>
        <v>81262.876981805748</v>
      </c>
      <c r="AG41" s="165">
        <f t="shared" si="37"/>
        <v>2091378.6241364928</v>
      </c>
      <c r="AH41" s="165">
        <f t="shared" si="21"/>
        <v>7842953.5663974266</v>
      </c>
      <c r="AI41" s="182">
        <f>AH41/'Collections and ACP'!E48</f>
        <v>0.242678294514826</v>
      </c>
      <c r="AJ41" s="163"/>
      <c r="AK41" s="163"/>
      <c r="AL41" s="163">
        <f t="shared" si="27"/>
        <v>5013742.5202892935</v>
      </c>
      <c r="AM41" s="163">
        <f t="shared" si="28"/>
        <v>2829211.0461081341</v>
      </c>
      <c r="AN41" s="96">
        <f t="shared" si="29"/>
        <v>0.63926714315513911</v>
      </c>
      <c r="AO41" s="96">
        <f t="shared" si="30"/>
        <v>0.36073285684486089</v>
      </c>
    </row>
    <row r="42" spans="1:41" x14ac:dyDescent="0.25">
      <c r="A42" s="168" t="s">
        <v>26</v>
      </c>
      <c r="B42" s="169">
        <f>'ABP Under Contract'!B41</f>
        <v>122111</v>
      </c>
      <c r="C42" s="169">
        <f>'ABP Under Contract'!C41</f>
        <v>269696</v>
      </c>
      <c r="D42" s="169">
        <f>'ABP Under Contract'!D41</f>
        <v>671446</v>
      </c>
      <c r="E42" s="169">
        <f>'ABP Under Contract'!E41</f>
        <v>8959</v>
      </c>
      <c r="F42" s="169">
        <f>'ABP Under Contract'!F41</f>
        <v>48666</v>
      </c>
      <c r="G42" s="169">
        <f>'ABP Under Contract'!G41</f>
        <v>339059</v>
      </c>
      <c r="H42" s="165">
        <f t="shared" si="22"/>
        <v>1459937</v>
      </c>
      <c r="I42" s="169">
        <v>600000</v>
      </c>
      <c r="J42" s="169"/>
      <c r="K42" s="28"/>
      <c r="L42" s="169">
        <v>605816</v>
      </c>
      <c r="M42" s="169">
        <f t="shared" si="38"/>
        <v>750397.28229999996</v>
      </c>
      <c r="N42" s="169">
        <f t="shared" si="33"/>
        <v>1063226.338711343</v>
      </c>
      <c r="O42" s="169">
        <f t="shared" si="33"/>
        <v>1558342.8893314833</v>
      </c>
      <c r="P42" s="169">
        <f t="shared" si="33"/>
        <v>45100.113105063152</v>
      </c>
      <c r="Q42" s="169">
        <f t="shared" si="18"/>
        <v>18135.487037845171</v>
      </c>
      <c r="R42" s="165">
        <f t="shared" si="23"/>
        <v>4641018.1104857344</v>
      </c>
      <c r="S42" s="165">
        <f t="shared" si="24"/>
        <v>3831912.7717743916</v>
      </c>
      <c r="T42" s="165">
        <f t="shared" si="16"/>
        <v>2269042.3387113428</v>
      </c>
      <c r="U42" s="165">
        <f t="shared" si="17"/>
        <v>6100955.1104857344</v>
      </c>
      <c r="V42" s="165">
        <f t="shared" ref="V42:AD42" si="42">$B$30*V13</f>
        <v>210594.20559246538</v>
      </c>
      <c r="W42" s="165">
        <f t="shared" si="42"/>
        <v>234667.846596341</v>
      </c>
      <c r="X42" s="165">
        <f t="shared" si="42"/>
        <v>285917.99635712523</v>
      </c>
      <c r="Y42" s="165">
        <f t="shared" si="42"/>
        <v>236796.03382483576</v>
      </c>
      <c r="Z42" s="165">
        <f t="shared" si="42"/>
        <v>40972.13684781381</v>
      </c>
      <c r="AA42" s="165">
        <f t="shared" si="42"/>
        <v>261442.34584152926</v>
      </c>
      <c r="AB42" s="165">
        <f t="shared" si="42"/>
        <v>1448071.5097082176</v>
      </c>
      <c r="AC42" s="165">
        <f t="shared" si="42"/>
        <v>626532.08108960185</v>
      </c>
      <c r="AD42" s="165">
        <f t="shared" si="42"/>
        <v>49111.345251754195</v>
      </c>
      <c r="AE42" s="165">
        <f t="shared" si="35"/>
        <v>108781.82339999999</v>
      </c>
      <c r="AF42" s="165">
        <f t="shared" si="20"/>
        <v>91446.194899325259</v>
      </c>
      <c r="AG42" s="165">
        <f t="shared" si="37"/>
        <v>3594333.5194090097</v>
      </c>
      <c r="AH42" s="165">
        <f t="shared" si="21"/>
        <v>9695288.6298947446</v>
      </c>
      <c r="AI42" s="182">
        <f>AH42/'Collections and ACP'!E49</f>
        <v>0.30274335776967659</v>
      </c>
      <c r="AJ42" s="163"/>
      <c r="AK42" s="163"/>
      <c r="AL42" s="163">
        <f t="shared" si="27"/>
        <v>5978174.7814751845</v>
      </c>
      <c r="AM42" s="163">
        <f t="shared" si="28"/>
        <v>3717113.8484195601</v>
      </c>
      <c r="AN42" s="96">
        <f t="shared" si="29"/>
        <v>0.61660616921108469</v>
      </c>
      <c r="AO42" s="96">
        <f t="shared" si="30"/>
        <v>0.38339383078891531</v>
      </c>
    </row>
    <row r="43" spans="1:41" x14ac:dyDescent="0.25">
      <c r="A43" s="168" t="s">
        <v>27</v>
      </c>
      <c r="B43" s="169">
        <f>'ABP Under Contract'!B42</f>
        <v>121501</v>
      </c>
      <c r="C43" s="169">
        <f>'ABP Under Contract'!C42</f>
        <v>268332</v>
      </c>
      <c r="D43" s="169">
        <f>'ABP Under Contract'!D42</f>
        <v>668101</v>
      </c>
      <c r="E43" s="169">
        <f>'ABP Under Contract'!E42</f>
        <v>8913</v>
      </c>
      <c r="F43" s="169">
        <f>'ABP Under Contract'!F42</f>
        <v>48421</v>
      </c>
      <c r="G43" s="169">
        <f>'ABP Under Contract'!G42</f>
        <v>337365</v>
      </c>
      <c r="H43" s="165">
        <f t="shared" si="22"/>
        <v>1452633</v>
      </c>
      <c r="I43" s="169">
        <v>600000</v>
      </c>
      <c r="J43" s="169"/>
      <c r="K43" s="28"/>
      <c r="L43" s="169">
        <v>605816</v>
      </c>
      <c r="M43" s="169">
        <f t="shared" si="38"/>
        <v>750397.28229999996</v>
      </c>
      <c r="N43" s="169">
        <f t="shared" si="33"/>
        <v>1063226.338711343</v>
      </c>
      <c r="O43" s="169">
        <f t="shared" si="33"/>
        <v>1551000.2302622751</v>
      </c>
      <c r="P43" s="169">
        <f t="shared" si="33"/>
        <v>44874.612539537833</v>
      </c>
      <c r="Q43" s="169">
        <f t="shared" si="18"/>
        <v>18044.809602655947</v>
      </c>
      <c r="R43" s="165">
        <f t="shared" si="23"/>
        <v>4633359.2734158123</v>
      </c>
      <c r="S43" s="165">
        <f t="shared" si="24"/>
        <v>3816949.9347044686</v>
      </c>
      <c r="T43" s="165">
        <f t="shared" si="16"/>
        <v>2269042.3387113428</v>
      </c>
      <c r="U43" s="165">
        <f t="shared" si="17"/>
        <v>6085992.2734158123</v>
      </c>
      <c r="V43" s="165">
        <f t="shared" ref="V43:AD43" si="43">$B$30*V14</f>
        <v>260223.94932225786</v>
      </c>
      <c r="W43" s="165">
        <f t="shared" si="43"/>
        <v>287454.76317533769</v>
      </c>
      <c r="X43" s="165">
        <f t="shared" si="43"/>
        <v>377138.19112513011</v>
      </c>
      <c r="Y43" s="165">
        <f t="shared" si="43"/>
        <v>280221.20927598112</v>
      </c>
      <c r="Z43" s="165">
        <f t="shared" si="43"/>
        <v>54493.170200580738</v>
      </c>
      <c r="AA43" s="165">
        <f t="shared" si="43"/>
        <v>320090.97390340862</v>
      </c>
      <c r="AB43" s="165">
        <f t="shared" si="43"/>
        <v>2172107.2645623265</v>
      </c>
      <c r="AC43" s="165">
        <f t="shared" si="43"/>
        <v>1057820.8735966191</v>
      </c>
      <c r="AD43" s="165">
        <f t="shared" si="43"/>
        <v>73483.004190535125</v>
      </c>
      <c r="AE43" s="165">
        <f t="shared" si="35"/>
        <v>108781.82339999999</v>
      </c>
      <c r="AF43" s="165">
        <f t="shared" si="20"/>
        <v>101629.51281684477</v>
      </c>
      <c r="AG43" s="165">
        <f t="shared" si="37"/>
        <v>5093444.7355690217</v>
      </c>
      <c r="AH43" s="165">
        <f t="shared" si="21"/>
        <v>11179437.008984834</v>
      </c>
      <c r="AI43" s="182">
        <f>AH43/'Collections and ACP'!E50</f>
        <v>0.34908711099520945</v>
      </c>
      <c r="AJ43" s="163"/>
      <c r="AK43" s="163"/>
      <c r="AL43" s="163">
        <f t="shared" si="27"/>
        <v>6738287.4057111638</v>
      </c>
      <c r="AM43" s="163">
        <f t="shared" si="28"/>
        <v>4441149.6032736693</v>
      </c>
      <c r="AN43" s="96">
        <f t="shared" si="29"/>
        <v>0.60273942241417433</v>
      </c>
      <c r="AO43" s="96">
        <f t="shared" si="30"/>
        <v>0.39726057758582567</v>
      </c>
    </row>
    <row r="44" spans="1:41" x14ac:dyDescent="0.25">
      <c r="A44" s="168" t="s">
        <v>28</v>
      </c>
      <c r="B44" s="169">
        <f>'ABP Under Contract'!B43</f>
        <v>120923</v>
      </c>
      <c r="C44" s="169">
        <f>'ABP Under Contract'!C43</f>
        <v>267002</v>
      </c>
      <c r="D44" s="169">
        <f>'ABP Under Contract'!D43</f>
        <v>664755</v>
      </c>
      <c r="E44" s="169">
        <f>'ABP Under Contract'!E43</f>
        <v>8869</v>
      </c>
      <c r="F44" s="169">
        <f>'ABP Under Contract'!F43</f>
        <v>48179</v>
      </c>
      <c r="G44" s="169">
        <f>'ABP Under Contract'!G43</f>
        <v>335676</v>
      </c>
      <c r="H44" s="165">
        <f t="shared" si="22"/>
        <v>1445404</v>
      </c>
      <c r="I44" s="169">
        <v>600000</v>
      </c>
      <c r="J44" s="169"/>
      <c r="K44" s="28"/>
      <c r="L44" s="169">
        <v>605816</v>
      </c>
      <c r="M44" s="169">
        <f t="shared" si="38"/>
        <v>750397.28229999996</v>
      </c>
      <c r="N44" s="169">
        <f t="shared" si="33"/>
        <v>1063226.338711343</v>
      </c>
      <c r="O44" s="169">
        <f t="shared" si="33"/>
        <v>1543245.2291109636</v>
      </c>
      <c r="P44" s="169">
        <f t="shared" si="33"/>
        <v>44650.239476840143</v>
      </c>
      <c r="Q44" s="169">
        <f t="shared" si="18"/>
        <v>17954.585554642668</v>
      </c>
      <c r="R44" s="165">
        <f t="shared" si="23"/>
        <v>4625289.6751537891</v>
      </c>
      <c r="S44" s="165">
        <f t="shared" si="24"/>
        <v>3801651.3364424463</v>
      </c>
      <c r="T44" s="165">
        <f t="shared" si="16"/>
        <v>2269042.3387113428</v>
      </c>
      <c r="U44" s="165">
        <f t="shared" si="17"/>
        <v>6070693.6751537891</v>
      </c>
      <c r="V44" s="165">
        <f t="shared" ref="V44:AD44" si="44">$B$30*V15</f>
        <v>309605.54433340131</v>
      </c>
      <c r="W44" s="165">
        <f t="shared" si="44"/>
        <v>339977.74517143937</v>
      </c>
      <c r="X44" s="165">
        <f t="shared" si="44"/>
        <v>467902.28491929488</v>
      </c>
      <c r="Y44" s="165">
        <f t="shared" si="44"/>
        <v>323429.25884987059</v>
      </c>
      <c r="Z44" s="165">
        <f t="shared" si="44"/>
        <v>67946.598386583821</v>
      </c>
      <c r="AA44" s="165">
        <f t="shared" si="44"/>
        <v>378446.35882497876</v>
      </c>
      <c r="AB44" s="165">
        <f t="shared" si="44"/>
        <v>2896143.0194164352</v>
      </c>
      <c r="AC44" s="165">
        <f t="shared" si="44"/>
        <v>1342146.0711702793</v>
      </c>
      <c r="AD44" s="165">
        <f t="shared" si="44"/>
        <v>97732.804834622148</v>
      </c>
      <c r="AE44" s="165">
        <f t="shared" si="35"/>
        <v>108781.82339999999</v>
      </c>
      <c r="AF44" s="165">
        <f t="shared" si="20"/>
        <v>111812.83073436427</v>
      </c>
      <c r="AG44" s="165">
        <f t="shared" si="37"/>
        <v>6443924.3400412695</v>
      </c>
      <c r="AH44" s="165">
        <f t="shared" si="21"/>
        <v>12514618.015195059</v>
      </c>
      <c r="AI44" s="182">
        <f>AH44/'Collections and ACP'!E51</f>
        <v>0.39077923553949617</v>
      </c>
      <c r="AJ44" s="163"/>
      <c r="AK44" s="163"/>
      <c r="AL44" s="163">
        <f t="shared" si="27"/>
        <v>7349432.6570672803</v>
      </c>
      <c r="AM44" s="163">
        <f t="shared" si="28"/>
        <v>5165185.3581277784</v>
      </c>
      <c r="AN44" s="96">
        <f t="shared" si="29"/>
        <v>0.58726783735178423</v>
      </c>
      <c r="AO44" s="96">
        <f t="shared" si="30"/>
        <v>0.41273216264821577</v>
      </c>
    </row>
    <row r="45" spans="1:41" x14ac:dyDescent="0.25">
      <c r="A45" s="168" t="s">
        <v>29</v>
      </c>
      <c r="B45" s="169">
        <f>'ABP Under Contract'!B44</f>
        <v>120195</v>
      </c>
      <c r="C45" s="169">
        <f>'ABP Under Contract'!C44</f>
        <v>265632</v>
      </c>
      <c r="D45" s="169">
        <f>'ABP Under Contract'!D44</f>
        <v>661430</v>
      </c>
      <c r="E45" s="169">
        <f>'ABP Under Contract'!E44</f>
        <v>8824</v>
      </c>
      <c r="F45" s="169">
        <f>'ABP Under Contract'!F44</f>
        <v>47939</v>
      </c>
      <c r="G45" s="169">
        <f>'ABP Under Contract'!G44</f>
        <v>334000</v>
      </c>
      <c r="H45" s="165">
        <f t="shared" si="22"/>
        <v>1438020</v>
      </c>
      <c r="I45" s="28"/>
      <c r="J45" s="28"/>
      <c r="K45" s="28"/>
      <c r="L45" s="169">
        <v>605816</v>
      </c>
      <c r="M45" s="169">
        <f t="shared" si="38"/>
        <v>750397.28229999996</v>
      </c>
      <c r="N45" s="169">
        <f t="shared" si="33"/>
        <v>1063226.338711343</v>
      </c>
      <c r="O45" s="169">
        <f t="shared" si="33"/>
        <v>1535529.0029654091</v>
      </c>
      <c r="P45" s="169">
        <f t="shared" si="33"/>
        <v>44426.988279455945</v>
      </c>
      <c r="Q45" s="169">
        <f t="shared" si="18"/>
        <v>17864.812626869454</v>
      </c>
      <c r="R45" s="165">
        <f t="shared" si="23"/>
        <v>4017260.4248830774</v>
      </c>
      <c r="S45" s="165">
        <f t="shared" si="24"/>
        <v>3786238.0861717346</v>
      </c>
      <c r="T45" s="165">
        <f t="shared" si="16"/>
        <v>1669042.338711343</v>
      </c>
      <c r="U45" s="165">
        <f t="shared" si="17"/>
        <v>5455280.4248830769</v>
      </c>
      <c r="V45" s="165">
        <f t="shared" ref="V45:AD45" si="45">$B$30*V16</f>
        <v>358740.23136948905</v>
      </c>
      <c r="W45" s="165">
        <f t="shared" si="45"/>
        <v>392238.11225756048</v>
      </c>
      <c r="X45" s="165">
        <f t="shared" si="45"/>
        <v>558212.55824448902</v>
      </c>
      <c r="Y45" s="165">
        <f t="shared" si="45"/>
        <v>366421.26817589079</v>
      </c>
      <c r="Z45" s="165">
        <f t="shared" si="45"/>
        <v>81332.759431656901</v>
      </c>
      <c r="AA45" s="165">
        <f t="shared" si="45"/>
        <v>436509.96682194091</v>
      </c>
      <c r="AB45" s="165">
        <f t="shared" si="45"/>
        <v>3620178.7742705438</v>
      </c>
      <c r="AC45" s="165">
        <f t="shared" si="45"/>
        <v>1625049.6427560714</v>
      </c>
      <c r="AD45" s="165">
        <f t="shared" si="45"/>
        <v>121861.35647548873</v>
      </c>
      <c r="AE45" s="165">
        <f t="shared" si="35"/>
        <v>108781.82339999999</v>
      </c>
      <c r="AF45" s="165">
        <f t="shared" si="20"/>
        <v>121996.14865188378</v>
      </c>
      <c r="AG45" s="165">
        <f t="shared" si="37"/>
        <v>7791322.6418550145</v>
      </c>
      <c r="AH45" s="165">
        <f t="shared" si="21"/>
        <v>13246603.066738091</v>
      </c>
      <c r="AI45" s="182">
        <f>AH45/'Collections and ACP'!E52</f>
        <v>0.41363607052407292</v>
      </c>
      <c r="AJ45" s="163"/>
      <c r="AK45" s="163"/>
      <c r="AL45" s="163">
        <f t="shared" si="27"/>
        <v>7957381.9537562057</v>
      </c>
      <c r="AM45" s="163">
        <f t="shared" si="28"/>
        <v>5289221.1129818866</v>
      </c>
      <c r="AN45" s="96">
        <f t="shared" si="29"/>
        <v>0.60071113429351597</v>
      </c>
      <c r="AO45" s="96">
        <f t="shared" si="30"/>
        <v>0.39928886570648403</v>
      </c>
    </row>
    <row r="46" spans="1:41" x14ac:dyDescent="0.25">
      <c r="A46" s="168" t="s">
        <v>30</v>
      </c>
      <c r="B46" s="169">
        <f>'ABP Under Contract'!B45</f>
        <v>118998</v>
      </c>
      <c r="C46" s="169">
        <f>'ABP Under Contract'!C45</f>
        <v>264011</v>
      </c>
      <c r="D46" s="169">
        <f>'ABP Under Contract'!D45</f>
        <v>658126</v>
      </c>
      <c r="E46" s="169">
        <f>'ABP Under Contract'!E45</f>
        <v>8782</v>
      </c>
      <c r="F46" s="169">
        <f>'ABP Under Contract'!F45</f>
        <v>47700</v>
      </c>
      <c r="G46" s="169">
        <f>'ABP Under Contract'!G45</f>
        <v>332330</v>
      </c>
      <c r="H46" s="165">
        <f t="shared" si="22"/>
        <v>1429947</v>
      </c>
      <c r="I46" s="28"/>
      <c r="J46" s="28"/>
      <c r="K46" s="28"/>
      <c r="L46" s="169">
        <v>479697</v>
      </c>
      <c r="M46" s="169">
        <f t="shared" si="38"/>
        <v>750397.28229999996</v>
      </c>
      <c r="N46" s="169">
        <f t="shared" si="33"/>
        <v>1063226.338711343</v>
      </c>
      <c r="O46" s="169">
        <f t="shared" si="33"/>
        <v>1527851.3579505822</v>
      </c>
      <c r="P46" s="169">
        <f t="shared" si="33"/>
        <v>44204.85333805866</v>
      </c>
      <c r="Q46" s="169">
        <f t="shared" si="18"/>
        <v>17775.488563735107</v>
      </c>
      <c r="R46" s="165">
        <f t="shared" si="23"/>
        <v>3883152.3208637186</v>
      </c>
      <c r="S46" s="165">
        <f t="shared" si="24"/>
        <v>3770175.9821523759</v>
      </c>
      <c r="T46" s="165">
        <f t="shared" si="16"/>
        <v>1542923.338711343</v>
      </c>
      <c r="U46" s="165">
        <f t="shared" si="17"/>
        <v>5313099.3208637182</v>
      </c>
      <c r="V46" s="165">
        <f t="shared" ref="V46:AD46" si="46">$B$30*V17</f>
        <v>407629.24497039639</v>
      </c>
      <c r="W46" s="165">
        <f t="shared" si="46"/>
        <v>444237.17750825104</v>
      </c>
      <c r="X46" s="165">
        <f t="shared" si="46"/>
        <v>648071.28020305699</v>
      </c>
      <c r="Y46" s="165">
        <f t="shared" si="46"/>
        <v>409198.31745528069</v>
      </c>
      <c r="Z46" s="165">
        <f t="shared" si="46"/>
        <v>94651.98967150462</v>
      </c>
      <c r="AA46" s="165">
        <f t="shared" si="46"/>
        <v>494283.25677891826</v>
      </c>
      <c r="AB46" s="165">
        <f t="shared" si="46"/>
        <v>3909793.0762121873</v>
      </c>
      <c r="AC46" s="165">
        <f t="shared" si="46"/>
        <v>1834135.1209985239</v>
      </c>
      <c r="AD46" s="165">
        <f t="shared" si="46"/>
        <v>145869.26535815099</v>
      </c>
      <c r="AE46" s="165">
        <f t="shared" si="35"/>
        <v>108781.82339999999</v>
      </c>
      <c r="AF46" s="165">
        <f t="shared" si="20"/>
        <v>132179.46656940327</v>
      </c>
      <c r="AG46" s="165">
        <f t="shared" si="37"/>
        <v>8628830.0191256721</v>
      </c>
      <c r="AH46" s="165">
        <f t="shared" si="21"/>
        <v>13941929.33998939</v>
      </c>
      <c r="AI46" s="182">
        <f>AH46/'Collections and ACP'!E53</f>
        <v>0.43534820502004812</v>
      </c>
      <c r="AJ46" s="163"/>
      <c r="AK46" s="163"/>
      <c r="AL46" s="163">
        <f t="shared" si="27"/>
        <v>8489212.925065862</v>
      </c>
      <c r="AM46" s="163">
        <f t="shared" si="28"/>
        <v>5452716.4149235301</v>
      </c>
      <c r="AN46" s="96">
        <f t="shared" si="29"/>
        <v>0.60889800242470038</v>
      </c>
      <c r="AO46" s="96">
        <f t="shared" si="30"/>
        <v>0.39110199757529962</v>
      </c>
    </row>
    <row r="47" spans="1:41" x14ac:dyDescent="0.25">
      <c r="A47" s="168" t="s">
        <v>31</v>
      </c>
      <c r="B47" s="169">
        <f>'ABP Under Contract'!B46</f>
        <v>85243</v>
      </c>
      <c r="C47" s="169">
        <f>'ABP Under Contract'!C46</f>
        <v>144432</v>
      </c>
      <c r="D47" s="169">
        <f>'ABP Under Contract'!D46</f>
        <v>608457</v>
      </c>
      <c r="E47" s="169">
        <f>'ABP Under Contract'!E46</f>
        <v>8694</v>
      </c>
      <c r="F47" s="169">
        <f>'ABP Under Contract'!F46</f>
        <v>47223</v>
      </c>
      <c r="G47" s="169">
        <f>'ABP Under Contract'!G46</f>
        <v>329013</v>
      </c>
      <c r="H47" s="165">
        <f t="shared" si="22"/>
        <v>1223062</v>
      </c>
      <c r="I47" s="28"/>
      <c r="J47" s="28"/>
      <c r="K47" s="28"/>
      <c r="L47" s="169">
        <v>479697</v>
      </c>
      <c r="M47" s="169">
        <f t="shared" si="38"/>
        <v>750397.28229999996</v>
      </c>
      <c r="N47" s="169">
        <f t="shared" si="33"/>
        <v>1063226.338711343</v>
      </c>
      <c r="O47" s="169">
        <f t="shared" si="33"/>
        <v>1520212.1011608292</v>
      </c>
      <c r="P47" s="169">
        <f t="shared" si="33"/>
        <v>43983.829071368375</v>
      </c>
      <c r="Q47" s="169">
        <f t="shared" si="18"/>
        <v>17686.61112091643</v>
      </c>
      <c r="R47" s="165">
        <f t="shared" si="23"/>
        <v>3875203.1623644568</v>
      </c>
      <c r="S47" s="165">
        <f t="shared" si="24"/>
        <v>3555341.823653114</v>
      </c>
      <c r="T47" s="165">
        <f t="shared" si="16"/>
        <v>1542923.338711343</v>
      </c>
      <c r="U47" s="165">
        <f t="shared" si="17"/>
        <v>5098265.1623644568</v>
      </c>
      <c r="V47" s="165">
        <f t="shared" ref="V47:AD47" si="47">$B$30*V18</f>
        <v>430932.45612442185</v>
      </c>
      <c r="W47" s="165">
        <f t="shared" si="47"/>
        <v>468996.11952669895</v>
      </c>
      <c r="X47" s="165">
        <f t="shared" si="47"/>
        <v>737480.70855183213</v>
      </c>
      <c r="Y47" s="165">
        <f t="shared" si="47"/>
        <v>429456.90367813909</v>
      </c>
      <c r="Z47" s="165">
        <f t="shared" si="47"/>
        <v>107904.62376015309</v>
      </c>
      <c r="AA47" s="165">
        <f t="shared" si="47"/>
        <v>521789.76039056719</v>
      </c>
      <c r="AB47" s="165">
        <f t="shared" si="47"/>
        <v>4199407.3781538308</v>
      </c>
      <c r="AC47" s="165">
        <f t="shared" si="47"/>
        <v>2042175.171849764</v>
      </c>
      <c r="AD47" s="165">
        <f t="shared" si="47"/>
        <v>169757.13469639994</v>
      </c>
      <c r="AE47" s="165">
        <f t="shared" si="35"/>
        <v>108781.82339999999</v>
      </c>
      <c r="AF47" s="165">
        <f t="shared" si="20"/>
        <v>142362.78448692278</v>
      </c>
      <c r="AG47" s="165">
        <f t="shared" si="37"/>
        <v>9359044.8646187298</v>
      </c>
      <c r="AH47" s="165">
        <f t="shared" si="21"/>
        <v>14457310.026983187</v>
      </c>
      <c r="AI47" s="182">
        <f>AH47/'Collections and ACP'!E54</f>
        <v>0.45144139065549616</v>
      </c>
      <c r="AJ47" s="163"/>
      <c r="AK47" s="163"/>
      <c r="AL47" s="163">
        <f t="shared" si="27"/>
        <v>8714979.310118014</v>
      </c>
      <c r="AM47" s="163">
        <f t="shared" si="28"/>
        <v>5742330.7168651735</v>
      </c>
      <c r="AN47" s="96">
        <f t="shared" si="29"/>
        <v>0.60280780406952184</v>
      </c>
      <c r="AO47" s="96">
        <f t="shared" si="30"/>
        <v>0.39719219593047816</v>
      </c>
    </row>
    <row r="48" spans="1:41" x14ac:dyDescent="0.25">
      <c r="A48" s="168" t="s">
        <v>32</v>
      </c>
      <c r="B48" s="169">
        <f>'ABP Under Contract'!B47</f>
        <v>106433</v>
      </c>
      <c r="C48" s="169">
        <f>'ABP Under Contract'!C47</f>
        <v>228245</v>
      </c>
      <c r="D48" s="169">
        <f>'ABP Under Contract'!D47</f>
        <v>654834</v>
      </c>
      <c r="E48" s="169">
        <f>'ABP Under Contract'!E47</f>
        <v>8738</v>
      </c>
      <c r="F48" s="169">
        <f>'ABP Under Contract'!F47</f>
        <v>47459</v>
      </c>
      <c r="G48" s="169">
        <f>'ABP Under Contract'!G47</f>
        <v>330670</v>
      </c>
      <c r="H48" s="165">
        <f t="shared" si="22"/>
        <v>1376379</v>
      </c>
      <c r="I48" s="28"/>
      <c r="J48" s="28"/>
      <c r="K48" s="28"/>
      <c r="L48" s="169">
        <v>391707</v>
      </c>
      <c r="M48" s="169">
        <f t="shared" si="38"/>
        <v>750397.28229999996</v>
      </c>
      <c r="N48" s="169">
        <f t="shared" si="33"/>
        <v>1063226.338711343</v>
      </c>
      <c r="O48" s="169">
        <f t="shared" si="33"/>
        <v>1512611.040655025</v>
      </c>
      <c r="P48" s="169">
        <f t="shared" si="33"/>
        <v>43763.909926011525</v>
      </c>
      <c r="Q48" s="169">
        <f t="shared" si="18"/>
        <v>17598.178065311848</v>
      </c>
      <c r="R48" s="165">
        <f t="shared" si="23"/>
        <v>3779303.7496576915</v>
      </c>
      <c r="S48" s="165">
        <f t="shared" si="24"/>
        <v>3700749.4109463487</v>
      </c>
      <c r="T48" s="165">
        <f t="shared" si="16"/>
        <v>1454933.338711343</v>
      </c>
      <c r="U48" s="165">
        <f t="shared" si="17"/>
        <v>5155682.7496576915</v>
      </c>
      <c r="V48" s="165">
        <f t="shared" ref="V48:AD48" si="48">$B$30*V19</f>
        <v>454119.15122267709</v>
      </c>
      <c r="W48" s="165">
        <f t="shared" si="48"/>
        <v>493631.26683505467</v>
      </c>
      <c r="X48" s="165">
        <f t="shared" si="48"/>
        <v>780118.19738396804</v>
      </c>
      <c r="Y48" s="165">
        <f t="shared" si="48"/>
        <v>449614.19696988317</v>
      </c>
      <c r="Z48" s="165">
        <f t="shared" si="48"/>
        <v>114228.04765985531</v>
      </c>
      <c r="AA48" s="165">
        <f t="shared" si="48"/>
        <v>549158.73148415796</v>
      </c>
      <c r="AB48" s="165">
        <f t="shared" si="48"/>
        <v>4489021.6800954742</v>
      </c>
      <c r="AC48" s="165">
        <f t="shared" si="48"/>
        <v>2249175.0224467479</v>
      </c>
      <c r="AD48" s="165">
        <f t="shared" si="48"/>
        <v>193525.56468795761</v>
      </c>
      <c r="AE48" s="165">
        <f t="shared" si="35"/>
        <v>108781.82339999999</v>
      </c>
      <c r="AF48" s="165">
        <f t="shared" si="20"/>
        <v>152546.1024044423</v>
      </c>
      <c r="AG48" s="165">
        <f t="shared" si="37"/>
        <v>10033919.784590218</v>
      </c>
      <c r="AH48" s="165">
        <f t="shared" si="21"/>
        <v>15189602.534247909</v>
      </c>
      <c r="AI48" s="182">
        <f>AH48/'Collections and ACP'!E55</f>
        <v>0.47430782619773582</v>
      </c>
      <c r="AJ48" s="163"/>
      <c r="AK48" s="163"/>
      <c r="AL48" s="163">
        <f t="shared" si="27"/>
        <v>9245647.5154410936</v>
      </c>
      <c r="AM48" s="163">
        <f t="shared" si="28"/>
        <v>5943955.018806817</v>
      </c>
      <c r="AN48" s="96">
        <f t="shared" si="29"/>
        <v>0.60868264950284146</v>
      </c>
      <c r="AO48" s="96">
        <f t="shared" si="30"/>
        <v>0.39131735049715854</v>
      </c>
    </row>
    <row r="49" spans="1:41" x14ac:dyDescent="0.25">
      <c r="A49" s="168" t="s">
        <v>33</v>
      </c>
      <c r="B49" s="169">
        <f>'ABP Under Contract'!B48</f>
        <v>71431</v>
      </c>
      <c r="C49" s="169">
        <f>'ABP Under Contract'!C48</f>
        <v>108010</v>
      </c>
      <c r="D49" s="169">
        <f>'ABP Under Contract'!D48</f>
        <v>555956</v>
      </c>
      <c r="E49" s="169">
        <f>'ABP Under Contract'!E48</f>
        <v>8651</v>
      </c>
      <c r="F49" s="169">
        <f>'ABP Under Contract'!F48</f>
        <v>46987</v>
      </c>
      <c r="G49" s="169">
        <f>'ABP Under Contract'!G48</f>
        <v>327369</v>
      </c>
      <c r="H49" s="165">
        <f t="shared" si="22"/>
        <v>1118404</v>
      </c>
      <c r="I49" s="28"/>
      <c r="J49" s="28"/>
      <c r="K49" s="28"/>
      <c r="L49" s="169">
        <f t="shared" ref="L49:L56" si="49">L20*$B$30</f>
        <v>0</v>
      </c>
      <c r="M49" s="28">
        <v>165080</v>
      </c>
      <c r="N49" s="169">
        <f t="shared" si="33"/>
        <v>1063226.338711343</v>
      </c>
      <c r="O49" s="169">
        <f t="shared" si="33"/>
        <v>1505047.9854517498</v>
      </c>
      <c r="P49" s="169">
        <f t="shared" si="33"/>
        <v>43545.090376381471</v>
      </c>
      <c r="Q49" s="169">
        <f t="shared" si="18"/>
        <v>17510.187174985291</v>
      </c>
      <c r="R49" s="165">
        <f t="shared" si="23"/>
        <v>2794409.6017144592</v>
      </c>
      <c r="S49" s="165">
        <f t="shared" si="24"/>
        <v>2849587.263003116</v>
      </c>
      <c r="T49" s="165">
        <f t="shared" si="16"/>
        <v>1063226.338711343</v>
      </c>
      <c r="U49" s="165">
        <f t="shared" si="17"/>
        <v>3912813.6017144592</v>
      </c>
      <c r="V49" s="165">
        <f t="shared" ref="V49:AD49" si="50">$B$30*V20</f>
        <v>477189.91284544114</v>
      </c>
      <c r="W49" s="165">
        <f t="shared" si="50"/>
        <v>518143.23840686871</v>
      </c>
      <c r="X49" s="165">
        <f t="shared" si="50"/>
        <v>822542.4987719435</v>
      </c>
      <c r="Y49" s="165">
        <f t="shared" si="50"/>
        <v>469670.70379516855</v>
      </c>
      <c r="Z49" s="165">
        <f t="shared" si="50"/>
        <v>120519.85444005902</v>
      </c>
      <c r="AA49" s="165">
        <f t="shared" si="50"/>
        <v>576390.85772228066</v>
      </c>
      <c r="AB49" s="165">
        <f t="shared" si="50"/>
        <v>4778635.9820371177</v>
      </c>
      <c r="AC49" s="165">
        <f t="shared" si="50"/>
        <v>2455139.8737907466</v>
      </c>
      <c r="AD49" s="165">
        <f t="shared" si="50"/>
        <v>217175.15252955756</v>
      </c>
      <c r="AE49" s="165">
        <f t="shared" si="35"/>
        <v>108781.82339999999</v>
      </c>
      <c r="AF49" s="165">
        <f t="shared" si="20"/>
        <v>162729.42032196181</v>
      </c>
      <c r="AG49" s="165">
        <f t="shared" si="37"/>
        <v>10706919.318061145</v>
      </c>
      <c r="AH49" s="165">
        <f t="shared" si="21"/>
        <v>14619732.919775605</v>
      </c>
      <c r="AI49" s="182">
        <f>AH49/'Collections and ACP'!E56</f>
        <v>0.45651317900752325</v>
      </c>
      <c r="AJ49" s="163"/>
      <c r="AK49" s="163"/>
      <c r="AL49" s="163">
        <f t="shared" si="27"/>
        <v>8777870.5990271438</v>
      </c>
      <c r="AM49" s="163">
        <f t="shared" si="28"/>
        <v>5841862.3207484605</v>
      </c>
      <c r="AN49" s="96">
        <f t="shared" si="29"/>
        <v>0.60041251418167996</v>
      </c>
      <c r="AO49" s="96">
        <f t="shared" si="30"/>
        <v>0.39958748581832004</v>
      </c>
    </row>
    <row r="50" spans="1:41" x14ac:dyDescent="0.25">
      <c r="A50" s="168" t="s">
        <v>34</v>
      </c>
      <c r="B50" s="169">
        <f>'ABP Under Contract'!B49</f>
        <v>54914</v>
      </c>
      <c r="C50" s="169">
        <f>'ABP Under Contract'!C49</f>
        <v>90964</v>
      </c>
      <c r="D50" s="169">
        <f>'ABP Under Contract'!D49</f>
        <v>541437</v>
      </c>
      <c r="E50" s="169">
        <f>'ABP Under Contract'!E49</f>
        <v>8607</v>
      </c>
      <c r="F50" s="169">
        <f>'ABP Under Contract'!F49</f>
        <v>46754</v>
      </c>
      <c r="G50" s="169">
        <f>'ABP Under Contract'!G49</f>
        <v>325735</v>
      </c>
      <c r="H50" s="165">
        <f t="shared" si="22"/>
        <v>1068411</v>
      </c>
      <c r="I50" s="28"/>
      <c r="J50" s="28"/>
      <c r="K50" s="28"/>
      <c r="L50" s="169">
        <f t="shared" si="49"/>
        <v>0</v>
      </c>
      <c r="M50" s="28">
        <v>165080</v>
      </c>
      <c r="N50" s="169">
        <f t="shared" si="33"/>
        <v>1063226.338711343</v>
      </c>
      <c r="O50" s="169">
        <f t="shared" si="33"/>
        <v>1497522.7455244912</v>
      </c>
      <c r="P50" s="169">
        <f t="shared" si="33"/>
        <v>43327.364924499554</v>
      </c>
      <c r="Q50" s="169">
        <f t="shared" si="18"/>
        <v>17422.636239110365</v>
      </c>
      <c r="R50" s="165">
        <f t="shared" si="23"/>
        <v>2786579.0853994442</v>
      </c>
      <c r="S50" s="165">
        <f t="shared" si="24"/>
        <v>2791763.7466881014</v>
      </c>
      <c r="T50" s="165">
        <f t="shared" si="16"/>
        <v>1063226.338711343</v>
      </c>
      <c r="U50" s="165">
        <f t="shared" si="17"/>
        <v>3854990.0853994442</v>
      </c>
      <c r="V50" s="165">
        <f t="shared" ref="V50:AD50" si="51">$B$30*V21</f>
        <v>500145.32066009124</v>
      </c>
      <c r="W50" s="165">
        <f t="shared" si="51"/>
        <v>542532.65012082353</v>
      </c>
      <c r="X50" s="165">
        <f t="shared" si="51"/>
        <v>864754.67865297897</v>
      </c>
      <c r="Y50" s="165">
        <f t="shared" si="51"/>
        <v>489626.92808632733</v>
      </c>
      <c r="Z50" s="165">
        <f t="shared" si="51"/>
        <v>126780.20218636173</v>
      </c>
      <c r="AA50" s="165">
        <f t="shared" si="51"/>
        <v>603486.82332921284</v>
      </c>
      <c r="AB50" s="165">
        <f t="shared" si="51"/>
        <v>5068250.2839787612</v>
      </c>
      <c r="AC50" s="165">
        <f t="shared" si="51"/>
        <v>2660074.9008780257</v>
      </c>
      <c r="AD50" s="165">
        <f t="shared" si="51"/>
        <v>240706.49243194945</v>
      </c>
      <c r="AE50" s="165">
        <f t="shared" si="35"/>
        <v>108781.82339999999</v>
      </c>
      <c r="AF50" s="165">
        <f t="shared" si="20"/>
        <v>172912.73823948132</v>
      </c>
      <c r="AG50" s="165">
        <f t="shared" si="37"/>
        <v>11378052.841964014</v>
      </c>
      <c r="AH50" s="165">
        <f t="shared" si="21"/>
        <v>15233042.927363459</v>
      </c>
      <c r="AI50" s="182">
        <f>AH50/'Collections and ACP'!E57</f>
        <v>0.47566428818423978</v>
      </c>
      <c r="AJ50" s="163"/>
      <c r="AK50" s="163"/>
      <c r="AL50" s="163">
        <f t="shared" si="27"/>
        <v>9101566.3046733532</v>
      </c>
      <c r="AM50" s="163">
        <f t="shared" si="28"/>
        <v>6131476.6226901039</v>
      </c>
      <c r="AN50" s="96">
        <f t="shared" si="29"/>
        <v>0.59748839073537996</v>
      </c>
      <c r="AO50" s="96">
        <f t="shared" si="30"/>
        <v>0.40251160926462004</v>
      </c>
    </row>
    <row r="51" spans="1:41" x14ac:dyDescent="0.25">
      <c r="A51" s="168" t="s">
        <v>35</v>
      </c>
      <c r="B51" s="169">
        <f>'ABP Under Contract'!B50</f>
        <v>24645</v>
      </c>
      <c r="C51" s="169">
        <f>'ABP Under Contract'!C50</f>
        <v>65234</v>
      </c>
      <c r="D51" s="169">
        <f>'ABP Under Contract'!D50</f>
        <v>538728</v>
      </c>
      <c r="E51" s="169">
        <f>'ABP Under Contract'!E50</f>
        <v>8564</v>
      </c>
      <c r="F51" s="169">
        <f>'ABP Under Contract'!F50</f>
        <v>46519</v>
      </c>
      <c r="G51" s="169">
        <f>'ABP Under Contract'!G50</f>
        <v>324104</v>
      </c>
      <c r="H51" s="165">
        <f t="shared" si="22"/>
        <v>1007794</v>
      </c>
      <c r="I51" s="28"/>
      <c r="J51" s="28"/>
      <c r="K51" s="28"/>
      <c r="L51" s="169">
        <f t="shared" si="49"/>
        <v>0</v>
      </c>
      <c r="M51" s="28">
        <v>165080</v>
      </c>
      <c r="N51" s="169">
        <f t="shared" si="33"/>
        <v>1063226.338711343</v>
      </c>
      <c r="O51" s="169">
        <f t="shared" si="33"/>
        <v>1490035.1317968685</v>
      </c>
      <c r="P51" s="169">
        <f t="shared" si="33"/>
        <v>43110.728099877066</v>
      </c>
      <c r="Q51" s="169">
        <f t="shared" si="18"/>
        <v>17335.523057914812</v>
      </c>
      <c r="R51" s="165">
        <f t="shared" si="23"/>
        <v>2778787.7216660031</v>
      </c>
      <c r="S51" s="165">
        <f t="shared" si="24"/>
        <v>2723355.3829546603</v>
      </c>
      <c r="T51" s="165">
        <f t="shared" si="16"/>
        <v>1063226.338711343</v>
      </c>
      <c r="U51" s="165">
        <f t="shared" si="17"/>
        <v>3786581.7216660031</v>
      </c>
      <c r="V51" s="165">
        <f t="shared" ref="V51:AD51" si="52">$B$30*V22</f>
        <v>522985.95143566822</v>
      </c>
      <c r="W51" s="165">
        <f t="shared" si="52"/>
        <v>566800.11477620853</v>
      </c>
      <c r="X51" s="165">
        <f t="shared" si="52"/>
        <v>906755.79763460916</v>
      </c>
      <c r="Y51" s="165">
        <f t="shared" si="52"/>
        <v>509483.37125603046</v>
      </c>
      <c r="Z51" s="165">
        <f t="shared" si="52"/>
        <v>133009.2481939329</v>
      </c>
      <c r="AA51" s="165">
        <f t="shared" si="52"/>
        <v>630447.30910811014</v>
      </c>
      <c r="AB51" s="165">
        <f t="shared" si="52"/>
        <v>5357864.5859204046</v>
      </c>
      <c r="AC51" s="165">
        <f t="shared" si="52"/>
        <v>2863985.2528298679</v>
      </c>
      <c r="AD51" s="165">
        <f t="shared" si="52"/>
        <v>264120.17563482939</v>
      </c>
      <c r="AE51" s="165">
        <f t="shared" si="35"/>
        <v>108781.82339999999</v>
      </c>
      <c r="AF51" s="165">
        <f t="shared" si="20"/>
        <v>183096.05615700083</v>
      </c>
      <c r="AG51" s="165">
        <f t="shared" si="37"/>
        <v>12047329.686346661</v>
      </c>
      <c r="AH51" s="165">
        <f t="shared" si="21"/>
        <v>15833911.408012664</v>
      </c>
      <c r="AI51" s="182">
        <f>AH51/'Collections and ACP'!E58</f>
        <v>0.49442690045436871</v>
      </c>
      <c r="AJ51" s="163"/>
      <c r="AK51" s="163"/>
      <c r="AL51" s="163">
        <f t="shared" si="27"/>
        <v>9412820.4833809175</v>
      </c>
      <c r="AM51" s="163">
        <f t="shared" si="28"/>
        <v>6421090.9246317474</v>
      </c>
      <c r="AN51" s="96">
        <f t="shared" si="29"/>
        <v>0.5944722210974106</v>
      </c>
      <c r="AO51" s="96">
        <f t="shared" si="30"/>
        <v>0.4055277789025894</v>
      </c>
    </row>
    <row r="52" spans="1:41" x14ac:dyDescent="0.25">
      <c r="A52" s="168" t="s">
        <v>36</v>
      </c>
      <c r="B52" s="169">
        <f>'ABP Under Contract'!B51</f>
        <v>13848</v>
      </c>
      <c r="C52" s="169">
        <f>'ABP Under Contract'!C51</f>
        <v>33255</v>
      </c>
      <c r="D52" s="169">
        <f>'ABP Under Contract'!D51</f>
        <v>536029</v>
      </c>
      <c r="E52" s="169">
        <f>'ABP Under Contract'!E51</f>
        <v>8520</v>
      </c>
      <c r="F52" s="169">
        <f>'ABP Under Contract'!F51</f>
        <v>46286</v>
      </c>
      <c r="G52" s="169">
        <f>'ABP Under Contract'!G51</f>
        <v>322482</v>
      </c>
      <c r="H52" s="165">
        <f t="shared" si="22"/>
        <v>960420</v>
      </c>
      <c r="I52" s="28"/>
      <c r="J52" s="28"/>
      <c r="K52" s="28"/>
      <c r="L52" s="169">
        <f t="shared" si="49"/>
        <v>0</v>
      </c>
      <c r="M52" s="28">
        <v>165080</v>
      </c>
      <c r="N52" s="169">
        <f t="shared" si="33"/>
        <v>1063226.338711343</v>
      </c>
      <c r="O52" s="169">
        <f t="shared" si="33"/>
        <v>1482584.9561378844</v>
      </c>
      <c r="P52" s="169">
        <f t="shared" si="33"/>
        <v>42895.174459377675</v>
      </c>
      <c r="Q52" s="169">
        <f t="shared" si="18"/>
        <v>17248.845442625239</v>
      </c>
      <c r="R52" s="165">
        <f t="shared" si="23"/>
        <v>2771035.3147512302</v>
      </c>
      <c r="S52" s="165">
        <f t="shared" si="24"/>
        <v>2668228.9760398874</v>
      </c>
      <c r="T52" s="165">
        <f t="shared" si="16"/>
        <v>1063226.338711343</v>
      </c>
      <c r="U52" s="165">
        <f t="shared" si="17"/>
        <v>3731455.3147512302</v>
      </c>
      <c r="V52" s="165">
        <f t="shared" ref="V52:AD52" si="53">$B$30*V23</f>
        <v>545712.37905736733</v>
      </c>
      <c r="W52" s="165">
        <f t="shared" si="53"/>
        <v>590946.24210831674</v>
      </c>
      <c r="X52" s="165">
        <f t="shared" si="53"/>
        <v>948546.91102133133</v>
      </c>
      <c r="Y52" s="165">
        <f t="shared" si="53"/>
        <v>529240.53220988507</v>
      </c>
      <c r="Z52" s="165">
        <f t="shared" si="53"/>
        <v>139207.14897146626</v>
      </c>
      <c r="AA52" s="165">
        <f t="shared" si="53"/>
        <v>657272.99245811347</v>
      </c>
      <c r="AB52" s="165">
        <f t="shared" si="53"/>
        <v>5647478.8878620481</v>
      </c>
      <c r="AC52" s="165">
        <f t="shared" si="53"/>
        <v>3066876.0530219516</v>
      </c>
      <c r="AD52" s="165">
        <f t="shared" si="53"/>
        <v>287416.79042169492</v>
      </c>
      <c r="AE52" s="165">
        <f t="shared" si="35"/>
        <v>108781.82339999999</v>
      </c>
      <c r="AF52" s="165">
        <f t="shared" si="20"/>
        <v>193279.37407452034</v>
      </c>
      <c r="AG52" s="165">
        <f t="shared" si="37"/>
        <v>12714759.134606697</v>
      </c>
      <c r="AH52" s="165">
        <f t="shared" si="21"/>
        <v>16446214.449357927</v>
      </c>
      <c r="AI52" s="182">
        <f>AH52/'Collections and ACP'!E59</f>
        <v>0.51354656628235373</v>
      </c>
      <c r="AJ52" s="163"/>
      <c r="AK52" s="163"/>
      <c r="AL52" s="163">
        <f t="shared" si="27"/>
        <v>9735509.2227845341</v>
      </c>
      <c r="AM52" s="163">
        <f t="shared" si="28"/>
        <v>6710705.2265733909</v>
      </c>
      <c r="AN52" s="96">
        <f t="shared" si="29"/>
        <v>0.59196049356906066</v>
      </c>
      <c r="AO52" s="96">
        <f t="shared" si="30"/>
        <v>0.40803950643093934</v>
      </c>
    </row>
    <row r="53" spans="1:41" x14ac:dyDescent="0.25">
      <c r="A53" s="168" t="s">
        <v>37</v>
      </c>
      <c r="B53" s="169">
        <f>'ABP Under Contract'!B52</f>
        <v>5838</v>
      </c>
      <c r="C53" s="169">
        <f>'ABP Under Contract'!C52</f>
        <v>0</v>
      </c>
      <c r="D53" s="169">
        <f>'ABP Under Contract'!D52</f>
        <v>533318</v>
      </c>
      <c r="E53" s="169">
        <f>'ABP Under Contract'!E52</f>
        <v>8477</v>
      </c>
      <c r="F53" s="169">
        <f>'ABP Under Contract'!F52</f>
        <v>12260</v>
      </c>
      <c r="G53" s="169">
        <f>'ABP Under Contract'!G52</f>
        <v>320847</v>
      </c>
      <c r="H53" s="165">
        <f t="shared" si="22"/>
        <v>880740</v>
      </c>
      <c r="I53" s="28"/>
      <c r="J53" s="28"/>
      <c r="K53" s="28"/>
      <c r="L53" s="169">
        <f t="shared" si="49"/>
        <v>0</v>
      </c>
      <c r="M53" s="28"/>
      <c r="N53" s="169">
        <f t="shared" si="33"/>
        <v>1063226.338711343</v>
      </c>
      <c r="O53" s="169">
        <f t="shared" si="33"/>
        <v>1475172.031357195</v>
      </c>
      <c r="P53" s="169">
        <f t="shared" si="33"/>
        <v>42680.698587080784</v>
      </c>
      <c r="Q53" s="169">
        <f t="shared" si="18"/>
        <v>17162.601215412109</v>
      </c>
      <c r="R53" s="165">
        <f t="shared" si="23"/>
        <v>2598241.6698710308</v>
      </c>
      <c r="S53" s="165">
        <f t="shared" si="24"/>
        <v>2415755.3311596881</v>
      </c>
      <c r="T53" s="165">
        <f t="shared" si="16"/>
        <v>1063226.338711343</v>
      </c>
      <c r="U53" s="165">
        <f t="shared" si="17"/>
        <v>3478981.6698710308</v>
      </c>
      <c r="V53" s="165">
        <f t="shared" ref="V53:AD53" si="54">$B$30*V24</f>
        <v>559449.53631946689</v>
      </c>
      <c r="W53" s="165">
        <f t="shared" si="54"/>
        <v>595627.92241850379</v>
      </c>
      <c r="X53" s="165">
        <f t="shared" si="54"/>
        <v>990129.06884111976</v>
      </c>
      <c r="Y53" s="165">
        <f t="shared" si="54"/>
        <v>548898.90735897038</v>
      </c>
      <c r="Z53" s="165">
        <f t="shared" si="54"/>
        <v>145374.06024511193</v>
      </c>
      <c r="AA53" s="165">
        <f t="shared" si="54"/>
        <v>661808.80268722645</v>
      </c>
      <c r="AB53" s="165">
        <f t="shared" si="54"/>
        <v>5937093.1898036916</v>
      </c>
      <c r="AC53" s="165">
        <f t="shared" si="54"/>
        <v>3268752.3992130742</v>
      </c>
      <c r="AD53" s="165">
        <f t="shared" si="54"/>
        <v>310596.92213462613</v>
      </c>
      <c r="AE53" s="165">
        <f t="shared" si="35"/>
        <v>108781.82339999999</v>
      </c>
      <c r="AF53" s="165">
        <f t="shared" si="20"/>
        <v>203462.69199203985</v>
      </c>
      <c r="AG53" s="165">
        <f t="shared" si="37"/>
        <v>13329975.324413832</v>
      </c>
      <c r="AH53" s="165">
        <f t="shared" si="21"/>
        <v>16808956.994284865</v>
      </c>
      <c r="AI53" s="182">
        <f>AH53/'Collections and ACP'!E60</f>
        <v>0.52487350045102643</v>
      </c>
      <c r="AJ53" s="163"/>
      <c r="AK53" s="163"/>
      <c r="AL53" s="163">
        <f t="shared" si="27"/>
        <v>9808637.4657698274</v>
      </c>
      <c r="AM53" s="163">
        <f t="shared" si="28"/>
        <v>7000319.5285150344</v>
      </c>
      <c r="AN53" s="96">
        <f t="shared" si="29"/>
        <v>0.58353635321363595</v>
      </c>
      <c r="AO53" s="96">
        <f t="shared" si="30"/>
        <v>0.41646364678636405</v>
      </c>
    </row>
    <row r="54" spans="1:41" x14ac:dyDescent="0.25">
      <c r="A54" s="168" t="s">
        <v>38</v>
      </c>
      <c r="B54" s="169">
        <f>'ABP Under Contract'!B53</f>
        <v>0</v>
      </c>
      <c r="C54" s="169">
        <f>'ABP Under Contract'!C53</f>
        <v>0</v>
      </c>
      <c r="D54" s="169">
        <f>'ABP Under Contract'!D53</f>
        <v>530620</v>
      </c>
      <c r="E54" s="169">
        <f>'ABP Under Contract'!E53</f>
        <v>8434</v>
      </c>
      <c r="F54" s="169">
        <f>'ABP Under Contract'!F53</f>
        <v>0</v>
      </c>
      <c r="G54" s="169">
        <f>'ABP Under Contract'!G53</f>
        <v>319229</v>
      </c>
      <c r="H54" s="165">
        <f t="shared" si="22"/>
        <v>858283</v>
      </c>
      <c r="I54" s="28"/>
      <c r="J54" s="28"/>
      <c r="K54" s="28"/>
      <c r="L54" s="169">
        <f t="shared" si="49"/>
        <v>0</v>
      </c>
      <c r="M54" s="28"/>
      <c r="N54" s="169">
        <f t="shared" si="33"/>
        <v>1063226.338711343</v>
      </c>
      <c r="O54" s="169">
        <f t="shared" si="33"/>
        <v>1467796.1712004088</v>
      </c>
      <c r="P54" s="169">
        <f t="shared" si="33"/>
        <v>42467.295094145389</v>
      </c>
      <c r="Q54" s="169">
        <f t="shared" si="18"/>
        <v>17076.788209335049</v>
      </c>
      <c r="R54" s="165">
        <f t="shared" si="23"/>
        <v>2590566.5932152322</v>
      </c>
      <c r="S54" s="165">
        <f t="shared" si="24"/>
        <v>2385623.254503889</v>
      </c>
      <c r="T54" s="165">
        <f t="shared" si="16"/>
        <v>1063226.338711343</v>
      </c>
      <c r="U54" s="165">
        <f t="shared" si="17"/>
        <v>3448849.5932152322</v>
      </c>
      <c r="V54" s="165">
        <f t="shared" ref="V54:AD54" si="55">$B$30*V25</f>
        <v>534981.93255198293</v>
      </c>
      <c r="W54" s="165">
        <f t="shared" si="55"/>
        <v>569578.05187171057</v>
      </c>
      <c r="X54" s="165">
        <f t="shared" si="55"/>
        <v>1031503.3158718096</v>
      </c>
      <c r="Y54" s="165">
        <f t="shared" si="55"/>
        <v>568458.99063231028</v>
      </c>
      <c r="Z54" s="165">
        <f t="shared" si="55"/>
        <v>151510.13696238937</v>
      </c>
      <c r="AA54" s="165">
        <f t="shared" si="55"/>
        <v>632864.50207967835</v>
      </c>
      <c r="AB54" s="165">
        <f t="shared" si="55"/>
        <v>6226707.491745335</v>
      </c>
      <c r="AC54" s="165">
        <f t="shared" si="55"/>
        <v>3469619.3636732418</v>
      </c>
      <c r="AD54" s="165">
        <f t="shared" si="55"/>
        <v>333661.1531889927</v>
      </c>
      <c r="AE54" s="165">
        <f t="shared" si="35"/>
        <v>108781.82339999999</v>
      </c>
      <c r="AF54" s="165">
        <f t="shared" si="20"/>
        <v>213646.00990955933</v>
      </c>
      <c r="AG54" s="165">
        <f t="shared" si="37"/>
        <v>13841312.77188701</v>
      </c>
      <c r="AH54" s="165">
        <f t="shared" si="21"/>
        <v>17290162.365102243</v>
      </c>
      <c r="AI54" s="182">
        <f>AH54/'Collections and ACP'!E61</f>
        <v>0.53989953374402766</v>
      </c>
      <c r="AJ54" s="163"/>
      <c r="AK54" s="163"/>
      <c r="AL54" s="163">
        <f t="shared" si="27"/>
        <v>10000228.534645565</v>
      </c>
      <c r="AM54" s="163">
        <f t="shared" si="28"/>
        <v>7289933.8304566778</v>
      </c>
      <c r="AN54" s="96">
        <f t="shared" si="29"/>
        <v>0.57837678579754792</v>
      </c>
      <c r="AO54" s="96">
        <f t="shared" si="30"/>
        <v>0.42162321420245208</v>
      </c>
    </row>
    <row r="55" spans="1:41" x14ac:dyDescent="0.25">
      <c r="A55" s="168" t="s">
        <v>39</v>
      </c>
      <c r="B55" s="169">
        <f>'ABP Under Contract'!B54</f>
        <v>0</v>
      </c>
      <c r="C55" s="169">
        <f>'ABP Under Contract'!C54</f>
        <v>0</v>
      </c>
      <c r="D55" s="169">
        <f>'ABP Under Contract'!D54</f>
        <v>527940</v>
      </c>
      <c r="E55" s="169">
        <f>'ABP Under Contract'!E54</f>
        <v>8390</v>
      </c>
      <c r="F55" s="169">
        <f>'ABP Under Contract'!F54</f>
        <v>0</v>
      </c>
      <c r="G55" s="169">
        <f>'ABP Under Contract'!G54</f>
        <v>317619</v>
      </c>
      <c r="H55" s="165">
        <f t="shared" si="22"/>
        <v>853949</v>
      </c>
      <c r="I55" s="28"/>
      <c r="J55" s="28"/>
      <c r="K55" s="28"/>
      <c r="L55" s="169">
        <f t="shared" si="49"/>
        <v>0</v>
      </c>
      <c r="M55" s="28"/>
      <c r="N55" s="169">
        <f t="shared" si="33"/>
        <v>1063226.338711343</v>
      </c>
      <c r="O55" s="169">
        <f t="shared" si="33"/>
        <v>1460457.1903444068</v>
      </c>
      <c r="P55" s="169">
        <f t="shared" si="33"/>
        <v>42254.958618674653</v>
      </c>
      <c r="Q55" s="169">
        <f t="shared" si="18"/>
        <v>16991.404268288374</v>
      </c>
      <c r="R55" s="165">
        <f t="shared" si="23"/>
        <v>2582929.8919427129</v>
      </c>
      <c r="S55" s="165">
        <f t="shared" si="24"/>
        <v>2373652.5532313697</v>
      </c>
      <c r="T55" s="165">
        <f t="shared" si="16"/>
        <v>1063226.338711343</v>
      </c>
      <c r="U55" s="165">
        <f t="shared" si="17"/>
        <v>3436878.8919427129</v>
      </c>
      <c r="V55" s="165">
        <f t="shared" ref="V55:AD55" si="56">$B$30*V26</f>
        <v>485295.30942445894</v>
      </c>
      <c r="W55" s="165">
        <f t="shared" si="56"/>
        <v>516678.30277166195</v>
      </c>
      <c r="X55" s="165">
        <f t="shared" si="56"/>
        <v>1072670.6916673458</v>
      </c>
      <c r="Y55" s="165">
        <f t="shared" si="56"/>
        <v>565616.69567914878</v>
      </c>
      <c r="Z55" s="165">
        <f t="shared" si="56"/>
        <v>144883.81991806513</v>
      </c>
      <c r="AA55" s="165">
        <f t="shared" si="56"/>
        <v>574087.00307962438</v>
      </c>
      <c r="AB55" s="165">
        <f t="shared" si="56"/>
        <v>6516321.7936869785</v>
      </c>
      <c r="AC55" s="165">
        <f t="shared" si="56"/>
        <v>3669481.9933111081</v>
      </c>
      <c r="AD55" s="165">
        <f t="shared" si="56"/>
        <v>356610.06308808742</v>
      </c>
      <c r="AE55" s="165">
        <f t="shared" si="35"/>
        <v>108781.82339999999</v>
      </c>
      <c r="AF55" s="165">
        <f t="shared" si="20"/>
        <v>223829.32782707887</v>
      </c>
      <c r="AG55" s="165">
        <f t="shared" si="37"/>
        <v>14234256.823853558</v>
      </c>
      <c r="AH55" s="165">
        <f t="shared" si="21"/>
        <v>17671135.715796269</v>
      </c>
      <c r="AI55" s="182"/>
      <c r="AJ55" s="163"/>
      <c r="AK55" s="163"/>
      <c r="AL55" s="163">
        <f t="shared" si="27"/>
        <v>10091587.583397947</v>
      </c>
      <c r="AM55" s="163">
        <f t="shared" si="28"/>
        <v>7579548.1323983213</v>
      </c>
      <c r="AN55" s="96">
        <f t="shared" si="29"/>
        <v>0.57107747604343584</v>
      </c>
      <c r="AO55" s="96">
        <f t="shared" si="30"/>
        <v>0.42892252395656416</v>
      </c>
    </row>
    <row r="56" spans="1:41" x14ac:dyDescent="0.25">
      <c r="A56" s="180" t="s">
        <v>158</v>
      </c>
      <c r="B56" s="178"/>
      <c r="C56" s="178"/>
      <c r="D56" s="178"/>
      <c r="E56" s="178"/>
      <c r="F56" s="178"/>
      <c r="G56" s="178"/>
      <c r="H56" s="177"/>
      <c r="I56" s="162"/>
      <c r="J56" s="162"/>
      <c r="K56" s="162"/>
      <c r="L56" s="169">
        <f t="shared" si="49"/>
        <v>0</v>
      </c>
      <c r="M56" s="162"/>
      <c r="N56" s="169">
        <f t="shared" si="33"/>
        <v>1063226.338711343</v>
      </c>
      <c r="O56" s="169">
        <f t="shared" si="33"/>
        <v>1453154.9043926846</v>
      </c>
      <c r="P56" s="169">
        <f t="shared" si="33"/>
        <v>42043.683825581284</v>
      </c>
      <c r="Q56" s="178"/>
      <c r="R56" s="165">
        <f>SUM(I56:Q56)</f>
        <v>2558424.9269296089</v>
      </c>
      <c r="S56" s="165">
        <f t="shared" si="24"/>
        <v>1495198.5882182659</v>
      </c>
      <c r="T56" s="165">
        <f t="shared" si="16"/>
        <v>1063226.338711343</v>
      </c>
      <c r="U56" s="165">
        <f t="shared" si="17"/>
        <v>2558424.9269296089</v>
      </c>
      <c r="V56" s="165">
        <f t="shared" ref="V56:AD56" si="57">$B$30*V27</f>
        <v>435857.11941257265</v>
      </c>
      <c r="W56" s="165">
        <f t="shared" si="57"/>
        <v>464043.05241711368</v>
      </c>
      <c r="X56" s="165">
        <f t="shared" si="57"/>
        <v>1067307.338209009</v>
      </c>
      <c r="Y56" s="165">
        <f t="shared" si="57"/>
        <v>562788.61220075306</v>
      </c>
      <c r="Z56" s="165">
        <f t="shared" si="57"/>
        <v>131427.6874404595</v>
      </c>
      <c r="AA56" s="165">
        <f t="shared" si="57"/>
        <v>515603.39157457079</v>
      </c>
      <c r="AB56" s="165">
        <f t="shared" si="57"/>
        <v>6805936.095628622</v>
      </c>
      <c r="AC56" s="165">
        <f t="shared" si="57"/>
        <v>3869431.3634330663</v>
      </c>
      <c r="AD56" s="165">
        <f t="shared" si="57"/>
        <v>379444.22843768669</v>
      </c>
      <c r="AE56" s="165">
        <f t="shared" si="35"/>
        <v>0</v>
      </c>
      <c r="AF56" s="165">
        <f t="shared" si="20"/>
        <v>0</v>
      </c>
      <c r="AG56" s="165">
        <f t="shared" si="37"/>
        <v>14231838.888753854</v>
      </c>
      <c r="AH56" s="165">
        <f t="shared" ref="AH56" si="58">H56+R56+AG56</f>
        <v>16790263.815683462</v>
      </c>
      <c r="AI56" s="182"/>
      <c r="AL56" s="163">
        <f t="shared" si="27"/>
        <v>8921101.3813434951</v>
      </c>
      <c r="AM56" s="163">
        <f t="shared" si="28"/>
        <v>7869162.4343399648</v>
      </c>
      <c r="AN56" s="96">
        <f t="shared" si="29"/>
        <v>0.53132586118214931</v>
      </c>
      <c r="AO56" s="96">
        <f t="shared" si="30"/>
        <v>0.46867413881785069</v>
      </c>
    </row>
    <row r="57" spans="1:41" x14ac:dyDescent="0.25">
      <c r="C57" t="s">
        <v>201</v>
      </c>
    </row>
    <row r="58" spans="1:41" x14ac:dyDescent="0.25">
      <c r="A58" s="168" t="s">
        <v>42</v>
      </c>
      <c r="B58" s="20">
        <v>0.70538159360122976</v>
      </c>
      <c r="C58" s="20">
        <v>0.71035999999999999</v>
      </c>
    </row>
    <row r="59" spans="1:41" ht="30" x14ac:dyDescent="0.25">
      <c r="A59" s="175" t="s">
        <v>1</v>
      </c>
      <c r="B59" s="175" t="str">
        <f t="shared" ref="B59:G59" si="59">B2</f>
        <v>Small DG</v>
      </c>
      <c r="C59" s="175" t="str">
        <f t="shared" si="59"/>
        <v>Large DG</v>
      </c>
      <c r="D59" s="175" t="str">
        <f t="shared" si="59"/>
        <v>Traditional CS</v>
      </c>
      <c r="E59" s="175" t="str">
        <f t="shared" si="59"/>
        <v xml:space="preserve"> Public Schools </v>
      </c>
      <c r="F59" s="175" t="str">
        <f t="shared" si="59"/>
        <v xml:space="preserve"> CDCS </v>
      </c>
      <c r="G59" s="175" t="str">
        <f t="shared" si="59"/>
        <v xml:space="preserve"> EEC </v>
      </c>
      <c r="H59" s="22" t="s">
        <v>187</v>
      </c>
      <c r="I59" s="175" t="s">
        <v>188</v>
      </c>
      <c r="J59" s="175" t="s">
        <v>189</v>
      </c>
      <c r="K59" s="175" t="s">
        <v>190</v>
      </c>
      <c r="L59" s="175" t="s">
        <v>211</v>
      </c>
      <c r="M59" s="175" t="s">
        <v>212</v>
      </c>
      <c r="N59" s="175" t="s">
        <v>193</v>
      </c>
      <c r="O59" s="175" t="s">
        <v>194</v>
      </c>
      <c r="P59" s="175" t="s">
        <v>195</v>
      </c>
      <c r="Q59" s="298" t="s">
        <v>196</v>
      </c>
      <c r="R59" s="22" t="s">
        <v>197</v>
      </c>
      <c r="S59" s="22" t="s">
        <v>198</v>
      </c>
      <c r="T59" s="22" t="s">
        <v>199</v>
      </c>
      <c r="U59" s="22" t="s">
        <v>200</v>
      </c>
      <c r="V59" s="175" t="s">
        <v>124</v>
      </c>
      <c r="W59" s="175" t="s">
        <v>130</v>
      </c>
      <c r="X59" s="23" t="s">
        <v>139</v>
      </c>
      <c r="Y59" s="175" t="s">
        <v>144</v>
      </c>
      <c r="Z59" s="23" t="s">
        <v>148</v>
      </c>
      <c r="AA59" s="23" t="s">
        <v>151</v>
      </c>
      <c r="AB59" s="175" t="s">
        <v>81</v>
      </c>
      <c r="AC59" s="175" t="s">
        <v>82</v>
      </c>
      <c r="AD59" s="175" t="s">
        <v>77</v>
      </c>
      <c r="AE59" s="175" t="s">
        <v>201</v>
      </c>
      <c r="AF59" s="23" t="s">
        <v>202</v>
      </c>
      <c r="AG59" s="183" t="s">
        <v>203</v>
      </c>
      <c r="AH59" s="22" t="s">
        <v>204</v>
      </c>
      <c r="AI59" s="22" t="s">
        <v>205</v>
      </c>
      <c r="AL59" s="67" t="s">
        <v>207</v>
      </c>
      <c r="AM59" s="67" t="s">
        <v>208</v>
      </c>
      <c r="AN59" t="s">
        <v>209</v>
      </c>
      <c r="AO59" t="s">
        <v>210</v>
      </c>
    </row>
    <row r="60" spans="1:41" x14ac:dyDescent="0.25">
      <c r="A60" s="175"/>
      <c r="B60" s="175"/>
      <c r="C60" s="175"/>
      <c r="D60" s="175"/>
      <c r="E60" s="175"/>
      <c r="F60" s="175"/>
      <c r="G60" s="175"/>
      <c r="H60" s="22"/>
      <c r="I60" s="175"/>
      <c r="J60" s="175"/>
      <c r="K60" s="175"/>
      <c r="L60" s="175"/>
      <c r="M60" s="175"/>
      <c r="N60" s="175"/>
      <c r="O60" s="175"/>
      <c r="P60" s="175"/>
      <c r="Q60" s="298"/>
      <c r="R60" s="22"/>
      <c r="S60" s="165"/>
      <c r="T60" s="165">
        <f t="shared" ref="T60:T84" si="60">I60+L60+N60</f>
        <v>0</v>
      </c>
      <c r="U60" s="165">
        <f t="shared" ref="U60:U84" si="61">H60+R60</f>
        <v>0</v>
      </c>
      <c r="V60" s="175"/>
      <c r="W60" s="175"/>
      <c r="X60" s="23"/>
      <c r="Y60" s="175"/>
      <c r="Z60" s="23"/>
      <c r="AA60" s="23"/>
      <c r="AB60" s="175"/>
      <c r="AC60" s="175"/>
      <c r="AD60" s="175"/>
      <c r="AE60" s="175"/>
      <c r="AF60" s="23"/>
      <c r="AG60" s="22"/>
      <c r="AH60" s="22"/>
      <c r="AI60" s="22"/>
    </row>
    <row r="61" spans="1:41" x14ac:dyDescent="0.25">
      <c r="A61" s="168" t="s">
        <v>16</v>
      </c>
      <c r="B61" s="169">
        <f>'ABP Under Contract'!B62</f>
        <v>141601</v>
      </c>
      <c r="C61" s="169">
        <f>'ABP Under Contract'!C62</f>
        <v>228915</v>
      </c>
      <c r="D61" s="169">
        <f>'ABP Under Contract'!D62</f>
        <v>81355</v>
      </c>
      <c r="E61" s="169">
        <f>'ABP Under Contract'!E62</f>
        <v>0</v>
      </c>
      <c r="F61" s="169">
        <f>'ABP Under Contract'!F62</f>
        <v>0</v>
      </c>
      <c r="G61" s="169">
        <f>'ABP Under Contract'!G62</f>
        <v>0</v>
      </c>
      <c r="H61" s="165">
        <f>SUM(B61:G61)</f>
        <v>451871</v>
      </c>
      <c r="I61" s="169">
        <v>1261725</v>
      </c>
      <c r="J61" s="169"/>
      <c r="K61" s="169">
        <v>0</v>
      </c>
      <c r="L61" s="169">
        <v>513482</v>
      </c>
      <c r="M61" s="169">
        <v>18445</v>
      </c>
      <c r="N61" s="169"/>
      <c r="O61" s="169"/>
      <c r="P61" s="169"/>
      <c r="Q61" s="169">
        <f t="shared" ref="Q61:Q83" si="62">Q4*$B$58</f>
        <v>41103.714069693422</v>
      </c>
      <c r="R61" s="165">
        <f t="shared" ref="R61:R83" si="63">SUM(I61:Q61)</f>
        <v>1834755.7140696933</v>
      </c>
      <c r="S61" s="165">
        <f>H61+J61+K61+M61+O61+P61+Q61</f>
        <v>511419.71406969341</v>
      </c>
      <c r="T61" s="165">
        <f>I61+L61+N61</f>
        <v>1775207</v>
      </c>
      <c r="U61" s="165">
        <f t="shared" si="61"/>
        <v>2286626.7140696933</v>
      </c>
      <c r="V61" s="165">
        <f t="shared" ref="V61:AD61" si="64">$B$58*V4</f>
        <v>0</v>
      </c>
      <c r="W61" s="165">
        <f t="shared" si="64"/>
        <v>0</v>
      </c>
      <c r="X61" s="165">
        <f t="shared" si="64"/>
        <v>0</v>
      </c>
      <c r="Y61" s="165">
        <f t="shared" si="64"/>
        <v>0</v>
      </c>
      <c r="Z61" s="165">
        <f t="shared" si="64"/>
        <v>0</v>
      </c>
      <c r="AA61" s="165">
        <f t="shared" si="64"/>
        <v>0</v>
      </c>
      <c r="AB61" s="165">
        <f t="shared" si="64"/>
        <v>0</v>
      </c>
      <c r="AC61" s="165">
        <f t="shared" si="64"/>
        <v>0</v>
      </c>
      <c r="AD61" s="165">
        <f t="shared" si="64"/>
        <v>0</v>
      </c>
      <c r="AE61" s="165"/>
      <c r="AF61" s="165">
        <f t="shared" ref="AF61:AF83" si="65">AF4*$B$58</f>
        <v>0</v>
      </c>
      <c r="AG61" s="165">
        <f>SUM(V61:AF61)</f>
        <v>0</v>
      </c>
      <c r="AH61" s="165">
        <f t="shared" ref="AH61:AH83" si="66">H61+R61+AG61</f>
        <v>2286626.7140696933</v>
      </c>
      <c r="AI61" s="182">
        <f>AH61/'Collections and ACP'!E73</f>
        <v>2.7243874725206101E-2</v>
      </c>
      <c r="AL61" s="163">
        <f>H61+J61+K61+M61+Q61+V61+W61+X61+Y61+Z61+AA61+AC61+AD61+AF61+O61+P61+AE61</f>
        <v>511419.71406969341</v>
      </c>
      <c r="AM61" s="163">
        <f>I61+L61+AB61+N61</f>
        <v>1775207</v>
      </c>
      <c r="AN61" s="96">
        <f>AL61/(AL61+AM61)</f>
        <v>0.22365684391025006</v>
      </c>
      <c r="AO61" s="96">
        <f>1-AN61</f>
        <v>0.77634315608974991</v>
      </c>
    </row>
    <row r="62" spans="1:41" x14ac:dyDescent="0.25">
      <c r="A62" s="168" t="s">
        <v>17</v>
      </c>
      <c r="B62" s="169">
        <f>'ABP Under Contract'!B63</f>
        <v>184201</v>
      </c>
      <c r="C62" s="169">
        <f>'ABP Under Contract'!C63</f>
        <v>280339</v>
      </c>
      <c r="D62" s="169">
        <f>'ABP Under Contract'!D63</f>
        <v>262423</v>
      </c>
      <c r="E62" s="169">
        <f>'ABP Under Contract'!E63</f>
        <v>0</v>
      </c>
      <c r="F62" s="169">
        <f>'ABP Under Contract'!F63</f>
        <v>0</v>
      </c>
      <c r="G62" s="169">
        <f>'ABP Under Contract'!G63</f>
        <v>0</v>
      </c>
      <c r="H62" s="165">
        <f t="shared" ref="H62:H83" si="67">SUM(B62:G62)</f>
        <v>726963</v>
      </c>
      <c r="I62" s="169">
        <v>1261725</v>
      </c>
      <c r="J62" s="169"/>
      <c r="K62" s="169">
        <v>18445</v>
      </c>
      <c r="L62" s="169">
        <v>1452887</v>
      </c>
      <c r="M62" s="169">
        <v>651114</v>
      </c>
      <c r="N62" s="169"/>
      <c r="O62" s="169"/>
      <c r="P62" s="169"/>
      <c r="Q62" s="169">
        <f t="shared" si="62"/>
        <v>45977.853856038346</v>
      </c>
      <c r="R62" s="165">
        <f t="shared" si="63"/>
        <v>3430148.8538560383</v>
      </c>
      <c r="S62" s="165">
        <f t="shared" ref="S62:S84" si="68">H62+J62+K62+M62+O62+P62+Q62</f>
        <v>1442499.8538560383</v>
      </c>
      <c r="T62" s="165">
        <f t="shared" si="60"/>
        <v>2714612</v>
      </c>
      <c r="U62" s="165">
        <f t="shared" si="61"/>
        <v>4157111.8538560383</v>
      </c>
      <c r="V62" s="165">
        <f t="shared" ref="V62:AD62" si="69">$B$58*V5</f>
        <v>0</v>
      </c>
      <c r="W62" s="165">
        <f t="shared" si="69"/>
        <v>0</v>
      </c>
      <c r="X62" s="165">
        <f t="shared" si="69"/>
        <v>0</v>
      </c>
      <c r="Y62" s="165">
        <f t="shared" si="69"/>
        <v>0</v>
      </c>
      <c r="Z62" s="165">
        <f t="shared" si="69"/>
        <v>0</v>
      </c>
      <c r="AA62" s="165">
        <f t="shared" si="69"/>
        <v>0</v>
      </c>
      <c r="AB62" s="165">
        <f t="shared" si="69"/>
        <v>0</v>
      </c>
      <c r="AC62" s="165">
        <f t="shared" si="69"/>
        <v>0</v>
      </c>
      <c r="AD62" s="165">
        <f t="shared" si="69"/>
        <v>0</v>
      </c>
      <c r="AE62" s="165"/>
      <c r="AF62" s="165">
        <f t="shared" si="65"/>
        <v>0</v>
      </c>
      <c r="AG62" s="165">
        <f t="shared" ref="AG62:AG63" si="70">SUM(V62:AF62)</f>
        <v>0</v>
      </c>
      <c r="AH62" s="165">
        <f t="shared" si="66"/>
        <v>4157111.8538560383</v>
      </c>
      <c r="AI62" s="182">
        <f>AH62/'Collections and ACP'!E74</f>
        <v>4.9081986819587628E-2</v>
      </c>
      <c r="AL62" s="163">
        <f t="shared" ref="AL62:AL84" si="71">H62+J62+K62+M62+Q62+V62+W62+X62+Y62+Z62+AA62+AC62+AD62+AF62+O62+P62+AE62</f>
        <v>1442499.8538560383</v>
      </c>
      <c r="AM62" s="163">
        <f t="shared" ref="AM62:AM84" si="72">I62+L62+AB62+N62</f>
        <v>2714612</v>
      </c>
      <c r="AN62" s="96">
        <f t="shared" ref="AN62:AN84" si="73">AL62/(AL62+AM62)</f>
        <v>0.34699567982949742</v>
      </c>
      <c r="AO62" s="96">
        <f t="shared" ref="AO62:AO84" si="74">1-AN62</f>
        <v>0.65300432017050258</v>
      </c>
    </row>
    <row r="63" spans="1:41" x14ac:dyDescent="0.25">
      <c r="A63" s="168" t="s">
        <v>18</v>
      </c>
      <c r="B63" s="169">
        <f>'ABP Under Contract'!B64</f>
        <v>251636</v>
      </c>
      <c r="C63" s="169">
        <f>'ABP Under Contract'!C64</f>
        <v>299360</v>
      </c>
      <c r="D63" s="169">
        <f>'ABP Under Contract'!D64</f>
        <v>327745</v>
      </c>
      <c r="E63" s="169">
        <f>'ABP Under Contract'!E64</f>
        <v>0</v>
      </c>
      <c r="F63" s="169">
        <f>'ABP Under Contract'!F64</f>
        <v>0</v>
      </c>
      <c r="G63" s="169">
        <f>'ABP Under Contract'!G64</f>
        <v>0</v>
      </c>
      <c r="H63" s="165">
        <f t="shared" si="67"/>
        <v>878741</v>
      </c>
      <c r="I63" s="169">
        <v>1261725</v>
      </c>
      <c r="J63" s="169"/>
      <c r="K63" s="169">
        <v>5286</v>
      </c>
      <c r="L63" s="169">
        <v>1452887</v>
      </c>
      <c r="M63" s="169">
        <v>1403726</v>
      </c>
      <c r="N63" s="169"/>
      <c r="O63" s="169"/>
      <c r="P63" s="169"/>
      <c r="Q63" s="169">
        <f t="shared" si="62"/>
        <v>45747.964586758157</v>
      </c>
      <c r="R63" s="165">
        <f t="shared" si="63"/>
        <v>4169371.9645867581</v>
      </c>
      <c r="S63" s="165">
        <f t="shared" si="68"/>
        <v>2333500.9645867581</v>
      </c>
      <c r="T63" s="165">
        <f t="shared" si="60"/>
        <v>2714612</v>
      </c>
      <c r="U63" s="165">
        <f t="shared" si="61"/>
        <v>5048112.9645867581</v>
      </c>
      <c r="V63" s="165">
        <f t="shared" ref="V63:AD63" si="75">$B$58*V6</f>
        <v>0</v>
      </c>
      <c r="W63" s="165">
        <f t="shared" si="75"/>
        <v>0</v>
      </c>
      <c r="X63" s="165">
        <f t="shared" si="75"/>
        <v>0</v>
      </c>
      <c r="Y63" s="165">
        <f t="shared" si="75"/>
        <v>0</v>
      </c>
      <c r="Z63" s="165">
        <f t="shared" si="75"/>
        <v>0</v>
      </c>
      <c r="AA63" s="165">
        <f t="shared" si="75"/>
        <v>0</v>
      </c>
      <c r="AB63" s="165">
        <f t="shared" si="75"/>
        <v>0</v>
      </c>
      <c r="AC63" s="165">
        <f t="shared" si="75"/>
        <v>0</v>
      </c>
      <c r="AD63" s="165">
        <f t="shared" si="75"/>
        <v>0</v>
      </c>
      <c r="AE63" s="165"/>
      <c r="AF63" s="165">
        <f t="shared" si="65"/>
        <v>0</v>
      </c>
      <c r="AG63" s="165">
        <f t="shared" si="70"/>
        <v>0</v>
      </c>
      <c r="AH63" s="165">
        <f t="shared" si="66"/>
        <v>5048112.9645867581</v>
      </c>
      <c r="AI63" s="182">
        <f>AH63/'Collections and ACP'!E75</f>
        <v>6.0500562083465305E-2</v>
      </c>
      <c r="AJ63" s="163"/>
      <c r="AK63" s="163"/>
      <c r="AL63" s="163">
        <f t="shared" si="71"/>
        <v>2333500.9645867581</v>
      </c>
      <c r="AM63" s="163">
        <f t="shared" si="72"/>
        <v>2714612</v>
      </c>
      <c r="AN63" s="96">
        <f t="shared" si="73"/>
        <v>0.46225212885618933</v>
      </c>
      <c r="AO63" s="96">
        <f t="shared" si="74"/>
        <v>0.53774787114381062</v>
      </c>
    </row>
    <row r="64" spans="1:41" x14ac:dyDescent="0.25">
      <c r="A64" s="168" t="s">
        <v>19</v>
      </c>
      <c r="B64" s="169">
        <f>'ABP Under Contract'!B65</f>
        <v>500093</v>
      </c>
      <c r="C64" s="169">
        <f>'ABP Under Contract'!C65</f>
        <v>354795</v>
      </c>
      <c r="D64" s="169">
        <f>'ABP Under Contract'!D65</f>
        <v>413269</v>
      </c>
      <c r="E64" s="169">
        <f>'ABP Under Contract'!E65</f>
        <v>0</v>
      </c>
      <c r="F64" s="169">
        <f>'ABP Under Contract'!F65</f>
        <v>0</v>
      </c>
      <c r="G64" s="169">
        <f>'ABP Under Contract'!G65</f>
        <v>0</v>
      </c>
      <c r="H64" s="165">
        <f t="shared" si="67"/>
        <v>1268157</v>
      </c>
      <c r="I64" s="169">
        <v>1261725</v>
      </c>
      <c r="J64" s="169"/>
      <c r="K64" s="28"/>
      <c r="L64" s="169">
        <v>1452887</v>
      </c>
      <c r="M64" s="169">
        <v>1403726</v>
      </c>
      <c r="N64" s="169"/>
      <c r="O64" s="169"/>
      <c r="P64" s="169"/>
      <c r="Q64" s="169">
        <f t="shared" si="62"/>
        <v>45519.224763824372</v>
      </c>
      <c r="R64" s="165">
        <f t="shared" si="63"/>
        <v>4163857.2247638246</v>
      </c>
      <c r="S64" s="165">
        <f t="shared" si="68"/>
        <v>2717402.2247638246</v>
      </c>
      <c r="T64" s="165">
        <f t="shared" si="60"/>
        <v>2714612</v>
      </c>
      <c r="U64" s="165">
        <f t="shared" si="61"/>
        <v>5432014.2247638246</v>
      </c>
      <c r="V64" s="165">
        <f t="shared" ref="V64:AD64" si="76">$B$58*V7</f>
        <v>0</v>
      </c>
      <c r="W64" s="165">
        <f t="shared" si="76"/>
        <v>0</v>
      </c>
      <c r="X64" s="165">
        <f t="shared" si="76"/>
        <v>0</v>
      </c>
      <c r="Y64" s="165">
        <f t="shared" si="76"/>
        <v>0</v>
      </c>
      <c r="Z64" s="165">
        <f t="shared" si="76"/>
        <v>0</v>
      </c>
      <c r="AA64" s="165">
        <f t="shared" si="76"/>
        <v>0</v>
      </c>
      <c r="AB64" s="165">
        <f t="shared" si="76"/>
        <v>0</v>
      </c>
      <c r="AC64" s="165">
        <f t="shared" si="76"/>
        <v>0</v>
      </c>
      <c r="AD64" s="165">
        <f t="shared" si="76"/>
        <v>0</v>
      </c>
      <c r="AE64" s="165"/>
      <c r="AF64" s="165">
        <f t="shared" si="65"/>
        <v>33152.934899257802</v>
      </c>
      <c r="AG64" s="165">
        <f>SUM(V64:AF64)</f>
        <v>33152.934899257802</v>
      </c>
      <c r="AH64" s="165">
        <f t="shared" si="66"/>
        <v>5465167.1596630821</v>
      </c>
      <c r="AI64" s="182">
        <f>AH64/'Collections and ACP'!E76</f>
        <v>6.587961945586629E-2</v>
      </c>
      <c r="AJ64" s="163"/>
      <c r="AK64" s="163"/>
      <c r="AL64" s="163">
        <f t="shared" si="71"/>
        <v>2750555.1596630826</v>
      </c>
      <c r="AM64" s="163">
        <f t="shared" si="72"/>
        <v>2714612</v>
      </c>
      <c r="AN64" s="96">
        <f t="shared" si="73"/>
        <v>0.50328838612004123</v>
      </c>
      <c r="AO64" s="96">
        <f t="shared" si="74"/>
        <v>0.49671161387995877</v>
      </c>
    </row>
    <row r="65" spans="1:41" x14ac:dyDescent="0.25">
      <c r="A65" s="168" t="s">
        <v>21</v>
      </c>
      <c r="B65" s="169">
        <f>'ABP Under Contract'!B66</f>
        <v>643869</v>
      </c>
      <c r="C65" s="169">
        <f>'ABP Under Contract'!C66</f>
        <v>594643</v>
      </c>
      <c r="D65" s="169">
        <f>'ABP Under Contract'!D66</f>
        <v>725896</v>
      </c>
      <c r="E65" s="169">
        <f>'ABP Under Contract'!E66</f>
        <v>944</v>
      </c>
      <c r="F65" s="169">
        <f>'ABP Under Contract'!F66</f>
        <v>6313</v>
      </c>
      <c r="G65" s="169">
        <f>'ABP Under Contract'!G66</f>
        <v>0</v>
      </c>
      <c r="H65" s="165">
        <f t="shared" si="67"/>
        <v>1971665</v>
      </c>
      <c r="I65" s="169">
        <v>1261725</v>
      </c>
      <c r="J65" s="169"/>
      <c r="K65" s="28"/>
      <c r="L65" s="169">
        <v>1452887</v>
      </c>
      <c r="M65" s="169">
        <v>1403726</v>
      </c>
      <c r="N65" s="169">
        <f t="shared" ref="N65:P84" si="77">N8*$B$58</f>
        <v>0</v>
      </c>
      <c r="O65" s="169">
        <f t="shared" si="77"/>
        <v>0</v>
      </c>
      <c r="P65" s="169">
        <f t="shared" si="77"/>
        <v>0</v>
      </c>
      <c r="Q65" s="169">
        <f t="shared" si="62"/>
        <v>45291.628640005249</v>
      </c>
      <c r="R65" s="165">
        <f t="shared" si="63"/>
        <v>4163629.6286400054</v>
      </c>
      <c r="S65" s="165">
        <f t="shared" si="68"/>
        <v>3420682.6286400054</v>
      </c>
      <c r="T65" s="165">
        <f t="shared" si="60"/>
        <v>2714612</v>
      </c>
      <c r="U65" s="165">
        <f t="shared" si="61"/>
        <v>6135294.6286400054</v>
      </c>
      <c r="V65" s="165">
        <f t="shared" ref="V65:AD65" si="78">$B$58*V8</f>
        <v>0</v>
      </c>
      <c r="W65" s="165">
        <f t="shared" si="78"/>
        <v>0</v>
      </c>
      <c r="X65" s="165">
        <f t="shared" si="78"/>
        <v>0</v>
      </c>
      <c r="Y65" s="165">
        <f t="shared" si="78"/>
        <v>0</v>
      </c>
      <c r="Z65" s="165">
        <f t="shared" si="78"/>
        <v>0</v>
      </c>
      <c r="AA65" s="165">
        <f t="shared" si="78"/>
        <v>0</v>
      </c>
      <c r="AB65" s="165">
        <f t="shared" si="78"/>
        <v>0</v>
      </c>
      <c r="AC65" s="165">
        <f t="shared" si="78"/>
        <v>0</v>
      </c>
      <c r="AD65" s="165">
        <f t="shared" si="78"/>
        <v>0</v>
      </c>
      <c r="AE65" s="165">
        <f t="shared" ref="AE65:AE83" si="79">AE8*$C$58</f>
        <v>269304.5796</v>
      </c>
      <c r="AF65" s="165">
        <f t="shared" si="65"/>
        <v>65974.340449523021</v>
      </c>
      <c r="AG65" s="165">
        <f>SUM(V65:AF65)</f>
        <v>335278.920049523</v>
      </c>
      <c r="AH65" s="165">
        <f t="shared" si="66"/>
        <v>6470573.5486895284</v>
      </c>
      <c r="AI65" s="182">
        <f>AH65/'Collections and ACP'!E77</f>
        <v>7.8972493114140396E-2</v>
      </c>
      <c r="AJ65" s="163"/>
      <c r="AK65" s="163"/>
      <c r="AL65" s="163">
        <f t="shared" si="71"/>
        <v>3755961.5486895284</v>
      </c>
      <c r="AM65" s="163">
        <f t="shared" si="72"/>
        <v>2714612</v>
      </c>
      <c r="AN65" s="96">
        <f t="shared" si="73"/>
        <v>0.58046810231377644</v>
      </c>
      <c r="AO65" s="96">
        <f t="shared" si="74"/>
        <v>0.41953189768622356</v>
      </c>
    </row>
    <row r="66" spans="1:41" x14ac:dyDescent="0.25">
      <c r="A66" s="168" t="s">
        <v>22</v>
      </c>
      <c r="B66" s="169">
        <f>'ABP Under Contract'!B67</f>
        <v>719194</v>
      </c>
      <c r="C66" s="169">
        <f>'ABP Under Contract'!C67</f>
        <v>781692</v>
      </c>
      <c r="D66" s="169">
        <f>'ABP Under Contract'!D67</f>
        <v>1218483</v>
      </c>
      <c r="E66" s="169">
        <f>'ABP Under Contract'!E67</f>
        <v>25336</v>
      </c>
      <c r="F66" s="169">
        <f>'ABP Under Contract'!F67</f>
        <v>120966</v>
      </c>
      <c r="G66" s="169">
        <f>'ABP Under Contract'!G67</f>
        <v>545907</v>
      </c>
      <c r="H66" s="165">
        <f t="shared" si="67"/>
        <v>3411578</v>
      </c>
      <c r="I66" s="169">
        <v>1261725</v>
      </c>
      <c r="J66" s="169"/>
      <c r="K66" s="28"/>
      <c r="L66" s="169">
        <v>1452887</v>
      </c>
      <c r="M66" s="169">
        <f>1403726+402067</f>
        <v>1805793</v>
      </c>
      <c r="N66" s="169">
        <f t="shared" si="77"/>
        <v>53767.122543798811</v>
      </c>
      <c r="O66" s="169">
        <f t="shared" si="77"/>
        <v>76954.233033427314</v>
      </c>
      <c r="P66" s="169">
        <f t="shared" si="77"/>
        <v>576.92484147335654</v>
      </c>
      <c r="Q66" s="169">
        <f t="shared" si="62"/>
        <v>45065.170496805222</v>
      </c>
      <c r="R66" s="165">
        <f t="shared" si="63"/>
        <v>4696768.4509155052</v>
      </c>
      <c r="S66" s="165">
        <f t="shared" si="68"/>
        <v>5339967.3283717064</v>
      </c>
      <c r="T66" s="165">
        <f t="shared" si="60"/>
        <v>2768379.1225437988</v>
      </c>
      <c r="U66" s="165">
        <f t="shared" si="61"/>
        <v>8108346.4509155052</v>
      </c>
      <c r="V66" s="165">
        <f t="shared" ref="V66:AD66" si="80">$B$58*V9</f>
        <v>23305.450304366568</v>
      </c>
      <c r="W66" s="165">
        <f t="shared" si="80"/>
        <v>50792.29342931971</v>
      </c>
      <c r="X66" s="165">
        <f t="shared" si="80"/>
        <v>0</v>
      </c>
      <c r="Y66" s="165">
        <f t="shared" si="80"/>
        <v>148332.69226064152</v>
      </c>
      <c r="Z66" s="165">
        <f t="shared" si="80"/>
        <v>0</v>
      </c>
      <c r="AA66" s="165">
        <f t="shared" si="80"/>
        <v>58176.053853604462</v>
      </c>
      <c r="AB66" s="165">
        <f t="shared" si="80"/>
        <v>0</v>
      </c>
      <c r="AC66" s="165">
        <f t="shared" si="80"/>
        <v>0</v>
      </c>
      <c r="AD66" s="165">
        <f t="shared" si="80"/>
        <v>0</v>
      </c>
      <c r="AE66" s="165">
        <f t="shared" si="79"/>
        <v>269304.5796</v>
      </c>
      <c r="AF66" s="165">
        <f t="shared" si="65"/>
        <v>98961.510674284524</v>
      </c>
      <c r="AG66" s="165">
        <f t="shared" ref="AG66:AG84" si="81">SUM(V66:AF66)</f>
        <v>648872.58012221684</v>
      </c>
      <c r="AH66" s="165">
        <f t="shared" si="66"/>
        <v>8757219.0310377218</v>
      </c>
      <c r="AI66" s="182">
        <f>AH66/'Collections and ACP'!E78</f>
        <v>0.10552125588418848</v>
      </c>
      <c r="AJ66" s="163"/>
      <c r="AK66" s="163"/>
      <c r="AL66" s="163">
        <f t="shared" si="71"/>
        <v>5988839.908493923</v>
      </c>
      <c r="AM66" s="163">
        <f t="shared" si="72"/>
        <v>2768379.1225437988</v>
      </c>
      <c r="AN66" s="96">
        <f t="shared" si="73"/>
        <v>0.68387462815170119</v>
      </c>
      <c r="AO66" s="96">
        <f t="shared" si="74"/>
        <v>0.31612537184829881</v>
      </c>
    </row>
    <row r="67" spans="1:41" x14ac:dyDescent="0.25">
      <c r="A67" s="168" t="s">
        <v>23</v>
      </c>
      <c r="B67" s="169">
        <f>'ABP Under Contract'!B68</f>
        <v>739530</v>
      </c>
      <c r="C67" s="169">
        <f>'ABP Under Contract'!C68</f>
        <v>808342</v>
      </c>
      <c r="D67" s="169">
        <f>'ABP Under Contract'!D68</f>
        <v>1533186</v>
      </c>
      <c r="E67" s="169">
        <f>'ABP Under Contract'!E68</f>
        <v>34924</v>
      </c>
      <c r="F67" s="169">
        <f>'ABP Under Contract'!F68</f>
        <v>187215</v>
      </c>
      <c r="G67" s="169">
        <f>'ABP Under Contract'!G68</f>
        <v>775581</v>
      </c>
      <c r="H67" s="165">
        <f t="shared" si="67"/>
        <v>4078778</v>
      </c>
      <c r="I67" s="169">
        <v>1261725</v>
      </c>
      <c r="J67" s="169"/>
      <c r="K67" s="28"/>
      <c r="L67" s="169">
        <v>1452887</v>
      </c>
      <c r="M67" s="169">
        <f t="shared" ref="M67:M76" si="82">1403726+402067</f>
        <v>1805793</v>
      </c>
      <c r="N67" s="169">
        <f t="shared" si="77"/>
        <v>409314.84616374201</v>
      </c>
      <c r="O67" s="169">
        <f t="shared" si="77"/>
        <v>315603.07717275067</v>
      </c>
      <c r="P67" s="169">
        <f t="shared" si="77"/>
        <v>9689.5726757297434</v>
      </c>
      <c r="Q67" s="169">
        <f t="shared" si="62"/>
        <v>44839.844644321194</v>
      </c>
      <c r="R67" s="165">
        <f t="shared" si="63"/>
        <v>5299852.3406565441</v>
      </c>
      <c r="S67" s="165">
        <f t="shared" si="68"/>
        <v>6254703.4944928018</v>
      </c>
      <c r="T67" s="165">
        <f t="shared" si="60"/>
        <v>3123926.8461637422</v>
      </c>
      <c r="U67" s="165">
        <f t="shared" si="61"/>
        <v>9378630.340656545</v>
      </c>
      <c r="V67" s="165">
        <f t="shared" ref="V67:AD67" si="83">$B$58*V10</f>
        <v>146631.21807826546</v>
      </c>
      <c r="W67" s="165">
        <f t="shared" si="83"/>
        <v>181963.37202615733</v>
      </c>
      <c r="X67" s="165">
        <f t="shared" si="83"/>
        <v>23132.813722135521</v>
      </c>
      <c r="Y67" s="165">
        <f t="shared" si="83"/>
        <v>256240.62610745517</v>
      </c>
      <c r="Z67" s="165">
        <f t="shared" si="83"/>
        <v>0</v>
      </c>
      <c r="AA67" s="165">
        <f t="shared" si="83"/>
        <v>203912.99587765223</v>
      </c>
      <c r="AB67" s="165">
        <f t="shared" si="83"/>
        <v>0</v>
      </c>
      <c r="AC67" s="165">
        <f t="shared" si="83"/>
        <v>0</v>
      </c>
      <c r="AD67" s="165">
        <f t="shared" si="83"/>
        <v>0</v>
      </c>
      <c r="AE67" s="165">
        <f t="shared" si="79"/>
        <v>269304.5796</v>
      </c>
      <c r="AF67" s="165">
        <f t="shared" si="65"/>
        <v>131948.68089904604</v>
      </c>
      <c r="AG67" s="165">
        <f t="shared" si="81"/>
        <v>1213134.2863107119</v>
      </c>
      <c r="AH67" s="165">
        <f t="shared" si="66"/>
        <v>10591764.626967257</v>
      </c>
      <c r="AI67" s="182">
        <f>AH67/'Collections and ACP'!E79</f>
        <v>0.1251389964526663</v>
      </c>
      <c r="AJ67" s="163"/>
      <c r="AK67" s="163"/>
      <c r="AL67" s="163">
        <f t="shared" si="71"/>
        <v>7467837.7808035146</v>
      </c>
      <c r="AM67" s="163">
        <f t="shared" si="72"/>
        <v>3123926.8461637422</v>
      </c>
      <c r="AN67" s="96">
        <f t="shared" si="73"/>
        <v>0.70506077540563539</v>
      </c>
      <c r="AO67" s="96">
        <f t="shared" si="74"/>
        <v>0.29493922459436461</v>
      </c>
    </row>
    <row r="68" spans="1:41" x14ac:dyDescent="0.25">
      <c r="A68" s="168" t="s">
        <v>24</v>
      </c>
      <c r="B68" s="169">
        <f>'ABP Under Contract'!B69</f>
        <v>735630</v>
      </c>
      <c r="C68" s="169">
        <f>'ABP Under Contract'!C69</f>
        <v>804310</v>
      </c>
      <c r="D68" s="169">
        <f>'ABP Under Contract'!D69</f>
        <v>1525522</v>
      </c>
      <c r="E68" s="169">
        <f>'ABP Under Contract'!E69</f>
        <v>34748</v>
      </c>
      <c r="F68" s="169">
        <f>'ABP Under Contract'!F69</f>
        <v>186274</v>
      </c>
      <c r="G68" s="169">
        <f>'ABP Under Contract'!G69</f>
        <v>771704</v>
      </c>
      <c r="H68" s="165">
        <f t="shared" si="67"/>
        <v>4058188</v>
      </c>
      <c r="I68" s="169">
        <v>1261725</v>
      </c>
      <c r="J68" s="169"/>
      <c r="K68" s="28"/>
      <c r="L68" s="169">
        <v>1452887</v>
      </c>
      <c r="M68" s="169">
        <f t="shared" si="82"/>
        <v>1805793</v>
      </c>
      <c r="N68" s="169">
        <f t="shared" si="77"/>
        <v>1277404.538361487</v>
      </c>
      <c r="O68" s="169">
        <f t="shared" si="77"/>
        <v>1406250.9404069942</v>
      </c>
      <c r="P68" s="169">
        <f t="shared" si="77"/>
        <v>35994.405074129347</v>
      </c>
      <c r="Q68" s="169">
        <f t="shared" si="62"/>
        <v>44615.645421099594</v>
      </c>
      <c r="R68" s="165">
        <f t="shared" si="63"/>
        <v>7284670.5292637097</v>
      </c>
      <c r="S68" s="165">
        <f t="shared" si="68"/>
        <v>7350841.9909022236</v>
      </c>
      <c r="T68" s="165">
        <f t="shared" si="60"/>
        <v>3992016.538361487</v>
      </c>
      <c r="U68" s="165">
        <f t="shared" si="61"/>
        <v>11342858.529263709</v>
      </c>
      <c r="V68" s="165">
        <f t="shared" ref="V68:AD68" si="84">$B$58*V11</f>
        <v>269340.35701329482</v>
      </c>
      <c r="W68" s="165">
        <f t="shared" si="84"/>
        <v>312478.59523001075</v>
      </c>
      <c r="X68" s="165">
        <f t="shared" si="84"/>
        <v>248674.0056011522</v>
      </c>
      <c r="Y68" s="165">
        <f t="shared" si="84"/>
        <v>363609.02028503479</v>
      </c>
      <c r="Z68" s="165">
        <f t="shared" si="84"/>
        <v>33430.645325574427</v>
      </c>
      <c r="AA68" s="165">
        <f t="shared" si="84"/>
        <v>348921.25319157977</v>
      </c>
      <c r="AB68" s="165">
        <f t="shared" si="84"/>
        <v>0</v>
      </c>
      <c r="AC68" s="165">
        <f t="shared" si="84"/>
        <v>0</v>
      </c>
      <c r="AD68" s="165">
        <f t="shared" si="84"/>
        <v>0</v>
      </c>
      <c r="AE68" s="165">
        <f t="shared" si="79"/>
        <v>269304.5796</v>
      </c>
      <c r="AF68" s="165">
        <f t="shared" si="65"/>
        <v>164935.85112380754</v>
      </c>
      <c r="AG68" s="165">
        <f t="shared" si="81"/>
        <v>2010694.3073704543</v>
      </c>
      <c r="AH68" s="165">
        <f t="shared" si="66"/>
        <v>13353552.836634163</v>
      </c>
      <c r="AI68" s="182">
        <f>AH68/'Collections and ACP'!E80</f>
        <v>0.15330516923190204</v>
      </c>
      <c r="AJ68" s="163"/>
      <c r="AK68" s="163"/>
      <c r="AL68" s="163">
        <f t="shared" si="71"/>
        <v>9361536.2982726768</v>
      </c>
      <c r="AM68" s="163">
        <f t="shared" si="72"/>
        <v>3992016.538361487</v>
      </c>
      <c r="AN68" s="96">
        <f t="shared" si="73"/>
        <v>0.70105210297219323</v>
      </c>
      <c r="AO68" s="96">
        <f t="shared" si="74"/>
        <v>0.29894789702780677</v>
      </c>
    </row>
    <row r="69" spans="1:41" x14ac:dyDescent="0.25">
      <c r="A69" s="168" t="s">
        <v>25</v>
      </c>
      <c r="B69" s="169">
        <f>'ABP Under Contract'!B70</f>
        <v>731800</v>
      </c>
      <c r="C69" s="169">
        <f>'ABP Under Contract'!C70</f>
        <v>800281</v>
      </c>
      <c r="D69" s="169">
        <f>'ABP Under Contract'!D70</f>
        <v>1517895</v>
      </c>
      <c r="E69" s="169">
        <f>'ABP Under Contract'!E70</f>
        <v>34576</v>
      </c>
      <c r="F69" s="169">
        <f>'ABP Under Contract'!F70</f>
        <v>185346</v>
      </c>
      <c r="G69" s="169">
        <f>'ABP Under Contract'!G70</f>
        <v>767845</v>
      </c>
      <c r="H69" s="165">
        <f t="shared" si="67"/>
        <v>4037743</v>
      </c>
      <c r="I69" s="169">
        <v>1261725</v>
      </c>
      <c r="J69" s="169"/>
      <c r="K69" s="28"/>
      <c r="L69" s="169">
        <v>1452887</v>
      </c>
      <c r="M69" s="169">
        <f t="shared" si="82"/>
        <v>1805793</v>
      </c>
      <c r="N69" s="169">
        <f t="shared" si="77"/>
        <v>2190470.1730257277</v>
      </c>
      <c r="O69" s="169">
        <f t="shared" si="77"/>
        <v>3324947.6377724865</v>
      </c>
      <c r="P69" s="169">
        <f t="shared" si="77"/>
        <v>110397.35504733027</v>
      </c>
      <c r="Q69" s="169">
        <f t="shared" si="62"/>
        <v>44392.567193994095</v>
      </c>
      <c r="R69" s="165">
        <f t="shared" si="63"/>
        <v>10190612.733039537</v>
      </c>
      <c r="S69" s="165">
        <f t="shared" si="68"/>
        <v>9323273.5600138102</v>
      </c>
      <c r="T69" s="165">
        <f t="shared" si="60"/>
        <v>4905082.1730257273</v>
      </c>
      <c r="U69" s="165">
        <f t="shared" si="61"/>
        <v>14228355.733039537</v>
      </c>
      <c r="V69" s="165">
        <f t="shared" ref="V69:AD69" si="85">$B$58*V12</f>
        <v>391435.95025364915</v>
      </c>
      <c r="W69" s="165">
        <f t="shared" si="85"/>
        <v>442341.24231784494</v>
      </c>
      <c r="X69" s="165">
        <f t="shared" si="85"/>
        <v>473087.49152077374</v>
      </c>
      <c r="Y69" s="165">
        <f t="shared" si="85"/>
        <v>470440.57249172649</v>
      </c>
      <c r="Z69" s="165">
        <f t="shared" si="85"/>
        <v>66694.137424520988</v>
      </c>
      <c r="AA69" s="165">
        <f t="shared" si="85"/>
        <v>493204.46921893768</v>
      </c>
      <c r="AB69" s="165">
        <f t="shared" si="85"/>
        <v>1763453.9840030745</v>
      </c>
      <c r="AC69" s="165">
        <f t="shared" si="85"/>
        <v>470253.92547975742</v>
      </c>
      <c r="AD69" s="165">
        <f t="shared" si="85"/>
        <v>59957.435456104533</v>
      </c>
      <c r="AE69" s="165">
        <f t="shared" si="79"/>
        <v>269304.5796</v>
      </c>
      <c r="AF69" s="165">
        <f t="shared" si="65"/>
        <v>197923.02134856905</v>
      </c>
      <c r="AG69" s="165">
        <f t="shared" si="81"/>
        <v>5098096.8091149582</v>
      </c>
      <c r="AH69" s="165">
        <f t="shared" si="66"/>
        <v>19326452.542154495</v>
      </c>
      <c r="AI69" s="182">
        <f>AH69/'Collections and ACP'!E81</f>
        <v>0.21341534470874851</v>
      </c>
      <c r="AJ69" s="163"/>
      <c r="AK69" s="163"/>
      <c r="AL69" s="163">
        <f t="shared" si="71"/>
        <v>12657916.385125695</v>
      </c>
      <c r="AM69" s="163">
        <f t="shared" si="72"/>
        <v>6668536.1570288017</v>
      </c>
      <c r="AN69" s="96">
        <f t="shared" si="73"/>
        <v>0.65495291272500644</v>
      </c>
      <c r="AO69" s="96">
        <f t="shared" si="74"/>
        <v>0.34504708727499356</v>
      </c>
    </row>
    <row r="70" spans="1:41" x14ac:dyDescent="0.25">
      <c r="A70" s="168" t="s">
        <v>26</v>
      </c>
      <c r="B70" s="169">
        <f>'ABP Under Contract'!B71</f>
        <v>728077</v>
      </c>
      <c r="C70" s="169">
        <f>'ABP Under Contract'!C71</f>
        <v>796294</v>
      </c>
      <c r="D70" s="169">
        <f>'ABP Under Contract'!D71</f>
        <v>1510296</v>
      </c>
      <c r="E70" s="169">
        <f>'ABP Under Contract'!E71</f>
        <v>34404</v>
      </c>
      <c r="F70" s="169">
        <f>'ABP Under Contract'!F71</f>
        <v>184417</v>
      </c>
      <c r="G70" s="169">
        <f>'ABP Under Contract'!G71</f>
        <v>764005</v>
      </c>
      <c r="H70" s="165">
        <f t="shared" si="67"/>
        <v>4017493</v>
      </c>
      <c r="I70" s="169">
        <v>1261725</v>
      </c>
      <c r="J70" s="169"/>
      <c r="K70" s="28"/>
      <c r="L70" s="169">
        <v>1452887</v>
      </c>
      <c r="M70" s="169">
        <f t="shared" si="82"/>
        <v>1805793</v>
      </c>
      <c r="N70" s="169">
        <f t="shared" si="77"/>
        <v>2589583.0562612442</v>
      </c>
      <c r="O70" s="169">
        <f t="shared" si="77"/>
        <v>3795483.7978798356</v>
      </c>
      <c r="P70" s="169">
        <f t="shared" si="77"/>
        <v>109845.36827209363</v>
      </c>
      <c r="Q70" s="169">
        <f t="shared" si="62"/>
        <v>44170.604358024124</v>
      </c>
      <c r="R70" s="165">
        <f t="shared" si="63"/>
        <v>11059487.826771198</v>
      </c>
      <c r="S70" s="165">
        <f t="shared" si="68"/>
        <v>9772785.7705099545</v>
      </c>
      <c r="T70" s="165">
        <f t="shared" si="60"/>
        <v>5304195.0562612442</v>
      </c>
      <c r="U70" s="165">
        <f t="shared" si="61"/>
        <v>15076980.826771198</v>
      </c>
      <c r="V70" s="165">
        <f t="shared" ref="V70:AD70" si="86">$B$58*V13</f>
        <v>512921.06552780158</v>
      </c>
      <c r="W70" s="165">
        <f t="shared" si="86"/>
        <v>571554.57617023995</v>
      </c>
      <c r="X70" s="165">
        <f t="shared" si="86"/>
        <v>696378.9100107972</v>
      </c>
      <c r="Y70" s="165">
        <f t="shared" si="86"/>
        <v>576737.96693738468</v>
      </c>
      <c r="Z70" s="165">
        <f t="shared" si="86"/>
        <v>99791.312062972778</v>
      </c>
      <c r="AA70" s="165">
        <f t="shared" si="86"/>
        <v>636766.26916615875</v>
      </c>
      <c r="AB70" s="165">
        <f t="shared" si="86"/>
        <v>3526907.9680061489</v>
      </c>
      <c r="AC70" s="165">
        <f t="shared" si="86"/>
        <v>1525975.0462542032</v>
      </c>
      <c r="AD70" s="165">
        <f t="shared" si="86"/>
        <v>119615.08373492854</v>
      </c>
      <c r="AE70" s="165">
        <f t="shared" si="79"/>
        <v>269304.5796</v>
      </c>
      <c r="AF70" s="165">
        <f t="shared" si="65"/>
        <v>222725.40497620928</v>
      </c>
      <c r="AG70" s="165">
        <f t="shared" si="81"/>
        <v>8758678.1824468449</v>
      </c>
      <c r="AH70" s="165">
        <f t="shared" si="66"/>
        <v>23835659.009218045</v>
      </c>
      <c r="AI70" s="182">
        <f>AH70/'Collections and ACP'!E82</f>
        <v>0.25032638387279249</v>
      </c>
      <c r="AJ70" s="163"/>
      <c r="AK70" s="163"/>
      <c r="AL70" s="163">
        <f t="shared" si="71"/>
        <v>15004555.984950649</v>
      </c>
      <c r="AM70" s="163">
        <f t="shared" si="72"/>
        <v>8831103.0242673941</v>
      </c>
      <c r="AN70" s="96">
        <f t="shared" si="73"/>
        <v>0.62950036242538487</v>
      </c>
      <c r="AO70" s="96">
        <f t="shared" si="74"/>
        <v>0.37049963757461513</v>
      </c>
    </row>
    <row r="71" spans="1:41" x14ac:dyDescent="0.25">
      <c r="A71" s="168" t="s">
        <v>27</v>
      </c>
      <c r="B71" s="169">
        <f>'ABP Under Contract'!B72</f>
        <v>724329</v>
      </c>
      <c r="C71" s="169">
        <f>'ABP Under Contract'!C72</f>
        <v>792294</v>
      </c>
      <c r="D71" s="169">
        <f>'ABP Under Contract'!D72</f>
        <v>1502751</v>
      </c>
      <c r="E71" s="169">
        <f>'ABP Under Contract'!E72</f>
        <v>34233</v>
      </c>
      <c r="F71" s="169">
        <f>'ABP Under Contract'!F72</f>
        <v>183498</v>
      </c>
      <c r="G71" s="169">
        <f>'ABP Under Contract'!G72</f>
        <v>760186</v>
      </c>
      <c r="H71" s="165">
        <f t="shared" si="67"/>
        <v>3997291</v>
      </c>
      <c r="I71" s="169">
        <v>1261725</v>
      </c>
      <c r="J71" s="169"/>
      <c r="K71" s="28"/>
      <c r="L71" s="169">
        <v>1452887</v>
      </c>
      <c r="M71" s="169">
        <f t="shared" si="82"/>
        <v>1805793</v>
      </c>
      <c r="N71" s="169">
        <f t="shared" si="77"/>
        <v>2589583.0562612442</v>
      </c>
      <c r="O71" s="169">
        <f t="shared" si="77"/>
        <v>3777600.0935158427</v>
      </c>
      <c r="P71" s="169">
        <f t="shared" si="77"/>
        <v>109296.14143073316</v>
      </c>
      <c r="Q71" s="169">
        <f t="shared" si="62"/>
        <v>43949.751336234003</v>
      </c>
      <c r="R71" s="165">
        <f t="shared" si="63"/>
        <v>11040834.042544054</v>
      </c>
      <c r="S71" s="165">
        <f t="shared" si="68"/>
        <v>9733929.9862828106</v>
      </c>
      <c r="T71" s="165">
        <f>I71+L71+N71</f>
        <v>5304195.0562612442</v>
      </c>
      <c r="U71" s="165">
        <f t="shared" si="61"/>
        <v>15038125.042544054</v>
      </c>
      <c r="V71" s="165">
        <f t="shared" ref="V71:AD71" si="87">$B$58*V14</f>
        <v>633798.75522558333</v>
      </c>
      <c r="W71" s="165">
        <f t="shared" si="87"/>
        <v>700121.843353373</v>
      </c>
      <c r="X71" s="165">
        <f t="shared" si="87"/>
        <v>918553.87140837067</v>
      </c>
      <c r="Y71" s="165">
        <f t="shared" si="87"/>
        <v>682503.87441081484</v>
      </c>
      <c r="Z71" s="165">
        <f t="shared" si="87"/>
        <v>132723.00082823235</v>
      </c>
      <c r="AA71" s="165">
        <f t="shared" si="87"/>
        <v>779610.26011364372</v>
      </c>
      <c r="AB71" s="165">
        <f t="shared" si="87"/>
        <v>5290361.9520092234</v>
      </c>
      <c r="AC71" s="165">
        <f t="shared" si="87"/>
        <v>2576417.5614247769</v>
      </c>
      <c r="AD71" s="165">
        <f t="shared" si="87"/>
        <v>178974.44377235841</v>
      </c>
      <c r="AE71" s="165">
        <f t="shared" si="79"/>
        <v>269304.5796</v>
      </c>
      <c r="AF71" s="165">
        <f t="shared" si="65"/>
        <v>247527.78860384948</v>
      </c>
      <c r="AG71" s="165">
        <f t="shared" si="81"/>
        <v>12409897.930750228</v>
      </c>
      <c r="AH71" s="165">
        <f t="shared" si="66"/>
        <v>27448022.97329428</v>
      </c>
      <c r="AI71" s="182">
        <f>AH71/'Collections and ACP'!E83</f>
        <v>0.27390763832712089</v>
      </c>
      <c r="AJ71" s="163"/>
      <c r="AK71" s="163"/>
      <c r="AL71" s="163">
        <f t="shared" si="71"/>
        <v>16853465.965023812</v>
      </c>
      <c r="AM71" s="163">
        <f t="shared" si="72"/>
        <v>10594557.008270469</v>
      </c>
      <c r="AN71" s="96">
        <f t="shared" si="73"/>
        <v>0.61401383922701802</v>
      </c>
      <c r="AO71" s="96">
        <f t="shared" si="74"/>
        <v>0.38598616077298198</v>
      </c>
    </row>
    <row r="72" spans="1:41" x14ac:dyDescent="0.25">
      <c r="A72" s="168" t="s">
        <v>28</v>
      </c>
      <c r="B72" s="169">
        <f>'ABP Under Contract'!B73</f>
        <v>720680</v>
      </c>
      <c r="C72" s="169">
        <f>'ABP Under Contract'!C73</f>
        <v>788329</v>
      </c>
      <c r="D72" s="169">
        <f>'ABP Under Contract'!D73</f>
        <v>1495231</v>
      </c>
      <c r="E72" s="169">
        <f>'ABP Under Contract'!E73</f>
        <v>34060</v>
      </c>
      <c r="F72" s="169">
        <f>'ABP Under Contract'!F73</f>
        <v>182579</v>
      </c>
      <c r="G72" s="169">
        <f>'ABP Under Contract'!G73</f>
        <v>756387</v>
      </c>
      <c r="H72" s="165">
        <f t="shared" si="67"/>
        <v>3977266</v>
      </c>
      <c r="I72" s="169">
        <v>1261725</v>
      </c>
      <c r="J72" s="169"/>
      <c r="K72" s="28"/>
      <c r="L72" s="169">
        <v>1452887</v>
      </c>
      <c r="M72" s="169">
        <f t="shared" si="82"/>
        <v>1805793</v>
      </c>
      <c r="N72" s="169">
        <f t="shared" si="77"/>
        <v>2589583.0562612442</v>
      </c>
      <c r="O72" s="169">
        <f t="shared" si="77"/>
        <v>3758712.0930482633</v>
      </c>
      <c r="P72" s="169">
        <f t="shared" si="77"/>
        <v>108749.66072357949</v>
      </c>
      <c r="Q72" s="169">
        <f t="shared" si="62"/>
        <v>43730.002579552842</v>
      </c>
      <c r="R72" s="165">
        <f t="shared" si="63"/>
        <v>11021179.812612642</v>
      </c>
      <c r="S72" s="165">
        <f t="shared" si="68"/>
        <v>9694250.7563513964</v>
      </c>
      <c r="T72" s="165">
        <f t="shared" si="60"/>
        <v>5304195.0562612442</v>
      </c>
      <c r="U72" s="165">
        <f t="shared" si="61"/>
        <v>14998445.812612642</v>
      </c>
      <c r="V72" s="165">
        <f t="shared" ref="V72:AD72" si="88">$B$58*V15</f>
        <v>754072.05647487601</v>
      </c>
      <c r="W72" s="165">
        <f t="shared" si="88"/>
        <v>828046.27420059033</v>
      </c>
      <c r="X72" s="165">
        <f t="shared" si="88"/>
        <v>1139617.9579989561</v>
      </c>
      <c r="Y72" s="165">
        <f t="shared" si="88"/>
        <v>787740.95234687743</v>
      </c>
      <c r="Z72" s="165">
        <f t="shared" si="88"/>
        <v>165490.03114966562</v>
      </c>
      <c r="AA72" s="165">
        <f t="shared" si="88"/>
        <v>921740.03110639157</v>
      </c>
      <c r="AB72" s="165">
        <f t="shared" si="88"/>
        <v>7053815.9360122979</v>
      </c>
      <c r="AC72" s="165">
        <f t="shared" si="88"/>
        <v>3268917.0672188825</v>
      </c>
      <c r="AD72" s="165">
        <f t="shared" si="88"/>
        <v>238037.00700960116</v>
      </c>
      <c r="AE72" s="165">
        <f t="shared" si="79"/>
        <v>269304.5796</v>
      </c>
      <c r="AF72" s="165">
        <f t="shared" si="65"/>
        <v>272330.17223148968</v>
      </c>
      <c r="AG72" s="165">
        <f t="shared" si="81"/>
        <v>15699112.065349631</v>
      </c>
      <c r="AH72" s="165">
        <f t="shared" si="66"/>
        <v>30697557.877962273</v>
      </c>
      <c r="AI72" s="182">
        <f>AH72/'Collections and ACP'!E84</f>
        <v>0.29143946298472823</v>
      </c>
      <c r="AJ72" s="163"/>
      <c r="AK72" s="163"/>
      <c r="AL72" s="163">
        <f t="shared" si="71"/>
        <v>18339546.885688726</v>
      </c>
      <c r="AM72" s="163">
        <f t="shared" si="72"/>
        <v>12358010.992273543</v>
      </c>
      <c r="AN72" s="96">
        <f t="shared" si="73"/>
        <v>0.59742690146875366</v>
      </c>
      <c r="AO72" s="96">
        <f t="shared" si="74"/>
        <v>0.40257309853124634</v>
      </c>
    </row>
    <row r="73" spans="1:41" x14ac:dyDescent="0.25">
      <c r="A73" s="168" t="s">
        <v>29</v>
      </c>
      <c r="B73" s="169">
        <f>'ABP Under Contract'!B74</f>
        <v>716897</v>
      </c>
      <c r="C73" s="169">
        <f>'ABP Under Contract'!C74</f>
        <v>784341</v>
      </c>
      <c r="D73" s="169">
        <f>'ABP Under Contract'!D74</f>
        <v>1487750</v>
      </c>
      <c r="E73" s="169">
        <f>'ABP Under Contract'!E74</f>
        <v>33889</v>
      </c>
      <c r="F73" s="169">
        <f>'ABP Under Contract'!F74</f>
        <v>181667</v>
      </c>
      <c r="G73" s="169">
        <f>'ABP Under Contract'!G74</f>
        <v>752600</v>
      </c>
      <c r="H73" s="165">
        <f t="shared" si="67"/>
        <v>3957144</v>
      </c>
      <c r="I73" s="28"/>
      <c r="J73" s="28"/>
      <c r="K73" s="28"/>
      <c r="L73" s="169">
        <v>1452887</v>
      </c>
      <c r="M73" s="169">
        <f t="shared" si="82"/>
        <v>1805793</v>
      </c>
      <c r="N73" s="169">
        <f t="shared" si="77"/>
        <v>2589583.0562612442</v>
      </c>
      <c r="O73" s="169">
        <f t="shared" si="77"/>
        <v>3739918.532583022</v>
      </c>
      <c r="P73" s="169">
        <f t="shared" si="77"/>
        <v>108205.91241996159</v>
      </c>
      <c r="Q73" s="169">
        <f t="shared" si="62"/>
        <v>43511.35256665507</v>
      </c>
      <c r="R73" s="165">
        <f t="shared" si="63"/>
        <v>9739898.8538308833</v>
      </c>
      <c r="S73" s="165">
        <f t="shared" si="68"/>
        <v>9654572.79756964</v>
      </c>
      <c r="T73" s="165">
        <f t="shared" si="60"/>
        <v>4042470.0562612442</v>
      </c>
      <c r="U73" s="165">
        <f t="shared" si="61"/>
        <v>13697042.853830883</v>
      </c>
      <c r="V73" s="165">
        <f t="shared" ref="V73:AD73" si="89">$B$58*V16</f>
        <v>873743.9912179223</v>
      </c>
      <c r="W73" s="165">
        <f t="shared" si="89"/>
        <v>955331.08289357147</v>
      </c>
      <c r="X73" s="165">
        <f t="shared" si="89"/>
        <v>1359576.724156589</v>
      </c>
      <c r="Y73" s="165">
        <f t="shared" si="89"/>
        <v>892451.84489326004</v>
      </c>
      <c r="Z73" s="165">
        <f t="shared" si="89"/>
        <v>198093.22631949172</v>
      </c>
      <c r="AA73" s="165">
        <f t="shared" si="89"/>
        <v>1063159.1532441752</v>
      </c>
      <c r="AB73" s="165">
        <f t="shared" si="89"/>
        <v>8817269.9200153723</v>
      </c>
      <c r="AC73" s="165">
        <f t="shared" si="89"/>
        <v>3957954.0754840178</v>
      </c>
      <c r="AD73" s="165">
        <f t="shared" si="89"/>
        <v>296804.25743065769</v>
      </c>
      <c r="AE73" s="165">
        <f t="shared" si="79"/>
        <v>269304.5796</v>
      </c>
      <c r="AF73" s="165">
        <f t="shared" si="65"/>
        <v>297132.55585912988</v>
      </c>
      <c r="AG73" s="165">
        <f t="shared" si="81"/>
        <v>18980821.411114186</v>
      </c>
      <c r="AH73" s="165">
        <f t="shared" si="66"/>
        <v>32677864.264945067</v>
      </c>
      <c r="AI73" s="182">
        <f>AH73/'Collections and ACP'!E85</f>
        <v>0.29733806586793649</v>
      </c>
      <c r="AJ73" s="163"/>
      <c r="AK73" s="163"/>
      <c r="AL73" s="163">
        <f t="shared" si="71"/>
        <v>19818124.28866845</v>
      </c>
      <c r="AM73" s="163">
        <f t="shared" si="72"/>
        <v>12859739.976276617</v>
      </c>
      <c r="AN73" s="96">
        <f t="shared" si="73"/>
        <v>0.60646938637076697</v>
      </c>
      <c r="AO73" s="96">
        <f t="shared" si="74"/>
        <v>0.39353061362923303</v>
      </c>
    </row>
    <row r="74" spans="1:41" x14ac:dyDescent="0.25">
      <c r="A74" s="168" t="s">
        <v>30</v>
      </c>
      <c r="B74" s="169">
        <f>'ABP Under Contract'!B75</f>
        <v>712901</v>
      </c>
      <c r="C74" s="169">
        <f>'ABP Under Contract'!C75</f>
        <v>780338</v>
      </c>
      <c r="D74" s="169">
        <f>'ABP Under Contract'!D75</f>
        <v>1480317</v>
      </c>
      <c r="E74" s="169">
        <f>'ABP Under Contract'!E75</f>
        <v>33723</v>
      </c>
      <c r="F74" s="169">
        <f>'ABP Under Contract'!F75</f>
        <v>180759</v>
      </c>
      <c r="G74" s="169">
        <f>'ABP Under Contract'!G75</f>
        <v>748839</v>
      </c>
      <c r="H74" s="165">
        <f t="shared" si="67"/>
        <v>3936877</v>
      </c>
      <c r="I74" s="28"/>
      <c r="J74" s="28"/>
      <c r="K74" s="28"/>
      <c r="L74" s="169">
        <v>1150425</v>
      </c>
      <c r="M74" s="169">
        <f t="shared" si="82"/>
        <v>1805793</v>
      </c>
      <c r="N74" s="169">
        <f t="shared" si="77"/>
        <v>2589583.0562612442</v>
      </c>
      <c r="O74" s="169">
        <f t="shared" si="77"/>
        <v>3721218.9399201074</v>
      </c>
      <c r="P74" s="169">
        <f t="shared" si="77"/>
        <v>107664.88285786178</v>
      </c>
      <c r="Q74" s="169">
        <f t="shared" si="62"/>
        <v>43293.795803821798</v>
      </c>
      <c r="R74" s="165">
        <f t="shared" si="63"/>
        <v>9417978.6748430356</v>
      </c>
      <c r="S74" s="165">
        <f t="shared" si="68"/>
        <v>9614847.6185817905</v>
      </c>
      <c r="T74" s="165">
        <f t="shared" si="60"/>
        <v>3740008.0562612442</v>
      </c>
      <c r="U74" s="165">
        <f t="shared" si="61"/>
        <v>13354855.674843036</v>
      </c>
      <c r="V74" s="165">
        <f t="shared" ref="V74:AD74" si="90">$B$58*V17</f>
        <v>992817.56628725352</v>
      </c>
      <c r="W74" s="165">
        <f t="shared" si="90"/>
        <v>1081979.4675430879</v>
      </c>
      <c r="X74" s="165">
        <f t="shared" si="90"/>
        <v>1578435.6964834332</v>
      </c>
      <c r="Y74" s="165">
        <f t="shared" si="90"/>
        <v>996639.18297691038</v>
      </c>
      <c r="Z74" s="165">
        <f t="shared" si="90"/>
        <v>230533.40551346872</v>
      </c>
      <c r="AA74" s="165">
        <f t="shared" si="90"/>
        <v>1203871.1797712701</v>
      </c>
      <c r="AB74" s="165">
        <f t="shared" si="90"/>
        <v>9522651.513616601</v>
      </c>
      <c r="AC74" s="165">
        <f t="shared" si="90"/>
        <v>4467200.5003075209</v>
      </c>
      <c r="AD74" s="165">
        <f t="shared" si="90"/>
        <v>355277.67159960896</v>
      </c>
      <c r="AE74" s="165">
        <f t="shared" si="79"/>
        <v>269304.5796</v>
      </c>
      <c r="AF74" s="165">
        <f t="shared" si="65"/>
        <v>321934.93948677008</v>
      </c>
      <c r="AG74" s="165">
        <f t="shared" si="81"/>
        <v>21020645.703185927</v>
      </c>
      <c r="AH74" s="165">
        <f t="shared" si="66"/>
        <v>34375501.378028959</v>
      </c>
      <c r="AI74" s="182">
        <f>AH74/'Collections and ACP'!E86</f>
        <v>0.3011729743804008</v>
      </c>
      <c r="AJ74" s="163"/>
      <c r="AK74" s="163"/>
      <c r="AL74" s="163">
        <f t="shared" si="71"/>
        <v>21112841.808151118</v>
      </c>
      <c r="AM74" s="163">
        <f t="shared" si="72"/>
        <v>13262659.569877844</v>
      </c>
      <c r="AN74" s="96">
        <f t="shared" si="73"/>
        <v>0.61418280350218701</v>
      </c>
      <c r="AO74" s="96">
        <f t="shared" si="74"/>
        <v>0.38581719649781299</v>
      </c>
    </row>
    <row r="75" spans="1:41" x14ac:dyDescent="0.25">
      <c r="A75" s="168" t="s">
        <v>31</v>
      </c>
      <c r="B75" s="169">
        <f>'ABP Under Contract'!B76</f>
        <v>574505</v>
      </c>
      <c r="C75" s="169">
        <f>'ABP Under Contract'!C76</f>
        <v>560354</v>
      </c>
      <c r="D75" s="169">
        <f>'ABP Under Contract'!D76</f>
        <v>1390087</v>
      </c>
      <c r="E75" s="169">
        <f>'ABP Under Contract'!E76</f>
        <v>33385</v>
      </c>
      <c r="F75" s="169">
        <f>'ABP Under Contract'!F76</f>
        <v>178954</v>
      </c>
      <c r="G75" s="169">
        <f>'ABP Under Contract'!G76</f>
        <v>741364</v>
      </c>
      <c r="H75" s="165">
        <f t="shared" si="67"/>
        <v>3478649</v>
      </c>
      <c r="I75" s="28"/>
      <c r="J75" s="28"/>
      <c r="K75" s="28"/>
      <c r="L75" s="169">
        <v>1150425</v>
      </c>
      <c r="M75" s="169">
        <f t="shared" si="82"/>
        <v>1805793</v>
      </c>
      <c r="N75" s="169">
        <f t="shared" si="77"/>
        <v>2589583.0562612442</v>
      </c>
      <c r="O75" s="169">
        <f t="shared" si="77"/>
        <v>3702612.8452205071</v>
      </c>
      <c r="P75" s="169">
        <f t="shared" si="77"/>
        <v>107126.55844357247</v>
      </c>
      <c r="Q75" s="169">
        <f t="shared" si="62"/>
        <v>43077.326824802687</v>
      </c>
      <c r="R75" s="165">
        <f t="shared" si="63"/>
        <v>9398617.7867501266</v>
      </c>
      <c r="S75" s="165">
        <f t="shared" si="68"/>
        <v>9137258.7304888815</v>
      </c>
      <c r="T75" s="165">
        <f t="shared" si="60"/>
        <v>3740008.0562612442</v>
      </c>
      <c r="U75" s="165">
        <f t="shared" si="61"/>
        <v>12877266.786750127</v>
      </c>
      <c r="V75" s="165">
        <f t="shared" ref="V75:AD75" si="91">$B$58*V18</f>
        <v>1049574.6259685275</v>
      </c>
      <c r="W75" s="165">
        <f t="shared" si="91"/>
        <v>1142282.0902373644</v>
      </c>
      <c r="X75" s="165">
        <f t="shared" si="91"/>
        <v>1796200.3739486437</v>
      </c>
      <c r="Y75" s="165">
        <f t="shared" si="91"/>
        <v>1045980.7857160844</v>
      </c>
      <c r="Z75" s="165">
        <f t="shared" si="91"/>
        <v>262811.38381147583</v>
      </c>
      <c r="AA75" s="165">
        <f t="shared" si="91"/>
        <v>1270865.7350190717</v>
      </c>
      <c r="AB75" s="165">
        <f t="shared" si="91"/>
        <v>10228033.107217832</v>
      </c>
      <c r="AC75" s="165">
        <f t="shared" si="91"/>
        <v>4973900.6930069057</v>
      </c>
      <c r="AD75" s="165">
        <f t="shared" si="91"/>
        <v>413458.71869771543</v>
      </c>
      <c r="AE75" s="165">
        <f t="shared" si="79"/>
        <v>269304.5796</v>
      </c>
      <c r="AF75" s="165">
        <f t="shared" si="65"/>
        <v>346737.32311441033</v>
      </c>
      <c r="AG75" s="165">
        <f t="shared" si="81"/>
        <v>22799149.41633803</v>
      </c>
      <c r="AH75" s="165">
        <f t="shared" si="66"/>
        <v>35676416.203088157</v>
      </c>
      <c r="AI75" s="182">
        <f>AH75/'Collections and ACP'!E87</f>
        <v>0.30380295034311788</v>
      </c>
      <c r="AJ75" s="163"/>
      <c r="AK75" s="163"/>
      <c r="AL75" s="163">
        <f t="shared" si="71"/>
        <v>21708375.039609078</v>
      </c>
      <c r="AM75" s="163">
        <f t="shared" si="72"/>
        <v>13968041.163479075</v>
      </c>
      <c r="AN75" s="96">
        <f t="shared" si="73"/>
        <v>0.6084797003161434</v>
      </c>
      <c r="AO75" s="96">
        <f t="shared" si="74"/>
        <v>0.3915202996838566</v>
      </c>
    </row>
    <row r="76" spans="1:41" x14ac:dyDescent="0.25">
      <c r="A76" s="168" t="s">
        <v>32</v>
      </c>
      <c r="B76" s="169">
        <f>'ABP Under Contract'!B77</f>
        <v>668825</v>
      </c>
      <c r="C76" s="169">
        <f>'ABP Under Contract'!C77</f>
        <v>725515</v>
      </c>
      <c r="D76" s="169">
        <f>'ABP Under Contract'!D77</f>
        <v>1471667</v>
      </c>
      <c r="E76" s="169">
        <f>'ABP Under Contract'!E77</f>
        <v>33550</v>
      </c>
      <c r="F76" s="169">
        <f>'ABP Under Contract'!F77</f>
        <v>179857</v>
      </c>
      <c r="G76" s="169">
        <f>'ABP Under Contract'!G77</f>
        <v>745089</v>
      </c>
      <c r="H76" s="165">
        <f t="shared" si="67"/>
        <v>3824503</v>
      </c>
      <c r="I76" s="28"/>
      <c r="J76" s="28"/>
      <c r="K76" s="28"/>
      <c r="L76" s="169">
        <v>939405</v>
      </c>
      <c r="M76" s="169">
        <f t="shared" si="82"/>
        <v>1805793</v>
      </c>
      <c r="N76" s="169">
        <f t="shared" si="77"/>
        <v>2589583.0562612442</v>
      </c>
      <c r="O76" s="169">
        <f t="shared" si="77"/>
        <v>3684099.7809944041</v>
      </c>
      <c r="P76" s="169">
        <f t="shared" si="77"/>
        <v>106590.9256513546</v>
      </c>
      <c r="Q76" s="169">
        <f t="shared" si="62"/>
        <v>42861.940190678673</v>
      </c>
      <c r="R76" s="165">
        <f t="shared" si="63"/>
        <v>9168333.7030976824</v>
      </c>
      <c r="S76" s="165">
        <f t="shared" si="68"/>
        <v>9463848.6468364373</v>
      </c>
      <c r="T76" s="165">
        <f t="shared" si="60"/>
        <v>3528988.0562612442</v>
      </c>
      <c r="U76" s="165">
        <f t="shared" si="61"/>
        <v>12992836.703097682</v>
      </c>
      <c r="V76" s="165">
        <f t="shared" ref="V76:AD76" si="92">$B$58*V19</f>
        <v>1106047.9003513954</v>
      </c>
      <c r="W76" s="165">
        <f t="shared" si="92"/>
        <v>1202283.1998181699</v>
      </c>
      <c r="X76" s="165">
        <f t="shared" si="92"/>
        <v>1900047.8000527138</v>
      </c>
      <c r="Y76" s="165">
        <f t="shared" si="92"/>
        <v>1095075.6804415626</v>
      </c>
      <c r="Z76" s="165">
        <f t="shared" si="92"/>
        <v>278212.6495552056</v>
      </c>
      <c r="AA76" s="165">
        <f t="shared" si="92"/>
        <v>1337525.3174906345</v>
      </c>
      <c r="AB76" s="165">
        <f t="shared" si="92"/>
        <v>10933414.700819062</v>
      </c>
      <c r="AC76" s="165">
        <f t="shared" si="92"/>
        <v>5478067.3847427936</v>
      </c>
      <c r="AD76" s="165">
        <f t="shared" si="92"/>
        <v>471348.86056033138</v>
      </c>
      <c r="AE76" s="165">
        <f t="shared" si="79"/>
        <v>269304.5796</v>
      </c>
      <c r="AF76" s="165">
        <f t="shared" si="65"/>
        <v>371539.70674205053</v>
      </c>
      <c r="AG76" s="165">
        <f t="shared" si="81"/>
        <v>24442867.780173916</v>
      </c>
      <c r="AH76" s="165">
        <f t="shared" si="66"/>
        <v>37435704.483271599</v>
      </c>
      <c r="AI76" s="182">
        <f>AH76/'Collections and ACP'!E88</f>
        <v>0.31237040145679773</v>
      </c>
      <c r="AJ76" s="163"/>
      <c r="AK76" s="163"/>
      <c r="AL76" s="163">
        <f t="shared" si="71"/>
        <v>22973301.726191293</v>
      </c>
      <c r="AM76" s="163">
        <f t="shared" si="72"/>
        <v>14462402.757080305</v>
      </c>
      <c r="AN76" s="96">
        <f t="shared" si="73"/>
        <v>0.61367355158114012</v>
      </c>
      <c r="AO76" s="96">
        <f t="shared" si="74"/>
        <v>0.38632644841885988</v>
      </c>
    </row>
    <row r="77" spans="1:41" x14ac:dyDescent="0.25">
      <c r="A77" s="168" t="s">
        <v>33</v>
      </c>
      <c r="B77" s="169">
        <f>'ABP Under Contract'!B78</f>
        <v>531439</v>
      </c>
      <c r="C77" s="169">
        <f>'ABP Under Contract'!C78</f>
        <v>508788</v>
      </c>
      <c r="D77" s="169">
        <f>'ABP Under Contract'!D78</f>
        <v>1214812</v>
      </c>
      <c r="E77" s="169">
        <f>'ABP Under Contract'!E78</f>
        <v>33218</v>
      </c>
      <c r="F77" s="169">
        <f>'ABP Under Contract'!F78</f>
        <v>178058</v>
      </c>
      <c r="G77" s="169">
        <f>'ABP Under Contract'!G78</f>
        <v>737660</v>
      </c>
      <c r="H77" s="165">
        <f t="shared" si="67"/>
        <v>3203975</v>
      </c>
      <c r="I77" s="28"/>
      <c r="J77" s="28"/>
      <c r="K77" s="28"/>
      <c r="L77" s="169">
        <f t="shared" ref="L77:L84" si="93">L20*$B$58</f>
        <v>0</v>
      </c>
      <c r="M77" s="169">
        <v>402067</v>
      </c>
      <c r="N77" s="169">
        <f t="shared" si="77"/>
        <v>2589583.0562612442</v>
      </c>
      <c r="O77" s="169">
        <f t="shared" si="77"/>
        <v>3665679.2820894322</v>
      </c>
      <c r="P77" s="169">
        <f t="shared" si="77"/>
        <v>106057.97102309784</v>
      </c>
      <c r="Q77" s="169">
        <f t="shared" si="62"/>
        <v>42647.630489725285</v>
      </c>
      <c r="R77" s="165">
        <f t="shared" si="63"/>
        <v>6806034.9398634993</v>
      </c>
      <c r="S77" s="165">
        <f t="shared" si="68"/>
        <v>7420426.883602256</v>
      </c>
      <c r="T77" s="165">
        <f t="shared" si="60"/>
        <v>2589583.0562612442</v>
      </c>
      <c r="U77" s="165">
        <f t="shared" si="61"/>
        <v>10010009.939863499</v>
      </c>
      <c r="V77" s="165">
        <f t="shared" ref="V77:AD77" si="94">$B$58*V20</f>
        <v>1162238.8083623487</v>
      </c>
      <c r="W77" s="165">
        <f t="shared" si="94"/>
        <v>1261984.3038510713</v>
      </c>
      <c r="X77" s="165">
        <f t="shared" si="94"/>
        <v>2003375.9890262638</v>
      </c>
      <c r="Y77" s="165">
        <f t="shared" si="94"/>
        <v>1143925.1006934133</v>
      </c>
      <c r="Z77" s="165">
        <f t="shared" si="94"/>
        <v>293536.90897021675</v>
      </c>
      <c r="AA77" s="165">
        <f t="shared" si="94"/>
        <v>1403851.602049839</v>
      </c>
      <c r="AB77" s="165">
        <f t="shared" si="94"/>
        <v>11638796.294420291</v>
      </c>
      <c r="AC77" s="165">
        <f t="shared" si="94"/>
        <v>5979713.2430200018</v>
      </c>
      <c r="AD77" s="165">
        <f t="shared" si="94"/>
        <v>528949.55171363428</v>
      </c>
      <c r="AE77" s="165">
        <f t="shared" si="79"/>
        <v>269304.5796</v>
      </c>
      <c r="AF77" s="165">
        <f t="shared" si="65"/>
        <v>396342.09036969068</v>
      </c>
      <c r="AG77" s="165">
        <f t="shared" si="81"/>
        <v>26082018.47207677</v>
      </c>
      <c r="AH77" s="165">
        <f t="shared" si="66"/>
        <v>36092028.411940269</v>
      </c>
      <c r="AI77" s="182">
        <f>AH77/'Collections and ACP'!E89</f>
        <v>0.29860290646622029</v>
      </c>
      <c r="AJ77" s="163"/>
      <c r="AK77" s="163"/>
      <c r="AL77" s="163">
        <f t="shared" si="71"/>
        <v>21863649.06125873</v>
      </c>
      <c r="AM77" s="163">
        <f t="shared" si="72"/>
        <v>14228379.350681536</v>
      </c>
      <c r="AN77" s="96">
        <f t="shared" si="73"/>
        <v>0.60577501523925481</v>
      </c>
      <c r="AO77" s="96">
        <f t="shared" si="74"/>
        <v>0.39422498476074519</v>
      </c>
    </row>
    <row r="78" spans="1:41" x14ac:dyDescent="0.25">
      <c r="A78" s="168" t="s">
        <v>34</v>
      </c>
      <c r="B78" s="169">
        <f>'ABP Under Contract'!B79</f>
        <v>465481</v>
      </c>
      <c r="C78" s="169">
        <f>'ABP Under Contract'!C79</f>
        <v>487329</v>
      </c>
      <c r="D78" s="169">
        <f>'ABP Under Contract'!D79</f>
        <v>1146927</v>
      </c>
      <c r="E78" s="169">
        <f>'ABP Under Contract'!E79</f>
        <v>33050</v>
      </c>
      <c r="F78" s="169">
        <f>'ABP Under Contract'!F79</f>
        <v>177173</v>
      </c>
      <c r="G78" s="169">
        <f>'ABP Under Contract'!G79</f>
        <v>733973</v>
      </c>
      <c r="H78" s="165">
        <f t="shared" si="67"/>
        <v>3043933</v>
      </c>
      <c r="I78" s="28"/>
      <c r="J78" s="28"/>
      <c r="K78" s="28"/>
      <c r="L78" s="169">
        <f t="shared" si="93"/>
        <v>0</v>
      </c>
      <c r="M78" s="169">
        <v>402067</v>
      </c>
      <c r="N78" s="169">
        <f t="shared" si="77"/>
        <v>2589583.0562612442</v>
      </c>
      <c r="O78" s="169">
        <f t="shared" si="77"/>
        <v>3647350.8856789852</v>
      </c>
      <c r="P78" s="169">
        <f t="shared" si="77"/>
        <v>105527.68116798233</v>
      </c>
      <c r="Q78" s="169">
        <f t="shared" si="62"/>
        <v>42434.392337276659</v>
      </c>
      <c r="R78" s="165">
        <f t="shared" si="63"/>
        <v>6786963.0154454885</v>
      </c>
      <c r="S78" s="165">
        <f t="shared" si="68"/>
        <v>7241312.9591842443</v>
      </c>
      <c r="T78" s="165">
        <f t="shared" si="60"/>
        <v>2589583.0562612442</v>
      </c>
      <c r="U78" s="165">
        <f t="shared" si="61"/>
        <v>9830896.0154454894</v>
      </c>
      <c r="V78" s="165">
        <f t="shared" ref="V78:AD78" si="95">$B$58*V21</f>
        <v>1218148.7618332473</v>
      </c>
      <c r="W78" s="165">
        <f t="shared" si="95"/>
        <v>1321386.9023638081</v>
      </c>
      <c r="X78" s="165">
        <f t="shared" si="95"/>
        <v>2106187.5370549462</v>
      </c>
      <c r="Y78" s="165">
        <f t="shared" si="95"/>
        <v>1192530.2738440044</v>
      </c>
      <c r="Z78" s="165">
        <f t="shared" si="95"/>
        <v>308784.5470881529</v>
      </c>
      <c r="AA78" s="165">
        <f t="shared" si="95"/>
        <v>1469846.2551862479</v>
      </c>
      <c r="AB78" s="165">
        <f t="shared" si="95"/>
        <v>12344177.888021521</v>
      </c>
      <c r="AC78" s="165">
        <f t="shared" si="95"/>
        <v>6478850.8720058249</v>
      </c>
      <c r="AD78" s="165">
        <f t="shared" si="95"/>
        <v>586262.23941117059</v>
      </c>
      <c r="AE78" s="165">
        <f t="shared" si="79"/>
        <v>269304.5796</v>
      </c>
      <c r="AF78" s="165">
        <f t="shared" si="65"/>
        <v>421144.47399733093</v>
      </c>
      <c r="AG78" s="165">
        <f t="shared" si="81"/>
        <v>27716624.330406256</v>
      </c>
      <c r="AH78" s="165">
        <f t="shared" si="66"/>
        <v>37547520.345851749</v>
      </c>
      <c r="AI78" s="182">
        <f>AH78/'Collections and ACP'!E90</f>
        <v>0.30814709742498952</v>
      </c>
      <c r="AJ78" s="163"/>
      <c r="AK78" s="163"/>
      <c r="AL78" s="163">
        <f t="shared" si="71"/>
        <v>22613759.401568979</v>
      </c>
      <c r="AM78" s="163">
        <f t="shared" si="72"/>
        <v>14933760.944282766</v>
      </c>
      <c r="AN78" s="96">
        <f t="shared" si="73"/>
        <v>0.60227038145988643</v>
      </c>
      <c r="AO78" s="96">
        <f t="shared" si="74"/>
        <v>0.39772961854011357</v>
      </c>
    </row>
    <row r="79" spans="1:41" x14ac:dyDescent="0.25">
      <c r="A79" s="168" t="s">
        <v>35</v>
      </c>
      <c r="B79" s="169">
        <f>'ABP Under Contract'!B80</f>
        <v>232206</v>
      </c>
      <c r="C79" s="169">
        <f>'ABP Under Contract'!C80</f>
        <v>432079</v>
      </c>
      <c r="D79" s="169">
        <f>'ABP Under Contract'!D80</f>
        <v>1129981</v>
      </c>
      <c r="E79" s="169">
        <f>'ABP Under Contract'!E80</f>
        <v>32887</v>
      </c>
      <c r="F79" s="169">
        <f>'ABP Under Contract'!F80</f>
        <v>176282</v>
      </c>
      <c r="G79" s="169">
        <f>'ABP Under Contract'!G80</f>
        <v>730299</v>
      </c>
      <c r="H79" s="165">
        <f t="shared" si="67"/>
        <v>2733734</v>
      </c>
      <c r="I79" s="28"/>
      <c r="J79" s="28"/>
      <c r="K79" s="28"/>
      <c r="L79" s="169">
        <f t="shared" si="93"/>
        <v>0</v>
      </c>
      <c r="M79" s="169">
        <v>402067</v>
      </c>
      <c r="N79" s="169">
        <f t="shared" si="77"/>
        <v>2589583.0562612442</v>
      </c>
      <c r="O79" s="169">
        <f t="shared" si="77"/>
        <v>3629114.1312505901</v>
      </c>
      <c r="P79" s="169">
        <f t="shared" si="77"/>
        <v>105000.04276214243</v>
      </c>
      <c r="Q79" s="169">
        <f t="shared" si="62"/>
        <v>42222.220375590274</v>
      </c>
      <c r="R79" s="165">
        <f t="shared" si="63"/>
        <v>6767986.4506495669</v>
      </c>
      <c r="S79" s="165">
        <f t="shared" si="68"/>
        <v>6912137.3943883227</v>
      </c>
      <c r="T79" s="165">
        <f t="shared" si="60"/>
        <v>2589583.0562612442</v>
      </c>
      <c r="U79" s="165">
        <f t="shared" si="61"/>
        <v>9501720.4506495669</v>
      </c>
      <c r="V79" s="165">
        <f t="shared" ref="V79:AD79" si="96">$B$58*V22</f>
        <v>1273779.1655367916</v>
      </c>
      <c r="W79" s="165">
        <f t="shared" si="96"/>
        <v>1380492.4878839811</v>
      </c>
      <c r="X79" s="165">
        <f t="shared" si="96"/>
        <v>2208485.027343485</v>
      </c>
      <c r="Y79" s="165">
        <f t="shared" si="96"/>
        <v>1240892.421128843</v>
      </c>
      <c r="Z79" s="165">
        <f t="shared" si="96"/>
        <v>323955.94701549929</v>
      </c>
      <c r="AA79" s="165">
        <f t="shared" si="96"/>
        <v>1535510.9350569742</v>
      </c>
      <c r="AB79" s="165">
        <f t="shared" si="96"/>
        <v>13049559.48162275</v>
      </c>
      <c r="AC79" s="165">
        <f t="shared" si="96"/>
        <v>6975492.8128467165</v>
      </c>
      <c r="AD79" s="165">
        <f t="shared" si="96"/>
        <v>643288.3636702192</v>
      </c>
      <c r="AE79" s="165">
        <f t="shared" si="79"/>
        <v>269304.5796</v>
      </c>
      <c r="AF79" s="165">
        <f t="shared" si="65"/>
        <v>445946.85762497113</v>
      </c>
      <c r="AG79" s="165">
        <f t="shared" si="81"/>
        <v>29346708.079330228</v>
      </c>
      <c r="AH79" s="165">
        <f t="shared" si="66"/>
        <v>38848428.529979795</v>
      </c>
      <c r="AI79" s="182">
        <f>AH79/'Collections and ACP'!E91</f>
        <v>0.31718378083553078</v>
      </c>
      <c r="AJ79" s="163"/>
      <c r="AK79" s="163"/>
      <c r="AL79" s="163">
        <f t="shared" si="71"/>
        <v>23209285.992095802</v>
      </c>
      <c r="AM79" s="163">
        <f t="shared" si="72"/>
        <v>15639142.537883993</v>
      </c>
      <c r="AN79" s="96">
        <f t="shared" si="73"/>
        <v>0.59743178476794545</v>
      </c>
      <c r="AO79" s="96">
        <f t="shared" si="74"/>
        <v>0.40256821523205455</v>
      </c>
    </row>
    <row r="80" spans="1:41" x14ac:dyDescent="0.25">
      <c r="A80" s="168" t="s">
        <v>36</v>
      </c>
      <c r="B80" s="169">
        <f>'ABP Under Contract'!B81</f>
        <v>95689</v>
      </c>
      <c r="C80" s="169">
        <f>'ABP Under Contract'!C81</f>
        <v>205790</v>
      </c>
      <c r="D80" s="169">
        <f>'ABP Under Contract'!D81</f>
        <v>1124308</v>
      </c>
      <c r="E80" s="169">
        <f>'ABP Under Contract'!E81</f>
        <v>32719</v>
      </c>
      <c r="F80" s="169">
        <f>'ABP Under Contract'!F81</f>
        <v>169542</v>
      </c>
      <c r="G80" s="169">
        <f>'ABP Under Contract'!G81</f>
        <v>726651</v>
      </c>
      <c r="H80" s="165">
        <f t="shared" si="67"/>
        <v>2354699</v>
      </c>
      <c r="I80" s="28"/>
      <c r="J80" s="28"/>
      <c r="K80" s="28"/>
      <c r="L80" s="169">
        <f t="shared" si="93"/>
        <v>0</v>
      </c>
      <c r="M80" s="169">
        <v>402067</v>
      </c>
      <c r="N80" s="169">
        <f t="shared" si="77"/>
        <v>2589583.0562612442</v>
      </c>
      <c r="O80" s="169">
        <f t="shared" si="77"/>
        <v>3610968.5605943375</v>
      </c>
      <c r="P80" s="169">
        <f t="shared" si="77"/>
        <v>104475.04254833172</v>
      </c>
      <c r="Q80" s="169">
        <f t="shared" si="62"/>
        <v>42011.109273712318</v>
      </c>
      <c r="R80" s="165">
        <f t="shared" si="63"/>
        <v>6749104.7686776258</v>
      </c>
      <c r="S80" s="165">
        <f t="shared" si="68"/>
        <v>6514220.7124163806</v>
      </c>
      <c r="T80" s="165">
        <f t="shared" si="60"/>
        <v>2589583.0562612442</v>
      </c>
      <c r="U80" s="165">
        <f t="shared" si="61"/>
        <v>9103803.7686776258</v>
      </c>
      <c r="V80" s="165">
        <f t="shared" ref="V80:AD80" si="97">$B$58*V23</f>
        <v>1329131.4172218179</v>
      </c>
      <c r="W80" s="165">
        <f t="shared" si="97"/>
        <v>1439302.5454765535</v>
      </c>
      <c r="X80" s="165">
        <f t="shared" si="97"/>
        <v>2310271.0301805809</v>
      </c>
      <c r="Y80" s="165">
        <f t="shared" si="97"/>
        <v>1289012.7576772571</v>
      </c>
      <c r="Z80" s="165">
        <f t="shared" si="97"/>
        <v>339051.4899432091</v>
      </c>
      <c r="AA80" s="165">
        <f t="shared" si="97"/>
        <v>1600847.2915283479</v>
      </c>
      <c r="AB80" s="165">
        <f t="shared" si="97"/>
        <v>13754941.07522398</v>
      </c>
      <c r="AC80" s="165">
        <f t="shared" si="97"/>
        <v>7469651.5439834064</v>
      </c>
      <c r="AD80" s="165">
        <f t="shared" si="97"/>
        <v>700029.35730797262</v>
      </c>
      <c r="AE80" s="165">
        <f t="shared" si="79"/>
        <v>269304.5796</v>
      </c>
      <c r="AF80" s="165">
        <f t="shared" si="65"/>
        <v>470749.24125261139</v>
      </c>
      <c r="AG80" s="165">
        <f t="shared" si="81"/>
        <v>30972292.329395741</v>
      </c>
      <c r="AH80" s="165">
        <f t="shared" si="66"/>
        <v>40076096.098073363</v>
      </c>
      <c r="AI80" s="182">
        <f>AH80/'Collections and ACP'!E92</f>
        <v>0.32511614972772418</v>
      </c>
      <c r="AJ80" s="163"/>
      <c r="AK80" s="163"/>
      <c r="AL80" s="163">
        <f t="shared" si="71"/>
        <v>23731571.966588143</v>
      </c>
      <c r="AM80" s="163">
        <f t="shared" si="72"/>
        <v>16344524.131485224</v>
      </c>
      <c r="AN80" s="96">
        <f t="shared" si="73"/>
        <v>0.592162767264375</v>
      </c>
      <c r="AO80" s="96">
        <f t="shared" si="74"/>
        <v>0.407837232735625</v>
      </c>
    </row>
    <row r="81" spans="1:41" x14ac:dyDescent="0.25">
      <c r="A81" s="168" t="s">
        <v>37</v>
      </c>
      <c r="B81" s="169">
        <f>'ABP Under Contract'!B82</f>
        <v>22511</v>
      </c>
      <c r="C81" s="169">
        <f>'ABP Under Contract'!C82</f>
        <v>28494</v>
      </c>
      <c r="D81" s="169">
        <f>'ABP Under Contract'!D82</f>
        <v>1118617</v>
      </c>
      <c r="E81" s="169">
        <f>'ABP Under Contract'!E82</f>
        <v>32554</v>
      </c>
      <c r="F81" s="169">
        <f>'ABP Under Contract'!F82</f>
        <v>62322</v>
      </c>
      <c r="G81" s="169">
        <f>'ABP Under Contract'!G82</f>
        <v>716511</v>
      </c>
      <c r="H81" s="165">
        <f t="shared" si="67"/>
        <v>1981009</v>
      </c>
      <c r="I81" s="28"/>
      <c r="J81" s="28"/>
      <c r="K81" s="28"/>
      <c r="L81" s="169">
        <f t="shared" si="93"/>
        <v>0</v>
      </c>
      <c r="M81" s="169"/>
      <c r="N81" s="169">
        <f t="shared" si="77"/>
        <v>2589583.0562612442</v>
      </c>
      <c r="O81" s="169">
        <f t="shared" si="77"/>
        <v>3592913.7177913655</v>
      </c>
      <c r="P81" s="169">
        <f t="shared" si="77"/>
        <v>103952.66733559004</v>
      </c>
      <c r="Q81" s="169">
        <f t="shared" si="62"/>
        <v>41801.053727343759</v>
      </c>
      <c r="R81" s="165">
        <f t="shared" si="63"/>
        <v>6328250.4951155437</v>
      </c>
      <c r="S81" s="165">
        <f t="shared" si="68"/>
        <v>5719676.4388542995</v>
      </c>
      <c r="T81" s="165">
        <f t="shared" si="60"/>
        <v>2589583.0562612442</v>
      </c>
      <c r="U81" s="165">
        <f t="shared" si="61"/>
        <v>8309259.4951155437</v>
      </c>
      <c r="V81" s="165">
        <f t="shared" ref="V81:AD81" si="98">$B$58*V24</f>
        <v>1362589.4951417511</v>
      </c>
      <c r="W81" s="165">
        <f t="shared" si="98"/>
        <v>1450705.1975410108</v>
      </c>
      <c r="X81" s="165">
        <f t="shared" si="98"/>
        <v>2411548.1030034916</v>
      </c>
      <c r="Y81" s="165">
        <f t="shared" si="98"/>
        <v>1336892.4925429292</v>
      </c>
      <c r="Z81" s="165">
        <f t="shared" si="98"/>
        <v>354071.55515628023</v>
      </c>
      <c r="AA81" s="165">
        <f t="shared" si="98"/>
        <v>1611894.6639344562</v>
      </c>
      <c r="AB81" s="165">
        <f t="shared" si="98"/>
        <v>14460322.668825211</v>
      </c>
      <c r="AC81" s="165">
        <f t="shared" si="98"/>
        <v>7961339.4814644111</v>
      </c>
      <c r="AD81" s="165">
        <f t="shared" si="98"/>
        <v>756486.64597753726</v>
      </c>
      <c r="AE81" s="165">
        <f t="shared" si="79"/>
        <v>269304.5796</v>
      </c>
      <c r="AF81" s="165">
        <f t="shared" si="65"/>
        <v>495551.62488025159</v>
      </c>
      <c r="AG81" s="165">
        <f t="shared" si="81"/>
        <v>32470706.508067328</v>
      </c>
      <c r="AH81" s="165">
        <f t="shared" si="66"/>
        <v>40779966.003182873</v>
      </c>
      <c r="AI81" s="182">
        <f>AH81/'Collections and ACP'!E93</f>
        <v>0.32921583795747955</v>
      </c>
      <c r="AJ81" s="163"/>
      <c r="AK81" s="163"/>
      <c r="AL81" s="163">
        <f t="shared" si="71"/>
        <v>23730060.278096411</v>
      </c>
      <c r="AM81" s="163">
        <f t="shared" si="72"/>
        <v>17049905.725086454</v>
      </c>
      <c r="AN81" s="96">
        <f t="shared" si="73"/>
        <v>0.58190485681729809</v>
      </c>
      <c r="AO81" s="96">
        <f t="shared" si="74"/>
        <v>0.41809514318270191</v>
      </c>
    </row>
    <row r="82" spans="1:41" x14ac:dyDescent="0.25">
      <c r="A82" s="168" t="s">
        <v>38</v>
      </c>
      <c r="B82" s="169">
        <f>'ABP Under Contract'!B83</f>
        <v>0</v>
      </c>
      <c r="C82" s="169">
        <f>'ABP Under Contract'!C83</f>
        <v>0</v>
      </c>
      <c r="D82" s="169">
        <f>'ABP Under Contract'!D83</f>
        <v>1112952</v>
      </c>
      <c r="E82" s="169">
        <f>'ABP Under Contract'!E83</f>
        <v>32386</v>
      </c>
      <c r="F82" s="169">
        <f>'ABP Under Contract'!F83</f>
        <v>0</v>
      </c>
      <c r="G82" s="169">
        <f>'ABP Under Contract'!G83</f>
        <v>712900</v>
      </c>
      <c r="H82" s="165">
        <f t="shared" si="67"/>
        <v>1858238</v>
      </c>
      <c r="I82" s="28"/>
      <c r="J82" s="28"/>
      <c r="K82" s="28"/>
      <c r="L82" s="169">
        <f t="shared" si="93"/>
        <v>0</v>
      </c>
      <c r="M82" s="169"/>
      <c r="N82" s="169">
        <f t="shared" si="77"/>
        <v>2589583.0562612442</v>
      </c>
      <c r="O82" s="169">
        <f t="shared" si="77"/>
        <v>3574949.1492024083</v>
      </c>
      <c r="P82" s="169">
        <f t="shared" si="77"/>
        <v>103432.90399891212</v>
      </c>
      <c r="Q82" s="169">
        <f t="shared" si="62"/>
        <v>41592.048458707039</v>
      </c>
      <c r="R82" s="165">
        <f t="shared" si="63"/>
        <v>6309557.1579212714</v>
      </c>
      <c r="S82" s="165">
        <f t="shared" si="68"/>
        <v>5578212.1016600272</v>
      </c>
      <c r="T82" s="165">
        <f t="shared" si="60"/>
        <v>2589583.0562612442</v>
      </c>
      <c r="U82" s="165">
        <f t="shared" si="61"/>
        <v>8167795.1579212714</v>
      </c>
      <c r="V82" s="165">
        <f t="shared" ref="V82:AD82" si="99">$B$58*V25</f>
        <v>1302996.4528734554</v>
      </c>
      <c r="W82" s="165">
        <f t="shared" si="99"/>
        <v>1387258.4026962405</v>
      </c>
      <c r="X82" s="165">
        <f t="shared" si="99"/>
        <v>2512318.7904622881</v>
      </c>
      <c r="Y82" s="165">
        <f t="shared" si="99"/>
        <v>1384532.8287342733</v>
      </c>
      <c r="Z82" s="165">
        <f t="shared" si="99"/>
        <v>369016.52004328609</v>
      </c>
      <c r="AA82" s="165">
        <f t="shared" si="99"/>
        <v>1541398.2252180451</v>
      </c>
      <c r="AB82" s="165">
        <f t="shared" si="99"/>
        <v>15165704.26242644</v>
      </c>
      <c r="AC82" s="165">
        <f t="shared" si="99"/>
        <v>8450568.979258012</v>
      </c>
      <c r="AD82" s="165">
        <f t="shared" si="99"/>
        <v>812661.6482037541</v>
      </c>
      <c r="AE82" s="165">
        <f t="shared" si="79"/>
        <v>269304.5796</v>
      </c>
      <c r="AF82" s="165">
        <f t="shared" si="65"/>
        <v>520354.00850789173</v>
      </c>
      <c r="AG82" s="165">
        <f t="shared" si="81"/>
        <v>33716114.698023684</v>
      </c>
      <c r="AH82" s="165">
        <f t="shared" si="66"/>
        <v>41883909.855944954</v>
      </c>
      <c r="AI82" s="182">
        <f>AH82/'Collections and ACP'!E94</f>
        <v>0.33645149201128566</v>
      </c>
      <c r="AJ82" s="163"/>
      <c r="AK82" s="163"/>
      <c r="AL82" s="163">
        <f t="shared" si="71"/>
        <v>24128622.537257269</v>
      </c>
      <c r="AM82" s="163">
        <f t="shared" si="72"/>
        <v>17755287.318687685</v>
      </c>
      <c r="AN82" s="96">
        <f t="shared" si="73"/>
        <v>0.57608333654248089</v>
      </c>
      <c r="AO82" s="96">
        <f t="shared" si="74"/>
        <v>0.42391666345751911</v>
      </c>
    </row>
    <row r="83" spans="1:41" x14ac:dyDescent="0.25">
      <c r="A83" s="168" t="s">
        <v>39</v>
      </c>
      <c r="B83" s="169">
        <f>'ABP Under Contract'!B84</f>
        <v>0</v>
      </c>
      <c r="C83" s="169">
        <f>'ABP Under Contract'!C84</f>
        <v>0</v>
      </c>
      <c r="D83" s="169">
        <f>'ABP Under Contract'!D84</f>
        <v>1107306</v>
      </c>
      <c r="E83" s="169">
        <f>'ABP Under Contract'!E84</f>
        <v>32219</v>
      </c>
      <c r="F83" s="169">
        <f>'ABP Under Contract'!F84</f>
        <v>0</v>
      </c>
      <c r="G83" s="169">
        <f>'ABP Under Contract'!G84</f>
        <v>709307</v>
      </c>
      <c r="H83" s="165">
        <f t="shared" si="67"/>
        <v>1848832</v>
      </c>
      <c r="I83" s="28"/>
      <c r="J83" s="28"/>
      <c r="K83" s="28"/>
      <c r="L83" s="169">
        <f t="shared" si="93"/>
        <v>0</v>
      </c>
      <c r="M83" s="169"/>
      <c r="N83" s="169">
        <f t="shared" si="77"/>
        <v>2589583.0562612442</v>
      </c>
      <c r="O83" s="169">
        <f t="shared" si="77"/>
        <v>3557074.4034563964</v>
      </c>
      <c r="P83" s="169">
        <f t="shared" si="77"/>
        <v>102915.73947891755</v>
      </c>
      <c r="Q83" s="169">
        <f t="shared" si="62"/>
        <v>41384.088216413504</v>
      </c>
      <c r="R83" s="165">
        <f t="shared" si="63"/>
        <v>6290957.2874129722</v>
      </c>
      <c r="S83" s="165">
        <f t="shared" si="68"/>
        <v>5550206.231151728</v>
      </c>
      <c r="T83" s="165">
        <f t="shared" si="60"/>
        <v>2589583.0562612442</v>
      </c>
      <c r="U83" s="165">
        <f t="shared" si="61"/>
        <v>8139789.2874129722</v>
      </c>
      <c r="V83" s="165">
        <f t="shared" ref="V83:AD83" si="100">$B$58*V26</f>
        <v>1181980.2283037906</v>
      </c>
      <c r="W83" s="165">
        <f t="shared" si="100"/>
        <v>1258416.321793702</v>
      </c>
      <c r="X83" s="165">
        <f t="shared" si="100"/>
        <v>2612585.6244837907</v>
      </c>
      <c r="Y83" s="165">
        <f t="shared" si="100"/>
        <v>1377610.1645906018</v>
      </c>
      <c r="Z83" s="165">
        <f t="shared" si="100"/>
        <v>352877.53089428251</v>
      </c>
      <c r="AA83" s="165">
        <f t="shared" si="100"/>
        <v>1398240.3575485577</v>
      </c>
      <c r="AB83" s="165">
        <f t="shared" si="100"/>
        <v>15871085.85602767</v>
      </c>
      <c r="AC83" s="165">
        <f t="shared" si="100"/>
        <v>8937352.3295626435</v>
      </c>
      <c r="AD83" s="165">
        <f t="shared" si="100"/>
        <v>868555.77541883988</v>
      </c>
      <c r="AE83" s="165">
        <f t="shared" si="79"/>
        <v>269304.5796</v>
      </c>
      <c r="AF83" s="165">
        <f t="shared" si="65"/>
        <v>545156.39213553199</v>
      </c>
      <c r="AG83" s="165">
        <f t="shared" si="81"/>
        <v>34673165.160359405</v>
      </c>
      <c r="AH83" s="165">
        <f t="shared" si="66"/>
        <v>42812954.447772376</v>
      </c>
      <c r="AI83" s="182"/>
      <c r="AJ83" s="163"/>
      <c r="AK83" s="163"/>
      <c r="AL83" s="163">
        <f t="shared" si="71"/>
        <v>24352285.535483465</v>
      </c>
      <c r="AM83" s="163">
        <f t="shared" si="72"/>
        <v>18460668.912288915</v>
      </c>
      <c r="AN83" s="96">
        <f t="shared" si="73"/>
        <v>0.56880647106919169</v>
      </c>
      <c r="AO83" s="96">
        <f t="shared" si="74"/>
        <v>0.43119352893080831</v>
      </c>
    </row>
    <row r="84" spans="1:41" x14ac:dyDescent="0.25">
      <c r="A84" s="180" t="s">
        <v>158</v>
      </c>
      <c r="L84" s="169">
        <f t="shared" si="93"/>
        <v>0</v>
      </c>
      <c r="N84" s="169">
        <f t="shared" si="77"/>
        <v>2589583.0562612442</v>
      </c>
      <c r="O84" s="169">
        <f t="shared" si="77"/>
        <v>3539289.0314391139</v>
      </c>
      <c r="P84" s="169">
        <f t="shared" si="77"/>
        <v>102401.16078152297</v>
      </c>
      <c r="S84" s="165">
        <f t="shared" si="68"/>
        <v>3641690.1922206366</v>
      </c>
      <c r="T84" s="165">
        <f t="shared" si="60"/>
        <v>2589583.0562612442</v>
      </c>
      <c r="U84" s="165">
        <f t="shared" si="61"/>
        <v>0</v>
      </c>
      <c r="AG84" s="165">
        <f t="shared" si="81"/>
        <v>0</v>
      </c>
      <c r="AH84" s="165">
        <f t="shared" ref="AH84" si="101">H84+R84+AG84</f>
        <v>0</v>
      </c>
      <c r="AI84" s="182"/>
      <c r="AL84" s="163">
        <f t="shared" si="71"/>
        <v>3641690.1922206366</v>
      </c>
      <c r="AM84" s="163">
        <f t="shared" si="72"/>
        <v>2589583.0562612442</v>
      </c>
      <c r="AN84" s="96">
        <f t="shared" si="73"/>
        <v>0.58442152141343795</v>
      </c>
      <c r="AO84" s="96">
        <f t="shared" si="74"/>
        <v>0.41557847858656205</v>
      </c>
    </row>
    <row r="85" spans="1:41" x14ac:dyDescent="0.25">
      <c r="N85" s="178"/>
      <c r="O85" s="178"/>
      <c r="P85" s="178"/>
    </row>
    <row r="86" spans="1:41" x14ac:dyDescent="0.25">
      <c r="A86" s="168" t="s">
        <v>213</v>
      </c>
      <c r="B86" s="20">
        <v>5.0041044571267233E-3</v>
      </c>
    </row>
    <row r="87" spans="1:41" ht="30" x14ac:dyDescent="0.25">
      <c r="A87" s="175" t="s">
        <v>1</v>
      </c>
      <c r="B87" s="175" t="str">
        <f t="shared" ref="B87:G87" si="102">B2</f>
        <v>Small DG</v>
      </c>
      <c r="C87" s="175" t="str">
        <f t="shared" si="102"/>
        <v>Large DG</v>
      </c>
      <c r="D87" s="175" t="str">
        <f t="shared" si="102"/>
        <v>Traditional CS</v>
      </c>
      <c r="E87" s="175" t="str">
        <f t="shared" si="102"/>
        <v xml:space="preserve"> Public Schools </v>
      </c>
      <c r="F87" s="175" t="str">
        <f t="shared" si="102"/>
        <v xml:space="preserve"> CDCS </v>
      </c>
      <c r="G87" s="175" t="str">
        <f t="shared" si="102"/>
        <v xml:space="preserve"> EEC </v>
      </c>
      <c r="H87" s="22" t="s">
        <v>187</v>
      </c>
      <c r="I87" s="175" t="s">
        <v>188</v>
      </c>
      <c r="J87" s="175" t="s">
        <v>189</v>
      </c>
      <c r="K87" s="175" t="s">
        <v>190</v>
      </c>
      <c r="L87" s="175" t="s">
        <v>211</v>
      </c>
      <c r="M87" s="175" t="s">
        <v>212</v>
      </c>
      <c r="N87" s="175" t="s">
        <v>193</v>
      </c>
      <c r="O87" s="175" t="s">
        <v>194</v>
      </c>
      <c r="P87" s="175" t="s">
        <v>195</v>
      </c>
      <c r="Q87" s="298" t="s">
        <v>196</v>
      </c>
      <c r="R87" s="22" t="s">
        <v>197</v>
      </c>
      <c r="S87" s="22" t="s">
        <v>198</v>
      </c>
      <c r="T87" s="22" t="s">
        <v>199</v>
      </c>
      <c r="U87" s="22" t="s">
        <v>200</v>
      </c>
      <c r="V87" s="175" t="s">
        <v>124</v>
      </c>
      <c r="W87" s="175" t="s">
        <v>130</v>
      </c>
      <c r="X87" s="23" t="s">
        <v>139</v>
      </c>
      <c r="Y87" s="175" t="s">
        <v>144</v>
      </c>
      <c r="Z87" s="23" t="s">
        <v>148</v>
      </c>
      <c r="AA87" s="23" t="s">
        <v>151</v>
      </c>
      <c r="AB87" s="175" t="s">
        <v>81</v>
      </c>
      <c r="AC87" s="175" t="s">
        <v>82</v>
      </c>
      <c r="AD87" s="175" t="s">
        <v>77</v>
      </c>
      <c r="AE87" s="175" t="s">
        <v>201</v>
      </c>
      <c r="AF87" s="23" t="s">
        <v>202</v>
      </c>
      <c r="AG87" s="183" t="s">
        <v>203</v>
      </c>
      <c r="AH87" s="22" t="s">
        <v>204</v>
      </c>
      <c r="AI87" s="22" t="s">
        <v>205</v>
      </c>
      <c r="AL87" s="67" t="s">
        <v>207</v>
      </c>
      <c r="AM87" s="67" t="s">
        <v>208</v>
      </c>
      <c r="AN87" t="s">
        <v>209</v>
      </c>
      <c r="AO87" t="s">
        <v>210</v>
      </c>
    </row>
    <row r="88" spans="1:41" x14ac:dyDescent="0.25">
      <c r="A88" s="175"/>
      <c r="B88" s="175"/>
      <c r="C88" s="175"/>
      <c r="D88" s="175"/>
      <c r="E88" s="175"/>
      <c r="F88" s="175"/>
      <c r="G88" s="175"/>
      <c r="H88" s="22"/>
      <c r="I88" s="175"/>
      <c r="J88" s="175"/>
      <c r="K88" s="175"/>
      <c r="L88" s="175"/>
      <c r="M88" s="175"/>
      <c r="N88" s="175"/>
      <c r="O88" s="175"/>
      <c r="P88" s="175"/>
      <c r="Q88" s="298"/>
      <c r="R88" s="22"/>
      <c r="S88" s="22"/>
      <c r="T88" s="22"/>
      <c r="U88" s="22"/>
      <c r="V88" s="175"/>
      <c r="W88" s="175"/>
      <c r="X88" s="175"/>
      <c r="Y88" s="175"/>
      <c r="Z88" s="175"/>
      <c r="AA88" s="175"/>
      <c r="AB88" s="175"/>
      <c r="AC88" s="175"/>
      <c r="AD88" s="175"/>
      <c r="AE88" s="175"/>
      <c r="AF88" s="175"/>
      <c r="AG88" s="22"/>
      <c r="AH88" s="22"/>
      <c r="AI88" s="22"/>
    </row>
    <row r="89" spans="1:41" x14ac:dyDescent="0.25">
      <c r="A89" s="168" t="s">
        <v>16</v>
      </c>
      <c r="B89" s="169">
        <f>'ABP Under Contract'!B92</f>
        <v>0</v>
      </c>
      <c r="C89" s="169">
        <f>'ABP Under Contract'!C92</f>
        <v>297</v>
      </c>
      <c r="D89" s="169">
        <f>'ABP Under Contract'!D92</f>
        <v>0</v>
      </c>
      <c r="E89" s="169">
        <f>'ABP Under Contract'!E92</f>
        <v>0</v>
      </c>
      <c r="F89" s="169">
        <f>'ABP Under Contract'!F92</f>
        <v>0</v>
      </c>
      <c r="G89" s="169">
        <f>'ABP Under Contract'!G92</f>
        <v>0</v>
      </c>
      <c r="H89" s="165">
        <f>SUM(B89:G89)</f>
        <v>297</v>
      </c>
      <c r="I89" s="169"/>
      <c r="J89" s="169"/>
      <c r="K89" s="169"/>
      <c r="L89" s="169">
        <v>2409</v>
      </c>
      <c r="M89" s="169">
        <v>3030.2923000000001</v>
      </c>
      <c r="N89" s="169"/>
      <c r="O89" s="169"/>
      <c r="P89" s="169"/>
      <c r="Q89" s="169">
        <f t="shared" ref="Q89:Q111" si="103">Q4*$B$86</f>
        <v>291.59717328390559</v>
      </c>
      <c r="R89" s="165">
        <f t="shared" ref="R89:R111" si="104">SUM(I89:Q89)</f>
        <v>5730.8894732839053</v>
      </c>
      <c r="S89" s="165">
        <f>H89+J89+K89+M89+O89+P89+Q89</f>
        <v>3618.8894732839058</v>
      </c>
      <c r="T89" s="165">
        <f t="shared" ref="T89:T112" si="105">I89+L89+N89</f>
        <v>2409</v>
      </c>
      <c r="U89" s="165">
        <f t="shared" ref="U89:U112" si="106">H89+R89</f>
        <v>6027.8894732839053</v>
      </c>
      <c r="V89" s="165">
        <f t="shared" ref="V89:AD89" si="107">$B$86*V4</f>
        <v>0</v>
      </c>
      <c r="W89" s="165">
        <f t="shared" si="107"/>
        <v>0</v>
      </c>
      <c r="X89" s="165">
        <f t="shared" si="107"/>
        <v>0</v>
      </c>
      <c r="Y89" s="165">
        <f t="shared" si="107"/>
        <v>0</v>
      </c>
      <c r="Z89" s="165">
        <f t="shared" si="107"/>
        <v>0</v>
      </c>
      <c r="AA89" s="165">
        <f t="shared" si="107"/>
        <v>0</v>
      </c>
      <c r="AB89" s="165">
        <f t="shared" si="107"/>
        <v>0</v>
      </c>
      <c r="AC89" s="165">
        <f t="shared" si="107"/>
        <v>0</v>
      </c>
      <c r="AD89" s="165">
        <f t="shared" si="107"/>
        <v>0</v>
      </c>
      <c r="AE89" s="165"/>
      <c r="AF89" s="165">
        <f t="shared" ref="AF89:AF111" si="108">AF4*$B$86</f>
        <v>0</v>
      </c>
      <c r="AG89" s="165">
        <f>SUM(V89:AF89)</f>
        <v>0</v>
      </c>
      <c r="AH89" s="165">
        <f t="shared" ref="AH89:AH111" si="109">H89+R89+AG89</f>
        <v>6027.8894732839053</v>
      </c>
      <c r="AI89" s="182">
        <f>AH89/'Collections and ACP'!E106</f>
        <v>1.1308279082646698E-2</v>
      </c>
      <c r="AL89" s="163">
        <f>H89+J89+K89+M89+Q89+V89+W89+X89+Y89+Z89+AA89+AC89+AD89+AF89+O89+P89+AE89</f>
        <v>3618.8894732839058</v>
      </c>
      <c r="AM89" s="163">
        <f>I89+L89+AB89+N89</f>
        <v>2409</v>
      </c>
      <c r="AN89" s="96">
        <f>AL89/(AL89+AM89)</f>
        <v>0.60035763583972757</v>
      </c>
      <c r="AO89" s="96">
        <f>1-AN89</f>
        <v>0.39964236416027243</v>
      </c>
    </row>
    <row r="90" spans="1:41" x14ac:dyDescent="0.25">
      <c r="A90" s="168" t="s">
        <v>17</v>
      </c>
      <c r="B90" s="169">
        <f>'ABP Under Contract'!B93</f>
        <v>0</v>
      </c>
      <c r="C90" s="169">
        <f>'ABP Under Contract'!C93</f>
        <v>3127</v>
      </c>
      <c r="D90" s="169">
        <f>'ABP Under Contract'!D93</f>
        <v>0</v>
      </c>
      <c r="E90" s="169">
        <f>'ABP Under Contract'!E93</f>
        <v>0</v>
      </c>
      <c r="F90" s="169">
        <f>'ABP Under Contract'!F93</f>
        <v>0</v>
      </c>
      <c r="G90" s="169">
        <f>'ABP Under Contract'!G93</f>
        <v>0</v>
      </c>
      <c r="H90" s="165">
        <f t="shared" ref="H90:H111" si="110">SUM(B90:G90)</f>
        <v>3127</v>
      </c>
      <c r="I90" s="169"/>
      <c r="J90" s="169"/>
      <c r="K90" s="169">
        <v>449</v>
      </c>
      <c r="L90" s="169">
        <v>6816</v>
      </c>
      <c r="M90" s="169">
        <v>6586.2923000000001</v>
      </c>
      <c r="N90" s="169"/>
      <c r="O90" s="169"/>
      <c r="P90" s="169"/>
      <c r="Q90" s="169">
        <f t="shared" si="103"/>
        <v>326.17520147568746</v>
      </c>
      <c r="R90" s="165">
        <f t="shared" si="104"/>
        <v>14177.467501475689</v>
      </c>
      <c r="S90" s="165">
        <f t="shared" ref="S90:S112" si="111">H90+J90+K90+M90+O90+P90+Q90</f>
        <v>10488.467501475689</v>
      </c>
      <c r="T90" s="165">
        <f t="shared" si="105"/>
        <v>6816</v>
      </c>
      <c r="U90" s="165">
        <f t="shared" si="106"/>
        <v>17304.467501475687</v>
      </c>
      <c r="V90" s="165">
        <f t="shared" ref="V90:AD90" si="112">$B$86*V5</f>
        <v>0</v>
      </c>
      <c r="W90" s="165">
        <f t="shared" si="112"/>
        <v>0</v>
      </c>
      <c r="X90" s="165">
        <f t="shared" si="112"/>
        <v>0</v>
      </c>
      <c r="Y90" s="165">
        <f t="shared" si="112"/>
        <v>0</v>
      </c>
      <c r="Z90" s="165">
        <f t="shared" si="112"/>
        <v>0</v>
      </c>
      <c r="AA90" s="165">
        <f t="shared" si="112"/>
        <v>0</v>
      </c>
      <c r="AB90" s="165">
        <f t="shared" si="112"/>
        <v>0</v>
      </c>
      <c r="AC90" s="165">
        <f t="shared" si="112"/>
        <v>0</v>
      </c>
      <c r="AD90" s="165">
        <f t="shared" si="112"/>
        <v>0</v>
      </c>
      <c r="AE90" s="165"/>
      <c r="AF90" s="165">
        <f t="shared" si="108"/>
        <v>0</v>
      </c>
      <c r="AG90" s="165">
        <f t="shared" ref="AG90:AG91" si="113">SUM(V90:AF90)</f>
        <v>0</v>
      </c>
      <c r="AH90" s="165">
        <f t="shared" si="109"/>
        <v>17304.467501475687</v>
      </c>
      <c r="AI90" s="182">
        <f>AH90/'Collections and ACP'!E107</f>
        <v>3.2617157979760232E-2</v>
      </c>
      <c r="AL90" s="163">
        <f t="shared" ref="AL90:AL112" si="114">H90+J90+K90+M90+Q90+V90+W90+X90+Y90+Z90+AA90+AC90+AD90+AF90+O90+P90+AE90</f>
        <v>10488.467501475689</v>
      </c>
      <c r="AM90" s="163">
        <f t="shared" ref="AM90:AM112" si="115">I90+L90+AB90+N90</f>
        <v>6816</v>
      </c>
      <c r="AN90" s="96">
        <f t="shared" ref="AN90:AN112" si="116">AL90/(AL90+AM90)</f>
        <v>0.60611327685068928</v>
      </c>
      <c r="AO90" s="96">
        <f t="shared" ref="AO90:AO112" si="117">1-AN90</f>
        <v>0.39388672314931072</v>
      </c>
    </row>
    <row r="91" spans="1:41" x14ac:dyDescent="0.25">
      <c r="A91" s="168" t="s">
        <v>18</v>
      </c>
      <c r="B91" s="169">
        <f>'ABP Under Contract'!B94</f>
        <v>266</v>
      </c>
      <c r="C91" s="169">
        <f>'ABP Under Contract'!C94</f>
        <v>3659</v>
      </c>
      <c r="D91" s="169">
        <f>'ABP Under Contract'!D94</f>
        <v>0</v>
      </c>
      <c r="E91" s="169">
        <f>'ABP Under Contract'!E94</f>
        <v>0</v>
      </c>
      <c r="F91" s="169">
        <f>'ABP Under Contract'!F94</f>
        <v>0</v>
      </c>
      <c r="G91" s="169">
        <f>'ABP Under Contract'!G94</f>
        <v>0</v>
      </c>
      <c r="H91" s="165">
        <f t="shared" si="110"/>
        <v>3925</v>
      </c>
      <c r="I91" s="169"/>
      <c r="J91" s="169"/>
      <c r="K91" s="169"/>
      <c r="L91" s="169">
        <v>6816</v>
      </c>
      <c r="M91" s="169">
        <v>6586.2923000000001</v>
      </c>
      <c r="N91" s="169"/>
      <c r="O91" s="169"/>
      <c r="P91" s="169"/>
      <c r="Q91" s="169">
        <f t="shared" si="103"/>
        <v>324.54432546830901</v>
      </c>
      <c r="R91" s="165">
        <f t="shared" si="104"/>
        <v>13726.83662546831</v>
      </c>
      <c r="S91" s="165">
        <f t="shared" si="111"/>
        <v>10835.83662546831</v>
      </c>
      <c r="T91" s="165">
        <f t="shared" si="105"/>
        <v>6816</v>
      </c>
      <c r="U91" s="165">
        <f t="shared" si="106"/>
        <v>17651.83662546831</v>
      </c>
      <c r="V91" s="165">
        <f t="shared" ref="V91:AD91" si="118">$B$86*V6</f>
        <v>0</v>
      </c>
      <c r="W91" s="165">
        <f t="shared" si="118"/>
        <v>0</v>
      </c>
      <c r="X91" s="165">
        <f t="shared" si="118"/>
        <v>0</v>
      </c>
      <c r="Y91" s="165">
        <f t="shared" si="118"/>
        <v>0</v>
      </c>
      <c r="Z91" s="165">
        <f t="shared" si="118"/>
        <v>0</v>
      </c>
      <c r="AA91" s="165">
        <f t="shared" si="118"/>
        <v>0</v>
      </c>
      <c r="AB91" s="165">
        <f t="shared" si="118"/>
        <v>0</v>
      </c>
      <c r="AC91" s="165">
        <f t="shared" si="118"/>
        <v>0</v>
      </c>
      <c r="AD91" s="165">
        <f t="shared" si="118"/>
        <v>0</v>
      </c>
      <c r="AE91" s="165"/>
      <c r="AF91" s="165">
        <f t="shared" si="108"/>
        <v>0</v>
      </c>
      <c r="AG91" s="165">
        <f t="shared" si="113"/>
        <v>0</v>
      </c>
      <c r="AH91" s="165">
        <f t="shared" si="109"/>
        <v>17651.83662546831</v>
      </c>
      <c r="AI91" s="182">
        <f>AH91/'Collections and ACP'!E108</f>
        <v>3.3498592007989388E-2</v>
      </c>
      <c r="AJ91" s="163"/>
      <c r="AK91" s="163"/>
      <c r="AL91" s="163">
        <f t="shared" si="114"/>
        <v>10835.83662546831</v>
      </c>
      <c r="AM91" s="163">
        <f t="shared" si="115"/>
        <v>6816</v>
      </c>
      <c r="AN91" s="96">
        <f t="shared" si="116"/>
        <v>0.61386454312828942</v>
      </c>
      <c r="AO91" s="96">
        <f t="shared" si="117"/>
        <v>0.38613545687171058</v>
      </c>
    </row>
    <row r="92" spans="1:41" x14ac:dyDescent="0.25">
      <c r="A92" s="168" t="s">
        <v>19</v>
      </c>
      <c r="B92" s="169">
        <f>'ABP Under Contract'!B95</f>
        <v>6112</v>
      </c>
      <c r="C92" s="169">
        <f>'ABP Under Contract'!C95</f>
        <v>5900</v>
      </c>
      <c r="D92" s="169">
        <f>'ABP Under Contract'!D95</f>
        <v>0</v>
      </c>
      <c r="E92" s="169">
        <f>'ABP Under Contract'!E95</f>
        <v>0</v>
      </c>
      <c r="F92" s="169">
        <f>'ABP Under Contract'!F95</f>
        <v>0</v>
      </c>
      <c r="G92" s="169">
        <f>'ABP Under Contract'!G95</f>
        <v>0</v>
      </c>
      <c r="H92" s="165">
        <f t="shared" si="110"/>
        <v>12012</v>
      </c>
      <c r="I92" s="169"/>
      <c r="J92" s="169"/>
      <c r="K92" s="28"/>
      <c r="L92" s="169">
        <v>6816</v>
      </c>
      <c r="M92" s="169">
        <v>6586.2923000000001</v>
      </c>
      <c r="N92" s="169"/>
      <c r="O92" s="169"/>
      <c r="P92" s="169"/>
      <c r="Q92" s="169">
        <f t="shared" si="103"/>
        <v>322.92160384096746</v>
      </c>
      <c r="R92" s="165">
        <f t="shared" si="104"/>
        <v>13725.213903840968</v>
      </c>
      <c r="S92" s="165">
        <f t="shared" si="111"/>
        <v>18921.21390384097</v>
      </c>
      <c r="T92" s="165">
        <f t="shared" si="105"/>
        <v>6816</v>
      </c>
      <c r="U92" s="165">
        <f t="shared" si="106"/>
        <v>25737.213903840966</v>
      </c>
      <c r="V92" s="165">
        <f t="shared" ref="V92:AD92" si="119">$B$86*V7</f>
        <v>0</v>
      </c>
      <c r="W92" s="165">
        <f t="shared" si="119"/>
        <v>0</v>
      </c>
      <c r="X92" s="165">
        <f t="shared" si="119"/>
        <v>0</v>
      </c>
      <c r="Y92" s="165">
        <f t="shared" si="119"/>
        <v>0</v>
      </c>
      <c r="Z92" s="165">
        <f t="shared" si="119"/>
        <v>0</v>
      </c>
      <c r="AA92" s="165">
        <f t="shared" si="119"/>
        <v>0</v>
      </c>
      <c r="AB92" s="165">
        <f t="shared" si="119"/>
        <v>0</v>
      </c>
      <c r="AC92" s="165">
        <f t="shared" si="119"/>
        <v>0</v>
      </c>
      <c r="AD92" s="165">
        <f t="shared" si="119"/>
        <v>0</v>
      </c>
      <c r="AE92" s="165"/>
      <c r="AF92" s="165">
        <f t="shared" si="108"/>
        <v>235.192909484956</v>
      </c>
      <c r="AG92" s="165">
        <f>SUM(V92:AF92)</f>
        <v>235.192909484956</v>
      </c>
      <c r="AH92" s="165">
        <f t="shared" si="109"/>
        <v>25972.406813325921</v>
      </c>
      <c r="AI92" s="182">
        <f>AH92/'Collections and ACP'!E109</f>
        <v>4.9153131644834445E-2</v>
      </c>
      <c r="AJ92" s="163"/>
      <c r="AK92" s="163"/>
      <c r="AL92" s="163">
        <f t="shared" si="114"/>
        <v>19156.406813325924</v>
      </c>
      <c r="AM92" s="163">
        <f t="shared" si="115"/>
        <v>6816</v>
      </c>
      <c r="AN92" s="96">
        <f t="shared" si="116"/>
        <v>0.73756764057373203</v>
      </c>
      <c r="AO92" s="96">
        <f t="shared" si="117"/>
        <v>0.26243235942626797</v>
      </c>
    </row>
    <row r="93" spans="1:41" x14ac:dyDescent="0.25">
      <c r="A93" s="168" t="s">
        <v>21</v>
      </c>
      <c r="B93" s="169">
        <f>'ABP Under Contract'!B96</f>
        <v>7745</v>
      </c>
      <c r="C93" s="169">
        <f>'ABP Under Contract'!C96</f>
        <v>14017</v>
      </c>
      <c r="D93" s="169">
        <f>'ABP Under Contract'!D96</f>
        <v>0</v>
      </c>
      <c r="E93" s="169">
        <f>'ABP Under Contract'!E96</f>
        <v>0</v>
      </c>
      <c r="F93" s="169">
        <f>'ABP Under Contract'!F96</f>
        <v>0</v>
      </c>
      <c r="G93" s="169">
        <f>'ABP Under Contract'!G96</f>
        <v>0</v>
      </c>
      <c r="H93" s="165">
        <f t="shared" si="110"/>
        <v>21762</v>
      </c>
      <c r="I93" s="169"/>
      <c r="J93" s="169"/>
      <c r="K93" s="28"/>
      <c r="L93" s="169">
        <v>6816</v>
      </c>
      <c r="M93" s="169">
        <v>6586.2923000000001</v>
      </c>
      <c r="N93" s="169">
        <f t="shared" ref="N93:P112" si="120">N8*$B$86</f>
        <v>0</v>
      </c>
      <c r="O93" s="169">
        <f t="shared" si="120"/>
        <v>0</v>
      </c>
      <c r="P93" s="169">
        <f t="shared" si="120"/>
        <v>0</v>
      </c>
      <c r="Q93" s="169">
        <f t="shared" si="103"/>
        <v>321.30699582176265</v>
      </c>
      <c r="R93" s="165">
        <f t="shared" si="104"/>
        <v>13723.599295821763</v>
      </c>
      <c r="S93" s="165">
        <f t="shared" si="111"/>
        <v>28669.599295821765</v>
      </c>
      <c r="T93" s="165">
        <f t="shared" si="105"/>
        <v>6816</v>
      </c>
      <c r="U93" s="165">
        <f t="shared" si="106"/>
        <v>35485.599295821761</v>
      </c>
      <c r="V93" s="165">
        <f t="shared" ref="V93:AD93" si="121">$B$86*V8</f>
        <v>0</v>
      </c>
      <c r="W93" s="165">
        <f t="shared" si="121"/>
        <v>0</v>
      </c>
      <c r="X93" s="165">
        <f t="shared" si="121"/>
        <v>0</v>
      </c>
      <c r="Y93" s="165">
        <f t="shared" si="121"/>
        <v>0</v>
      </c>
      <c r="Z93" s="165">
        <f t="shared" si="121"/>
        <v>0</v>
      </c>
      <c r="AA93" s="165">
        <f t="shared" si="121"/>
        <v>0</v>
      </c>
      <c r="AB93" s="165">
        <f t="shared" si="121"/>
        <v>0</v>
      </c>
      <c r="AC93" s="165">
        <f t="shared" si="121"/>
        <v>0</v>
      </c>
      <c r="AD93" s="165">
        <f t="shared" si="121"/>
        <v>0</v>
      </c>
      <c r="AE93" s="165"/>
      <c r="AF93" s="165">
        <f t="shared" si="108"/>
        <v>468.03388987506241</v>
      </c>
      <c r="AG93" s="165">
        <f>SUM(V93:AF93)</f>
        <v>468.03388987506241</v>
      </c>
      <c r="AH93" s="165">
        <f t="shared" si="109"/>
        <v>35953.633185696825</v>
      </c>
      <c r="AI93" s="182">
        <f>AH93/'Collections and ACP'!E110</f>
        <v>7.1922490880213658E-2</v>
      </c>
      <c r="AJ93" s="163"/>
      <c r="AK93" s="163"/>
      <c r="AL93" s="163">
        <f t="shared" si="114"/>
        <v>29137.633185696828</v>
      </c>
      <c r="AM93" s="163">
        <f t="shared" si="115"/>
        <v>6816</v>
      </c>
      <c r="AN93" s="96">
        <f t="shared" si="116"/>
        <v>0.81042249708684344</v>
      </c>
      <c r="AO93" s="96">
        <f t="shared" si="117"/>
        <v>0.18957750291315656</v>
      </c>
    </row>
    <row r="94" spans="1:41" x14ac:dyDescent="0.25">
      <c r="A94" s="168" t="s">
        <v>22</v>
      </c>
      <c r="B94" s="169">
        <f>'ABP Under Contract'!B97</f>
        <v>7916</v>
      </c>
      <c r="C94" s="169">
        <f>'ABP Under Contract'!C97</f>
        <v>16567</v>
      </c>
      <c r="D94" s="169">
        <f>'ABP Under Contract'!D97</f>
        <v>0</v>
      </c>
      <c r="E94" s="169">
        <f>'ABP Under Contract'!E97</f>
        <v>0</v>
      </c>
      <c r="F94" s="169">
        <f>'ABP Under Contract'!F97</f>
        <v>0</v>
      </c>
      <c r="G94" s="169">
        <f>'ABP Under Contract'!G97</f>
        <v>0</v>
      </c>
      <c r="H94" s="165">
        <f t="shared" si="110"/>
        <v>24483</v>
      </c>
      <c r="I94" s="169"/>
      <c r="J94" s="169"/>
      <c r="K94" s="28"/>
      <c r="L94" s="169">
        <v>6816</v>
      </c>
      <c r="M94" s="169">
        <v>9438.292300000001</v>
      </c>
      <c r="N94" s="169">
        <f t="shared" si="120"/>
        <v>381.43368073254084</v>
      </c>
      <c r="O94" s="169">
        <f t="shared" si="120"/>
        <v>545.92723145968796</v>
      </c>
      <c r="P94" s="169">
        <f t="shared" si="120"/>
        <v>4.0928090509206596</v>
      </c>
      <c r="Q94" s="169">
        <f t="shared" si="103"/>
        <v>319.70046084265385</v>
      </c>
      <c r="R94" s="165">
        <f t="shared" si="104"/>
        <v>17505.446482085808</v>
      </c>
      <c r="S94" s="165">
        <f t="shared" si="111"/>
        <v>34791.012801353259</v>
      </c>
      <c r="T94" s="165">
        <f t="shared" si="105"/>
        <v>7197.4336807325408</v>
      </c>
      <c r="U94" s="165">
        <f t="shared" si="106"/>
        <v>41988.446482085812</v>
      </c>
      <c r="V94" s="165">
        <f t="shared" ref="V94:AD94" si="122">$B$86*V9</f>
        <v>165.33307475181439</v>
      </c>
      <c r="W94" s="165">
        <f t="shared" si="122"/>
        <v>360.32970557073526</v>
      </c>
      <c r="X94" s="165">
        <f t="shared" si="122"/>
        <v>0</v>
      </c>
      <c r="Y94" s="165">
        <f t="shared" si="122"/>
        <v>1052.298916235555</v>
      </c>
      <c r="Z94" s="165">
        <f t="shared" si="122"/>
        <v>0</v>
      </c>
      <c r="AA94" s="165">
        <f t="shared" si="122"/>
        <v>412.71143594858728</v>
      </c>
      <c r="AB94" s="165">
        <f t="shared" si="122"/>
        <v>0</v>
      </c>
      <c r="AC94" s="165">
        <f t="shared" si="122"/>
        <v>0</v>
      </c>
      <c r="AD94" s="165">
        <f t="shared" si="122"/>
        <v>0</v>
      </c>
      <c r="AE94" s="165"/>
      <c r="AF94" s="165">
        <f t="shared" si="108"/>
        <v>702.05083481259362</v>
      </c>
      <c r="AG94" s="165">
        <f t="shared" ref="AG94:AG111" si="123">SUM(V94:AF94)</f>
        <v>2692.7239673192853</v>
      </c>
      <c r="AH94" s="165">
        <f t="shared" si="109"/>
        <v>44681.170449405094</v>
      </c>
      <c r="AI94" s="182">
        <f>AH94/'Collections and ACP'!E111</f>
        <v>9.2086459724086092E-2</v>
      </c>
      <c r="AJ94" s="163"/>
      <c r="AK94" s="163"/>
      <c r="AL94" s="163">
        <f t="shared" si="114"/>
        <v>37483.736768672541</v>
      </c>
      <c r="AM94" s="163">
        <f t="shared" si="115"/>
        <v>7197.4336807325408</v>
      </c>
      <c r="AN94" s="96">
        <f t="shared" si="116"/>
        <v>0.83891573098151972</v>
      </c>
      <c r="AO94" s="96">
        <f t="shared" si="117"/>
        <v>0.16108426901848028</v>
      </c>
    </row>
    <row r="95" spans="1:41" x14ac:dyDescent="0.25">
      <c r="A95" s="168" t="s">
        <v>23</v>
      </c>
      <c r="B95" s="169">
        <f>'ABP Under Contract'!B98</f>
        <v>7875</v>
      </c>
      <c r="C95" s="169">
        <f>'ABP Under Contract'!C98</f>
        <v>16483</v>
      </c>
      <c r="D95" s="169">
        <f>'ABP Under Contract'!D98</f>
        <v>0</v>
      </c>
      <c r="E95" s="169">
        <f>'ABP Under Contract'!E98</f>
        <v>0</v>
      </c>
      <c r="F95" s="169">
        <f>'ABP Under Contract'!F98</f>
        <v>0</v>
      </c>
      <c r="G95" s="169">
        <f>'ABP Under Contract'!G98</f>
        <v>0</v>
      </c>
      <c r="H95" s="165">
        <f t="shared" si="110"/>
        <v>24358</v>
      </c>
      <c r="I95" s="169"/>
      <c r="J95" s="169"/>
      <c r="K95" s="28"/>
      <c r="L95" s="169">
        <v>6816</v>
      </c>
      <c r="M95" s="169">
        <v>9438.292300000001</v>
      </c>
      <c r="N95" s="169">
        <f t="shared" si="120"/>
        <v>2903.7534642760338</v>
      </c>
      <c r="O95" s="169">
        <f t="shared" si="120"/>
        <v>2238.9452453672834</v>
      </c>
      <c r="P95" s="169">
        <f t="shared" si="120"/>
        <v>68.739579050717069</v>
      </c>
      <c r="Q95" s="169">
        <f t="shared" si="103"/>
        <v>318.10195853844056</v>
      </c>
      <c r="R95" s="165">
        <f t="shared" si="104"/>
        <v>21783.832547232476</v>
      </c>
      <c r="S95" s="165">
        <f t="shared" si="111"/>
        <v>36422.079082956443</v>
      </c>
      <c r="T95" s="165">
        <f t="shared" si="105"/>
        <v>9719.7534642760329</v>
      </c>
      <c r="U95" s="165">
        <f t="shared" si="106"/>
        <v>46141.83254723248</v>
      </c>
      <c r="V95" s="165">
        <f t="shared" ref="V95:AD95" si="124">$B$86*V10</f>
        <v>1040.228351002565</v>
      </c>
      <c r="W95" s="165">
        <f t="shared" si="124"/>
        <v>1290.8810341096978</v>
      </c>
      <c r="X95" s="165">
        <f t="shared" si="124"/>
        <v>164.10835964946105</v>
      </c>
      <c r="Y95" s="165">
        <f t="shared" si="124"/>
        <v>1817.8172932680041</v>
      </c>
      <c r="Z95" s="165">
        <f t="shared" si="124"/>
        <v>0</v>
      </c>
      <c r="AA95" s="165">
        <f t="shared" si="124"/>
        <v>1446.5956310653066</v>
      </c>
      <c r="AB95" s="165">
        <f t="shared" si="124"/>
        <v>0</v>
      </c>
      <c r="AC95" s="165">
        <f t="shared" si="124"/>
        <v>0</v>
      </c>
      <c r="AD95" s="165">
        <f t="shared" si="124"/>
        <v>0</v>
      </c>
      <c r="AE95" s="165"/>
      <c r="AF95" s="165">
        <f t="shared" si="108"/>
        <v>936.06777975012483</v>
      </c>
      <c r="AG95" s="165">
        <f t="shared" si="123"/>
        <v>6695.698448845159</v>
      </c>
      <c r="AH95" s="165">
        <f t="shared" si="109"/>
        <v>52837.530996077636</v>
      </c>
      <c r="AI95" s="182">
        <f>AH95/'Collections and ACP'!E112</f>
        <v>0.11419181041214807</v>
      </c>
      <c r="AJ95" s="163"/>
      <c r="AK95" s="163"/>
      <c r="AL95" s="163">
        <f t="shared" si="114"/>
        <v>43117.777531801607</v>
      </c>
      <c r="AM95" s="163">
        <f t="shared" si="115"/>
        <v>9719.7534642760329</v>
      </c>
      <c r="AN95" s="96">
        <f t="shared" si="116"/>
        <v>0.816044518336832</v>
      </c>
      <c r="AO95" s="96">
        <f t="shared" si="117"/>
        <v>0.183955481663168</v>
      </c>
    </row>
    <row r="96" spans="1:41" x14ac:dyDescent="0.25">
      <c r="A96" s="168" t="s">
        <v>24</v>
      </c>
      <c r="B96" s="169">
        <f>'ABP Under Contract'!B99</f>
        <v>7842</v>
      </c>
      <c r="C96" s="169">
        <f>'ABP Under Contract'!C99</f>
        <v>16400</v>
      </c>
      <c r="D96" s="169">
        <f>'ABP Under Contract'!D99</f>
        <v>0</v>
      </c>
      <c r="E96" s="169">
        <f>'ABP Under Contract'!E99</f>
        <v>0</v>
      </c>
      <c r="F96" s="169">
        <f>'ABP Under Contract'!F99</f>
        <v>0</v>
      </c>
      <c r="G96" s="169">
        <f>'ABP Under Contract'!G99</f>
        <v>0</v>
      </c>
      <c r="H96" s="165">
        <f t="shared" si="110"/>
        <v>24242</v>
      </c>
      <c r="I96" s="169"/>
      <c r="J96" s="169"/>
      <c r="K96" s="28"/>
      <c r="L96" s="169">
        <v>6816</v>
      </c>
      <c r="M96" s="169">
        <v>9438.292300000001</v>
      </c>
      <c r="N96" s="169">
        <f t="shared" si="120"/>
        <v>9062.1385672027227</v>
      </c>
      <c r="O96" s="169">
        <f t="shared" si="120"/>
        <v>9976.1982203174648</v>
      </c>
      <c r="P96" s="169">
        <f t="shared" si="120"/>
        <v>255.35081223696022</v>
      </c>
      <c r="Q96" s="169">
        <f t="shared" si="103"/>
        <v>316.5114487457484</v>
      </c>
      <c r="R96" s="165">
        <f t="shared" si="104"/>
        <v>35864.491348502896</v>
      </c>
      <c r="S96" s="165">
        <f t="shared" si="111"/>
        <v>44228.352781300171</v>
      </c>
      <c r="T96" s="165">
        <f t="shared" si="105"/>
        <v>15878.138567202723</v>
      </c>
      <c r="U96" s="165">
        <f t="shared" si="106"/>
        <v>60106.491348502896</v>
      </c>
      <c r="V96" s="165">
        <f t="shared" ref="V96:AD96" si="125">$B$86*V11</f>
        <v>1910.7491508720618</v>
      </c>
      <c r="W96" s="165">
        <f t="shared" si="125"/>
        <v>2216.7796060059654</v>
      </c>
      <c r="X96" s="165">
        <f t="shared" si="125"/>
        <v>1764.1383204333615</v>
      </c>
      <c r="Y96" s="165">
        <f t="shared" si="125"/>
        <v>2579.508078415291</v>
      </c>
      <c r="Z96" s="165">
        <f t="shared" si="125"/>
        <v>237.16303741957745</v>
      </c>
      <c r="AA96" s="165">
        <f t="shared" si="125"/>
        <v>2475.3104052064427</v>
      </c>
      <c r="AB96" s="165">
        <f t="shared" si="125"/>
        <v>0</v>
      </c>
      <c r="AC96" s="165">
        <f t="shared" si="125"/>
        <v>0</v>
      </c>
      <c r="AD96" s="165">
        <f t="shared" si="125"/>
        <v>0</v>
      </c>
      <c r="AE96" s="165"/>
      <c r="AF96" s="165">
        <f t="shared" si="108"/>
        <v>1170.084724687656</v>
      </c>
      <c r="AG96" s="165">
        <f t="shared" si="123"/>
        <v>12353.733323040356</v>
      </c>
      <c r="AH96" s="165">
        <f t="shared" si="109"/>
        <v>72460.224671543256</v>
      </c>
      <c r="AI96" s="182">
        <f>AH96/'Collections and ACP'!E113</f>
        <v>0.15527475594801377</v>
      </c>
      <c r="AJ96" s="163"/>
      <c r="AK96" s="163"/>
      <c r="AL96" s="163">
        <f t="shared" si="114"/>
        <v>56582.086104340524</v>
      </c>
      <c r="AM96" s="163">
        <f t="shared" si="115"/>
        <v>15878.138567202723</v>
      </c>
      <c r="AN96" s="96">
        <f t="shared" si="116"/>
        <v>0.78087097246555437</v>
      </c>
      <c r="AO96" s="96">
        <f t="shared" si="117"/>
        <v>0.21912902753444563</v>
      </c>
    </row>
    <row r="97" spans="1:41" x14ac:dyDescent="0.25">
      <c r="A97" s="168" t="s">
        <v>25</v>
      </c>
      <c r="B97" s="169">
        <f>'ABP Under Contract'!B100</f>
        <v>7802</v>
      </c>
      <c r="C97" s="169">
        <f>'ABP Under Contract'!C100</f>
        <v>16320</v>
      </c>
      <c r="D97" s="169">
        <f>'ABP Under Contract'!D100</f>
        <v>0</v>
      </c>
      <c r="E97" s="169">
        <f>'ABP Under Contract'!E100</f>
        <v>0</v>
      </c>
      <c r="F97" s="169">
        <f>'ABP Under Contract'!F100</f>
        <v>0</v>
      </c>
      <c r="G97" s="169">
        <f>'ABP Under Contract'!G100</f>
        <v>0</v>
      </c>
      <c r="H97" s="165">
        <f t="shared" si="110"/>
        <v>24122</v>
      </c>
      <c r="I97" s="169"/>
      <c r="J97" s="169"/>
      <c r="K97" s="28"/>
      <c r="L97" s="169">
        <v>6816</v>
      </c>
      <c r="M97" s="169">
        <v>9438.292300000001</v>
      </c>
      <c r="N97" s="169">
        <f t="shared" si="120"/>
        <v>15539.591131205381</v>
      </c>
      <c r="O97" s="169">
        <f t="shared" si="120"/>
        <v>23587.779217409483</v>
      </c>
      <c r="P97" s="169">
        <f t="shared" si="120"/>
        <v>783.17878076026909</v>
      </c>
      <c r="Q97" s="169">
        <f t="shared" si="103"/>
        <v>314.92889150201967</v>
      </c>
      <c r="R97" s="165">
        <f t="shared" si="104"/>
        <v>56479.770320877149</v>
      </c>
      <c r="S97" s="165">
        <f t="shared" si="111"/>
        <v>58246.17918967177</v>
      </c>
      <c r="T97" s="165">
        <f t="shared" si="105"/>
        <v>22355.591131205379</v>
      </c>
      <c r="U97" s="165">
        <f t="shared" si="106"/>
        <v>80601.770320877142</v>
      </c>
      <c r="V97" s="165">
        <f t="shared" ref="V97:AD97" si="126">$B$86*V12</f>
        <v>2776.9173467422115</v>
      </c>
      <c r="W97" s="165">
        <f t="shared" si="126"/>
        <v>3138.0486850427519</v>
      </c>
      <c r="X97" s="165">
        <f t="shared" si="126"/>
        <v>3356.1681314133421</v>
      </c>
      <c r="Y97" s="165">
        <f t="shared" si="126"/>
        <v>3337.390409636841</v>
      </c>
      <c r="Z97" s="165">
        <f t="shared" si="126"/>
        <v>473.14025965205707</v>
      </c>
      <c r="AA97" s="165">
        <f t="shared" si="126"/>
        <v>3498.8816054768731</v>
      </c>
      <c r="AB97" s="165">
        <f t="shared" si="126"/>
        <v>12510.261142816807</v>
      </c>
      <c r="AC97" s="165">
        <f t="shared" si="126"/>
        <v>3336.066302014844</v>
      </c>
      <c r="AD97" s="165">
        <f t="shared" si="126"/>
        <v>425.34887885577149</v>
      </c>
      <c r="AE97" s="165"/>
      <c r="AF97" s="165">
        <f t="shared" si="108"/>
        <v>1404.1016696251872</v>
      </c>
      <c r="AG97" s="165">
        <f t="shared" si="123"/>
        <v>34256.324431276691</v>
      </c>
      <c r="AH97" s="165">
        <f t="shared" si="109"/>
        <v>114858.09475215383</v>
      </c>
      <c r="AI97" s="182">
        <f>AH97/'Collections and ACP'!E114</f>
        <v>0.2474923249963748</v>
      </c>
      <c r="AJ97" s="163"/>
      <c r="AK97" s="163"/>
      <c r="AL97" s="163">
        <f t="shared" si="114"/>
        <v>79992.242478131666</v>
      </c>
      <c r="AM97" s="163">
        <f t="shared" si="115"/>
        <v>34865.852274022189</v>
      </c>
      <c r="AN97" s="96">
        <f t="shared" si="116"/>
        <v>0.6964441004418771</v>
      </c>
      <c r="AO97" s="96">
        <f t="shared" si="117"/>
        <v>0.3035558995581229</v>
      </c>
    </row>
    <row r="98" spans="1:41" x14ac:dyDescent="0.25">
      <c r="A98" s="168" t="s">
        <v>26</v>
      </c>
      <c r="B98" s="169">
        <f>'ABP Under Contract'!B101</f>
        <v>7769</v>
      </c>
      <c r="C98" s="169">
        <f>'ABP Under Contract'!C101</f>
        <v>16234</v>
      </c>
      <c r="D98" s="169">
        <f>'ABP Under Contract'!D101</f>
        <v>0</v>
      </c>
      <c r="E98" s="169">
        <f>'ABP Under Contract'!E101</f>
        <v>0</v>
      </c>
      <c r="F98" s="169">
        <f>'ABP Under Contract'!F101</f>
        <v>0</v>
      </c>
      <c r="G98" s="169">
        <f>'ABP Under Contract'!G101</f>
        <v>0</v>
      </c>
      <c r="H98" s="165">
        <f t="shared" si="110"/>
        <v>24003</v>
      </c>
      <c r="I98" s="169"/>
      <c r="J98" s="169"/>
      <c r="K98" s="28"/>
      <c r="L98" s="169">
        <v>6816</v>
      </c>
      <c r="M98" s="169">
        <v>9438.292300000001</v>
      </c>
      <c r="N98" s="169">
        <f t="shared" si="120"/>
        <v>18370.970027412608</v>
      </c>
      <c r="O98" s="169">
        <f t="shared" si="120"/>
        <v>26925.847742860122</v>
      </c>
      <c r="P98" s="169">
        <f t="shared" si="120"/>
        <v>779.26288685646784</v>
      </c>
      <c r="Q98" s="169">
        <f t="shared" si="103"/>
        <v>313.35424704450958</v>
      </c>
      <c r="R98" s="165">
        <f t="shared" si="104"/>
        <v>62643.727204173701</v>
      </c>
      <c r="S98" s="165">
        <f t="shared" si="111"/>
        <v>61459.757176761093</v>
      </c>
      <c r="T98" s="165">
        <f t="shared" si="105"/>
        <v>25186.970027412608</v>
      </c>
      <c r="U98" s="165">
        <f t="shared" si="106"/>
        <v>86646.727204173701</v>
      </c>
      <c r="V98" s="165">
        <f t="shared" ref="V98:AD98" si="127">$B$86*V13</f>
        <v>3638.7547016330104</v>
      </c>
      <c r="W98" s="165">
        <f t="shared" si="127"/>
        <v>4054.7114186843542</v>
      </c>
      <c r="X98" s="165">
        <f t="shared" si="127"/>
        <v>4940.2377933384232</v>
      </c>
      <c r="Y98" s="165">
        <f t="shared" si="127"/>
        <v>4091.4833292022836</v>
      </c>
      <c r="Z98" s="165">
        <f t="shared" si="127"/>
        <v>707.93759577337414</v>
      </c>
      <c r="AA98" s="165">
        <f t="shared" si="127"/>
        <v>4517.3349497459503</v>
      </c>
      <c r="AB98" s="165">
        <f t="shared" si="127"/>
        <v>25020.522285633615</v>
      </c>
      <c r="AC98" s="165">
        <f t="shared" si="127"/>
        <v>10825.542656194855</v>
      </c>
      <c r="AD98" s="165">
        <f t="shared" si="127"/>
        <v>848.57101331726415</v>
      </c>
      <c r="AE98" s="165"/>
      <c r="AF98" s="165">
        <f t="shared" si="108"/>
        <v>1580.0542598037821</v>
      </c>
      <c r="AG98" s="165">
        <f t="shared" si="123"/>
        <v>60225.150003326911</v>
      </c>
      <c r="AH98" s="165">
        <f t="shared" si="109"/>
        <v>146871.87720750063</v>
      </c>
      <c r="AI98" s="182">
        <f>AH98/'Collections and ACP'!E115</f>
        <v>0.31419374621858326</v>
      </c>
      <c r="AJ98" s="163"/>
      <c r="AK98" s="163"/>
      <c r="AL98" s="163">
        <f t="shared" si="114"/>
        <v>96664.384894454401</v>
      </c>
      <c r="AM98" s="163">
        <f t="shared" si="115"/>
        <v>50207.492313046227</v>
      </c>
      <c r="AN98" s="96">
        <f t="shared" si="116"/>
        <v>0.65815448629343065</v>
      </c>
      <c r="AO98" s="96">
        <f t="shared" si="117"/>
        <v>0.34184551370656935</v>
      </c>
    </row>
    <row r="99" spans="1:41" x14ac:dyDescent="0.25">
      <c r="A99" s="168" t="s">
        <v>27</v>
      </c>
      <c r="B99" s="169">
        <f>'ABP Under Contract'!B102</f>
        <v>7732</v>
      </c>
      <c r="C99" s="169">
        <f>'ABP Under Contract'!C102</f>
        <v>16151</v>
      </c>
      <c r="D99" s="169">
        <f>'ABP Under Contract'!D102</f>
        <v>0</v>
      </c>
      <c r="E99" s="169">
        <f>'ABP Under Contract'!E102</f>
        <v>0</v>
      </c>
      <c r="F99" s="169">
        <f>'ABP Under Contract'!F102</f>
        <v>0</v>
      </c>
      <c r="G99" s="169">
        <f>'ABP Under Contract'!G102</f>
        <v>0</v>
      </c>
      <c r="H99" s="165">
        <f t="shared" si="110"/>
        <v>23883</v>
      </c>
      <c r="I99" s="169"/>
      <c r="J99" s="169"/>
      <c r="K99" s="28"/>
      <c r="L99" s="169">
        <v>6816</v>
      </c>
      <c r="M99" s="169">
        <v>9438.292300000001</v>
      </c>
      <c r="N99" s="169">
        <f t="shared" si="120"/>
        <v>18370.970027412608</v>
      </c>
      <c r="O99" s="169">
        <f t="shared" si="120"/>
        <v>26798.977513285652</v>
      </c>
      <c r="P99" s="169">
        <f t="shared" si="120"/>
        <v>775.36657242218553</v>
      </c>
      <c r="Q99" s="169">
        <f t="shared" si="103"/>
        <v>311.787475809287</v>
      </c>
      <c r="R99" s="165">
        <f t="shared" si="104"/>
        <v>62511.393888929735</v>
      </c>
      <c r="S99" s="165">
        <f t="shared" si="111"/>
        <v>61207.423861517127</v>
      </c>
      <c r="T99" s="165">
        <f t="shared" si="105"/>
        <v>25186.970027412608</v>
      </c>
      <c r="U99" s="165">
        <f t="shared" si="106"/>
        <v>86394.393888929742</v>
      </c>
      <c r="V99" s="165">
        <f t="shared" ref="V99:AD99" si="128">$B$86*V14</f>
        <v>4496.2828697493551</v>
      </c>
      <c r="W99" s="165">
        <f t="shared" si="128"/>
        <v>4966.7908386577492</v>
      </c>
      <c r="X99" s="165">
        <f t="shared" si="128"/>
        <v>6516.38710695388</v>
      </c>
      <c r="Y99" s="165">
        <f t="shared" si="128"/>
        <v>4841.8057841699001</v>
      </c>
      <c r="Z99" s="165">
        <f t="shared" si="128"/>
        <v>941.56094521408477</v>
      </c>
      <c r="AA99" s="165">
        <f t="shared" si="128"/>
        <v>5530.6960272936831</v>
      </c>
      <c r="AB99" s="165">
        <f t="shared" si="128"/>
        <v>37530.783428450428</v>
      </c>
      <c r="AC99" s="165">
        <f t="shared" si="128"/>
        <v>18277.571628603964</v>
      </c>
      <c r="AD99" s="165">
        <f t="shared" si="128"/>
        <v>1269.6770371064492</v>
      </c>
      <c r="AE99" s="165"/>
      <c r="AF99" s="165">
        <f t="shared" si="108"/>
        <v>1756.0068499823769</v>
      </c>
      <c r="AG99" s="165">
        <f t="shared" si="123"/>
        <v>86127.562516181875</v>
      </c>
      <c r="AH99" s="165">
        <f t="shared" si="109"/>
        <v>172521.95640511162</v>
      </c>
      <c r="AI99" s="182">
        <f>AH99/'Collections and ACP'!E116</f>
        <v>0.36777534734804268</v>
      </c>
      <c r="AJ99" s="163"/>
      <c r="AK99" s="163"/>
      <c r="AL99" s="163">
        <f t="shared" si="114"/>
        <v>109804.20294924857</v>
      </c>
      <c r="AM99" s="163">
        <f t="shared" si="115"/>
        <v>62717.753455863036</v>
      </c>
      <c r="AN99" s="96">
        <f t="shared" si="116"/>
        <v>0.6364650925439842</v>
      </c>
      <c r="AO99" s="96">
        <f t="shared" si="117"/>
        <v>0.3635349074560158</v>
      </c>
    </row>
    <row r="100" spans="1:41" x14ac:dyDescent="0.25">
      <c r="A100" s="168" t="s">
        <v>28</v>
      </c>
      <c r="B100" s="169">
        <f>'ABP Under Contract'!B103</f>
        <v>7695</v>
      </c>
      <c r="C100" s="169">
        <f>'ABP Under Contract'!C103</f>
        <v>16078</v>
      </c>
      <c r="D100" s="169">
        <f>'ABP Under Contract'!D103</f>
        <v>0</v>
      </c>
      <c r="E100" s="169">
        <f>'ABP Under Contract'!E103</f>
        <v>0</v>
      </c>
      <c r="F100" s="169">
        <f>'ABP Under Contract'!F103</f>
        <v>0</v>
      </c>
      <c r="G100" s="169">
        <f>'ABP Under Contract'!G103</f>
        <v>0</v>
      </c>
      <c r="H100" s="165">
        <f t="shared" si="110"/>
        <v>23773</v>
      </c>
      <c r="I100" s="169"/>
      <c r="J100" s="169"/>
      <c r="K100" s="28"/>
      <c r="L100" s="169">
        <v>6816</v>
      </c>
      <c r="M100" s="169">
        <v>9438.292300000001</v>
      </c>
      <c r="N100" s="169">
        <f t="shared" si="120"/>
        <v>18370.970027412608</v>
      </c>
      <c r="O100" s="169">
        <f t="shared" si="120"/>
        <v>26664.982625719222</v>
      </c>
      <c r="P100" s="169">
        <f t="shared" si="120"/>
        <v>771.48973956007455</v>
      </c>
      <c r="Q100" s="169">
        <f t="shared" si="103"/>
        <v>310.22853843024058</v>
      </c>
      <c r="R100" s="165">
        <f t="shared" si="104"/>
        <v>62371.963231122136</v>
      </c>
      <c r="S100" s="165">
        <f t="shared" si="111"/>
        <v>60957.993203709528</v>
      </c>
      <c r="T100" s="165">
        <f t="shared" si="105"/>
        <v>25186.970027412608</v>
      </c>
      <c r="U100" s="165">
        <f t="shared" si="106"/>
        <v>86144.963231122136</v>
      </c>
      <c r="V100" s="165">
        <f t="shared" ref="V100:AD100" si="129">$B$86*V15</f>
        <v>5349.5233970251174</v>
      </c>
      <c r="W100" s="165">
        <f t="shared" si="129"/>
        <v>5874.3098615312756</v>
      </c>
      <c r="X100" s="165">
        <f t="shared" si="129"/>
        <v>8084.6556740012575</v>
      </c>
      <c r="Y100" s="165">
        <f t="shared" si="129"/>
        <v>5588.3766268626759</v>
      </c>
      <c r="Z100" s="165">
        <f t="shared" si="129"/>
        <v>1174.0161779075918</v>
      </c>
      <c r="AA100" s="165">
        <f t="shared" si="129"/>
        <v>6538.9902994536787</v>
      </c>
      <c r="AB100" s="165">
        <f t="shared" si="129"/>
        <v>50041.04457126723</v>
      </c>
      <c r="AC100" s="165">
        <f t="shared" si="129"/>
        <v>23190.288227587669</v>
      </c>
      <c r="AD100" s="165">
        <f t="shared" si="129"/>
        <v>1688.6775307766886</v>
      </c>
      <c r="AE100" s="165"/>
      <c r="AF100" s="165">
        <f t="shared" si="108"/>
        <v>1931.9594401609713</v>
      </c>
      <c r="AG100" s="165">
        <f t="shared" si="123"/>
        <v>109461.84180657417</v>
      </c>
      <c r="AH100" s="165">
        <f t="shared" si="109"/>
        <v>195606.80503769632</v>
      </c>
      <c r="AI100" s="182">
        <f>AH100/'Collections and ACP'!E117</f>
        <v>0.41364605689804085</v>
      </c>
      <c r="AJ100" s="163"/>
      <c r="AK100" s="163"/>
      <c r="AL100" s="163">
        <f t="shared" si="114"/>
        <v>120378.79043901646</v>
      </c>
      <c r="AM100" s="163">
        <f t="shared" si="115"/>
        <v>75228.014598679845</v>
      </c>
      <c r="AN100" s="96">
        <f t="shared" si="116"/>
        <v>0.61541207840809875</v>
      </c>
      <c r="AO100" s="96">
        <f t="shared" si="117"/>
        <v>0.38458792159190125</v>
      </c>
    </row>
    <row r="101" spans="1:41" x14ac:dyDescent="0.25">
      <c r="A101" s="168" t="s">
        <v>29</v>
      </c>
      <c r="B101" s="169">
        <f>'ABP Under Contract'!B104</f>
        <v>7653</v>
      </c>
      <c r="C101" s="169">
        <f>'ABP Under Contract'!C104</f>
        <v>15995</v>
      </c>
      <c r="D101" s="169">
        <f>'ABP Under Contract'!D104</f>
        <v>0</v>
      </c>
      <c r="E101" s="169">
        <f>'ABP Under Contract'!E104</f>
        <v>0</v>
      </c>
      <c r="F101" s="169">
        <f>'ABP Under Contract'!F104</f>
        <v>0</v>
      </c>
      <c r="G101" s="169">
        <f>'ABP Under Contract'!G104</f>
        <v>0</v>
      </c>
      <c r="H101" s="165">
        <f t="shared" si="110"/>
        <v>23648</v>
      </c>
      <c r="I101" s="28"/>
      <c r="J101" s="28"/>
      <c r="K101" s="28"/>
      <c r="L101" s="169">
        <v>6816</v>
      </c>
      <c r="M101" s="169">
        <v>9438.292300000001</v>
      </c>
      <c r="N101" s="169">
        <f t="shared" si="120"/>
        <v>18370.970027412608</v>
      </c>
      <c r="O101" s="169">
        <f t="shared" si="120"/>
        <v>26531.657712590626</v>
      </c>
      <c r="P101" s="169">
        <f t="shared" si="120"/>
        <v>767.6322908622742</v>
      </c>
      <c r="Q101" s="169">
        <f t="shared" si="103"/>
        <v>308.67739573808939</v>
      </c>
      <c r="R101" s="165">
        <f t="shared" si="104"/>
        <v>62233.229726603597</v>
      </c>
      <c r="S101" s="165">
        <f t="shared" si="111"/>
        <v>60694.259699190989</v>
      </c>
      <c r="T101" s="165">
        <f t="shared" si="105"/>
        <v>25186.970027412608</v>
      </c>
      <c r="U101" s="165">
        <f t="shared" si="106"/>
        <v>85881.229726603604</v>
      </c>
      <c r="V101" s="165">
        <f t="shared" ref="V101:AD101" si="130">$B$86*V16</f>
        <v>6198.4977216645011</v>
      </c>
      <c r="W101" s="165">
        <f t="shared" si="130"/>
        <v>6777.2912892904351</v>
      </c>
      <c r="X101" s="165">
        <f t="shared" si="130"/>
        <v>9645.0828982134008</v>
      </c>
      <c r="Y101" s="165">
        <f t="shared" si="130"/>
        <v>6331.2146153419899</v>
      </c>
      <c r="Z101" s="165">
        <f t="shared" si="130"/>
        <v>1405.3091344376314</v>
      </c>
      <c r="AA101" s="165">
        <f t="shared" si="130"/>
        <v>7542.243100252872</v>
      </c>
      <c r="AB101" s="165">
        <f t="shared" si="130"/>
        <v>62551.305714084039</v>
      </c>
      <c r="AC101" s="165">
        <f t="shared" si="130"/>
        <v>28078.44124357645</v>
      </c>
      <c r="AD101" s="165">
        <f t="shared" si="130"/>
        <v>2105.5830219785767</v>
      </c>
      <c r="AE101" s="165"/>
      <c r="AF101" s="165">
        <f t="shared" si="108"/>
        <v>2107.9120303395662</v>
      </c>
      <c r="AG101" s="165">
        <f t="shared" si="123"/>
        <v>132742.88076917946</v>
      </c>
      <c r="AH101" s="165">
        <f t="shared" si="109"/>
        <v>218624.11049578307</v>
      </c>
      <c r="AI101" s="182">
        <f>AH101/'Collections and ACP'!E118</f>
        <v>0.4651069962696241</v>
      </c>
      <c r="AJ101" s="163"/>
      <c r="AK101" s="163"/>
      <c r="AL101" s="163">
        <f t="shared" si="114"/>
        <v>130885.83475428639</v>
      </c>
      <c r="AM101" s="163">
        <f t="shared" si="115"/>
        <v>87738.275741496647</v>
      </c>
      <c r="AN101" s="96">
        <f t="shared" si="116"/>
        <v>0.59867978173803027</v>
      </c>
      <c r="AO101" s="96">
        <f t="shared" si="117"/>
        <v>0.40132021826196973</v>
      </c>
    </row>
    <row r="102" spans="1:41" x14ac:dyDescent="0.25">
      <c r="A102" s="168" t="s">
        <v>30</v>
      </c>
      <c r="B102" s="169">
        <f>'ABP Under Contract'!B105</f>
        <v>7608</v>
      </c>
      <c r="C102" s="169">
        <f>'ABP Under Contract'!C105</f>
        <v>15915</v>
      </c>
      <c r="D102" s="169">
        <f>'ABP Under Contract'!D105</f>
        <v>0</v>
      </c>
      <c r="E102" s="169">
        <f>'ABP Under Contract'!E105</f>
        <v>0</v>
      </c>
      <c r="F102" s="169">
        <f>'ABP Under Contract'!F105</f>
        <v>0</v>
      </c>
      <c r="G102" s="169">
        <f>'ABP Under Contract'!G105</f>
        <v>0</v>
      </c>
      <c r="H102" s="165">
        <f t="shared" si="110"/>
        <v>23523</v>
      </c>
      <c r="I102" s="28"/>
      <c r="J102" s="28"/>
      <c r="K102" s="28"/>
      <c r="L102" s="169">
        <v>5397</v>
      </c>
      <c r="M102" s="169">
        <v>9438.292300000001</v>
      </c>
      <c r="N102" s="169">
        <f t="shared" si="120"/>
        <v>18370.970027412608</v>
      </c>
      <c r="O102" s="169">
        <f t="shared" si="120"/>
        <v>26398.999424027679</v>
      </c>
      <c r="P102" s="169">
        <f t="shared" si="120"/>
        <v>763.79412940796271</v>
      </c>
      <c r="Q102" s="169">
        <f t="shared" si="103"/>
        <v>307.13400875939891</v>
      </c>
      <c r="R102" s="165">
        <f t="shared" si="104"/>
        <v>60676.189889607653</v>
      </c>
      <c r="S102" s="165">
        <f t="shared" si="111"/>
        <v>60431.219862195045</v>
      </c>
      <c r="T102" s="165">
        <f t="shared" si="105"/>
        <v>23767.970027412608</v>
      </c>
      <c r="U102" s="165">
        <f t="shared" si="106"/>
        <v>84199.18988960766</v>
      </c>
      <c r="V102" s="165">
        <f t="shared" ref="V102:AD102" si="131">$B$86*V17</f>
        <v>7043.2271746806882</v>
      </c>
      <c r="W102" s="165">
        <f t="shared" si="131"/>
        <v>7675.7578099107986</v>
      </c>
      <c r="X102" s="165">
        <f t="shared" si="131"/>
        <v>11197.707986304482</v>
      </c>
      <c r="Y102" s="165">
        <f t="shared" si="131"/>
        <v>7070.3384138789052</v>
      </c>
      <c r="Z102" s="165">
        <f t="shared" si="131"/>
        <v>1635.4456261850207</v>
      </c>
      <c r="AA102" s="165">
        <f t="shared" si="131"/>
        <v>8540.479637048069</v>
      </c>
      <c r="AB102" s="165">
        <f t="shared" si="131"/>
        <v>67555.410171210766</v>
      </c>
      <c r="AC102" s="165">
        <f t="shared" si="131"/>
        <v>31691.127380203616</v>
      </c>
      <c r="AD102" s="165">
        <f t="shared" si="131"/>
        <v>2520.4039857244552</v>
      </c>
      <c r="AE102" s="165"/>
      <c r="AF102" s="165">
        <f t="shared" si="108"/>
        <v>2283.8646205181608</v>
      </c>
      <c r="AG102" s="165">
        <f t="shared" si="123"/>
        <v>147213.762805665</v>
      </c>
      <c r="AH102" s="165">
        <f t="shared" si="109"/>
        <v>231412.95269527266</v>
      </c>
      <c r="AI102" s="182">
        <f>AH102/'Collections and ACP'!E119</f>
        <v>0.48903479025620672</v>
      </c>
      <c r="AJ102" s="163"/>
      <c r="AK102" s="163"/>
      <c r="AL102" s="163">
        <f t="shared" si="114"/>
        <v>140089.57249664923</v>
      </c>
      <c r="AM102" s="163">
        <f t="shared" si="115"/>
        <v>91323.380198623374</v>
      </c>
      <c r="AN102" s="96">
        <f t="shared" si="116"/>
        <v>0.60536616842325541</v>
      </c>
      <c r="AO102" s="96">
        <f t="shared" si="117"/>
        <v>0.39463383157674459</v>
      </c>
    </row>
    <row r="103" spans="1:41" x14ac:dyDescent="0.25">
      <c r="A103" s="168" t="s">
        <v>31</v>
      </c>
      <c r="B103" s="169">
        <f>'ABP Under Contract'!B106</f>
        <v>7533</v>
      </c>
      <c r="C103" s="169">
        <f>'ABP Under Contract'!C106</f>
        <v>15479</v>
      </c>
      <c r="D103" s="169">
        <f>'ABP Under Contract'!D106</f>
        <v>0</v>
      </c>
      <c r="E103" s="169">
        <f>'ABP Under Contract'!E106</f>
        <v>0</v>
      </c>
      <c r="F103" s="169">
        <f>'ABP Under Contract'!F106</f>
        <v>0</v>
      </c>
      <c r="G103" s="169">
        <f>'ABP Under Contract'!G106</f>
        <v>0</v>
      </c>
      <c r="H103" s="165">
        <f t="shared" si="110"/>
        <v>23012</v>
      </c>
      <c r="I103" s="28"/>
      <c r="J103" s="28"/>
      <c r="K103" s="28"/>
      <c r="L103" s="169">
        <v>5397</v>
      </c>
      <c r="M103" s="169">
        <v>9438.292300000001</v>
      </c>
      <c r="N103" s="169">
        <f t="shared" si="120"/>
        <v>18370.970027412608</v>
      </c>
      <c r="O103" s="169">
        <f t="shared" si="120"/>
        <v>26267.004426907541</v>
      </c>
      <c r="P103" s="169">
        <f t="shared" si="120"/>
        <v>759.97515876092302</v>
      </c>
      <c r="Q103" s="169">
        <f t="shared" si="103"/>
        <v>305.59833871560193</v>
      </c>
      <c r="R103" s="165">
        <f t="shared" si="104"/>
        <v>60538.840251796675</v>
      </c>
      <c r="S103" s="165">
        <f t="shared" si="111"/>
        <v>59782.870224384067</v>
      </c>
      <c r="T103" s="165">
        <f t="shared" si="105"/>
        <v>23767.970027412608</v>
      </c>
      <c r="U103" s="165">
        <f t="shared" si="106"/>
        <v>83550.840251796675</v>
      </c>
      <c r="V103" s="165">
        <f t="shared" ref="V103:AD103" si="132">$B$86*V18</f>
        <v>7445.8720096195402</v>
      </c>
      <c r="W103" s="165">
        <f t="shared" si="132"/>
        <v>8103.5555093946532</v>
      </c>
      <c r="X103" s="165">
        <f t="shared" si="132"/>
        <v>12742.569948955108</v>
      </c>
      <c r="Y103" s="165">
        <f t="shared" si="132"/>
        <v>7420.3766576163252</v>
      </c>
      <c r="Z103" s="165">
        <f t="shared" si="132"/>
        <v>1864.4314354736732</v>
      </c>
      <c r="AA103" s="165">
        <f t="shared" si="132"/>
        <v>9015.7511150110604</v>
      </c>
      <c r="AB103" s="165">
        <f t="shared" si="132"/>
        <v>72559.514628337492</v>
      </c>
      <c r="AC103" s="165">
        <f t="shared" si="132"/>
        <v>35285.750086147644</v>
      </c>
      <c r="AD103" s="165">
        <f t="shared" si="132"/>
        <v>2933.1508446516045</v>
      </c>
      <c r="AE103" s="165"/>
      <c r="AF103" s="165">
        <f t="shared" si="108"/>
        <v>2459.8172106967559</v>
      </c>
      <c r="AG103" s="165">
        <f t="shared" si="123"/>
        <v>159830.78944590382</v>
      </c>
      <c r="AH103" s="165">
        <f t="shared" si="109"/>
        <v>243381.6296977005</v>
      </c>
      <c r="AI103" s="182">
        <f>AH103/'Collections and ACP'!E120</f>
        <v>0.51268864112433477</v>
      </c>
      <c r="AJ103" s="163"/>
      <c r="AK103" s="163"/>
      <c r="AL103" s="163">
        <f t="shared" si="114"/>
        <v>147054.14504195043</v>
      </c>
      <c r="AM103" s="163">
        <f t="shared" si="115"/>
        <v>96327.484655750101</v>
      </c>
      <c r="AN103" s="96">
        <f t="shared" si="116"/>
        <v>0.60421217996035059</v>
      </c>
      <c r="AO103" s="96">
        <f t="shared" si="117"/>
        <v>0.39578782003964941</v>
      </c>
    </row>
    <row r="104" spans="1:41" x14ac:dyDescent="0.25">
      <c r="A104" s="168" t="s">
        <v>32</v>
      </c>
      <c r="B104" s="169">
        <f>'ABP Under Contract'!B107</f>
        <v>7573</v>
      </c>
      <c r="C104" s="169">
        <f>'ABP Under Contract'!C107</f>
        <v>15835</v>
      </c>
      <c r="D104" s="169">
        <f>'ABP Under Contract'!D107</f>
        <v>0</v>
      </c>
      <c r="E104" s="169">
        <f>'ABP Under Contract'!E107</f>
        <v>0</v>
      </c>
      <c r="F104" s="169">
        <f>'ABP Under Contract'!F107</f>
        <v>0</v>
      </c>
      <c r="G104" s="169">
        <f>'ABP Under Contract'!G107</f>
        <v>0</v>
      </c>
      <c r="H104" s="165">
        <f t="shared" si="110"/>
        <v>23408</v>
      </c>
      <c r="I104" s="28"/>
      <c r="J104" s="28"/>
      <c r="K104" s="28"/>
      <c r="L104" s="169">
        <v>4407</v>
      </c>
      <c r="M104" s="169">
        <v>9438.292300000001</v>
      </c>
      <c r="N104" s="169">
        <f t="shared" si="120"/>
        <v>18370.970027412608</v>
      </c>
      <c r="O104" s="169">
        <f t="shared" si="120"/>
        <v>26135.669404773002</v>
      </c>
      <c r="P104" s="169">
        <f t="shared" si="120"/>
        <v>756.17528296711828</v>
      </c>
      <c r="Q104" s="169">
        <f t="shared" si="103"/>
        <v>304.0703470220239</v>
      </c>
      <c r="R104" s="165">
        <f t="shared" si="104"/>
        <v>59412.177362174749</v>
      </c>
      <c r="S104" s="165">
        <f t="shared" si="111"/>
        <v>60042.207334762141</v>
      </c>
      <c r="T104" s="165">
        <f t="shared" si="105"/>
        <v>22777.970027412608</v>
      </c>
      <c r="U104" s="165">
        <f t="shared" si="106"/>
        <v>82820.177362174756</v>
      </c>
      <c r="V104" s="165">
        <f t="shared" ref="V104:AD104" si="133">$B$86*V19</f>
        <v>7846.5036203836971</v>
      </c>
      <c r="W104" s="165">
        <f t="shared" si="133"/>
        <v>8529.214220381089</v>
      </c>
      <c r="X104" s="165">
        <f t="shared" si="133"/>
        <v>13479.282350501404</v>
      </c>
      <c r="Y104" s="165">
        <f t="shared" si="133"/>
        <v>7768.6647101350572</v>
      </c>
      <c r="Z104" s="165">
        <f t="shared" si="133"/>
        <v>1973.6907970060934</v>
      </c>
      <c r="AA104" s="165">
        <f t="shared" si="133"/>
        <v>9488.6462355842377</v>
      </c>
      <c r="AB104" s="165">
        <f t="shared" si="133"/>
        <v>77563.619085464205</v>
      </c>
      <c r="AC104" s="165">
        <f t="shared" si="133"/>
        <v>38862.399678561946</v>
      </c>
      <c r="AD104" s="165">
        <f t="shared" si="133"/>
        <v>3343.8339692841178</v>
      </c>
      <c r="AE104" s="165"/>
      <c r="AF104" s="165">
        <f t="shared" si="108"/>
        <v>2635.7698008753505</v>
      </c>
      <c r="AG104" s="165">
        <f t="shared" si="123"/>
        <v>171491.62446817721</v>
      </c>
      <c r="AH104" s="165">
        <f t="shared" si="109"/>
        <v>254311.80183035196</v>
      </c>
      <c r="AI104" s="182">
        <f>AH104/'Collections and ACP'!E121</f>
        <v>0.53158060951209485</v>
      </c>
      <c r="AJ104" s="163"/>
      <c r="AK104" s="163"/>
      <c r="AL104" s="163">
        <f t="shared" si="114"/>
        <v>153970.21271747514</v>
      </c>
      <c r="AM104" s="163">
        <f t="shared" si="115"/>
        <v>100341.58911287681</v>
      </c>
      <c r="AN104" s="96">
        <f t="shared" si="116"/>
        <v>0.60543872368214613</v>
      </c>
      <c r="AO104" s="96">
        <f t="shared" si="117"/>
        <v>0.39456127631785387</v>
      </c>
    </row>
    <row r="105" spans="1:41" x14ac:dyDescent="0.25">
      <c r="A105" s="168" t="s">
        <v>33</v>
      </c>
      <c r="B105" s="169">
        <f>'ABP Under Contract'!B108</f>
        <v>7494</v>
      </c>
      <c r="C105" s="169">
        <f>'ABP Under Contract'!C108</f>
        <v>12778</v>
      </c>
      <c r="D105" s="169">
        <f>'ABP Under Contract'!D108</f>
        <v>0</v>
      </c>
      <c r="E105" s="169">
        <f>'ABP Under Contract'!E108</f>
        <v>0</v>
      </c>
      <c r="F105" s="169">
        <f>'ABP Under Contract'!F108</f>
        <v>0</v>
      </c>
      <c r="G105" s="169">
        <f>'ABP Under Contract'!G108</f>
        <v>0</v>
      </c>
      <c r="H105" s="165">
        <f t="shared" si="110"/>
        <v>20272</v>
      </c>
      <c r="I105" s="28"/>
      <c r="J105" s="28"/>
      <c r="K105" s="28"/>
      <c r="L105" s="169">
        <f t="shared" ref="L105:L112" si="134">L20*$B$86</f>
        <v>0</v>
      </c>
      <c r="M105" s="169">
        <v>2852</v>
      </c>
      <c r="N105" s="169">
        <f t="shared" si="120"/>
        <v>18370.970027412608</v>
      </c>
      <c r="O105" s="169">
        <f t="shared" si="120"/>
        <v>26004.991057749136</v>
      </c>
      <c r="P105" s="169">
        <f t="shared" si="120"/>
        <v>752.3944065522827</v>
      </c>
      <c r="Q105" s="169">
        <f t="shared" si="103"/>
        <v>302.54999528691383</v>
      </c>
      <c r="R105" s="165">
        <f t="shared" si="104"/>
        <v>48282.905487000942</v>
      </c>
      <c r="S105" s="165">
        <f t="shared" si="111"/>
        <v>50183.935459588334</v>
      </c>
      <c r="T105" s="165">
        <f t="shared" si="105"/>
        <v>18370.970027412608</v>
      </c>
      <c r="U105" s="165">
        <f t="shared" si="106"/>
        <v>68554.905487000942</v>
      </c>
      <c r="V105" s="165">
        <f t="shared" ref="V105:AD105" si="135">$B$86*V20</f>
        <v>8245.1320730940351</v>
      </c>
      <c r="W105" s="165">
        <f t="shared" si="135"/>
        <v>8952.7446378125933</v>
      </c>
      <c r="X105" s="165">
        <f t="shared" si="135"/>
        <v>14212.311190039971</v>
      </c>
      <c r="Y105" s="165">
        <f t="shared" si="135"/>
        <v>8115.2113223911965</v>
      </c>
      <c r="Z105" s="165">
        <f t="shared" si="135"/>
        <v>2082.4038617308515</v>
      </c>
      <c r="AA105" s="165">
        <f t="shared" si="135"/>
        <v>9959.1768805545471</v>
      </c>
      <c r="AB105" s="165">
        <f t="shared" si="135"/>
        <v>82567.723542590931</v>
      </c>
      <c r="AC105" s="165">
        <f t="shared" si="135"/>
        <v>42421.166023014179</v>
      </c>
      <c r="AD105" s="165">
        <f t="shared" si="135"/>
        <v>3752.4636782934685</v>
      </c>
      <c r="AE105" s="165"/>
      <c r="AF105" s="165">
        <f t="shared" si="108"/>
        <v>2811.7223910539451</v>
      </c>
      <c r="AG105" s="165">
        <f t="shared" si="123"/>
        <v>183120.05560057572</v>
      </c>
      <c r="AH105" s="165">
        <f t="shared" si="109"/>
        <v>251674.96108757667</v>
      </c>
      <c r="AI105" s="182">
        <f>AH105/'Collections and ACP'!E122</f>
        <v>0.52943484885824244</v>
      </c>
      <c r="AJ105" s="163"/>
      <c r="AK105" s="163"/>
      <c r="AL105" s="163">
        <f t="shared" si="114"/>
        <v>150736.26751757311</v>
      </c>
      <c r="AM105" s="163">
        <f t="shared" si="115"/>
        <v>100938.69357000354</v>
      </c>
      <c r="AN105" s="96">
        <f t="shared" si="116"/>
        <v>0.59893231677155456</v>
      </c>
      <c r="AO105" s="96">
        <f t="shared" si="117"/>
        <v>0.40106768322844544</v>
      </c>
    </row>
    <row r="106" spans="1:41" x14ac:dyDescent="0.25">
      <c r="A106" s="168" t="s">
        <v>34</v>
      </c>
      <c r="B106" s="169">
        <f>'ABP Under Contract'!B109</f>
        <v>7207</v>
      </c>
      <c r="C106" s="169">
        <f>'ABP Under Contract'!C109</f>
        <v>12207</v>
      </c>
      <c r="D106" s="169">
        <f>'ABP Under Contract'!D109</f>
        <v>0</v>
      </c>
      <c r="E106" s="169">
        <f>'ABP Under Contract'!E109</f>
        <v>0</v>
      </c>
      <c r="F106" s="169">
        <f>'ABP Under Contract'!F109</f>
        <v>0</v>
      </c>
      <c r="G106" s="169">
        <f>'ABP Under Contract'!G109</f>
        <v>0</v>
      </c>
      <c r="H106" s="165">
        <f t="shared" si="110"/>
        <v>19414</v>
      </c>
      <c r="I106" s="28"/>
      <c r="J106" s="28"/>
      <c r="K106" s="28"/>
      <c r="L106" s="169">
        <f t="shared" si="134"/>
        <v>0</v>
      </c>
      <c r="M106" s="169">
        <v>2852</v>
      </c>
      <c r="N106" s="169">
        <f t="shared" si="120"/>
        <v>18370.970027412608</v>
      </c>
      <c r="O106" s="169">
        <f t="shared" si="120"/>
        <v>25874.966102460392</v>
      </c>
      <c r="P106" s="169">
        <f t="shared" si="120"/>
        <v>748.63243451952121</v>
      </c>
      <c r="Q106" s="169">
        <f t="shared" si="103"/>
        <v>301.03724531047925</v>
      </c>
      <c r="R106" s="165">
        <f t="shared" si="104"/>
        <v>48147.605809703004</v>
      </c>
      <c r="S106" s="165">
        <f t="shared" si="111"/>
        <v>49190.635782290396</v>
      </c>
      <c r="T106" s="165">
        <f t="shared" si="105"/>
        <v>18370.970027412608</v>
      </c>
      <c r="U106" s="165">
        <f t="shared" si="106"/>
        <v>67561.605809703004</v>
      </c>
      <c r="V106" s="165">
        <f t="shared" ref="V106:AD106" si="136">$B$86*V21</f>
        <v>8641.7673835408168</v>
      </c>
      <c r="W106" s="165">
        <f t="shared" si="136"/>
        <v>9374.157403156938</v>
      </c>
      <c r="X106" s="165">
        <f t="shared" si="136"/>
        <v>14941.674885380844</v>
      </c>
      <c r="Y106" s="165">
        <f t="shared" si="136"/>
        <v>8460.0252015860515</v>
      </c>
      <c r="Z106" s="165">
        <f t="shared" si="136"/>
        <v>2190.5733611319861</v>
      </c>
      <c r="AA106" s="165">
        <f t="shared" si="136"/>
        <v>10427.354872300006</v>
      </c>
      <c r="AB106" s="165">
        <f t="shared" si="136"/>
        <v>87571.827999717658</v>
      </c>
      <c r="AC106" s="165">
        <f t="shared" si="136"/>
        <v>45962.138535744154</v>
      </c>
      <c r="AD106" s="165">
        <f t="shared" si="136"/>
        <v>4159.0502387577726</v>
      </c>
      <c r="AE106" s="165"/>
      <c r="AF106" s="165">
        <f t="shared" si="108"/>
        <v>2987.6749812325402</v>
      </c>
      <c r="AG106" s="165">
        <f t="shared" si="123"/>
        <v>194716.24486254877</v>
      </c>
      <c r="AH106" s="165">
        <f t="shared" si="109"/>
        <v>262277.85067225178</v>
      </c>
      <c r="AI106" s="182">
        <f>AH106/'Collections and ACP'!E123</f>
        <v>0.54808460702941264</v>
      </c>
      <c r="AJ106" s="163"/>
      <c r="AK106" s="163"/>
      <c r="AL106" s="163">
        <f t="shared" si="114"/>
        <v>156335.05264512153</v>
      </c>
      <c r="AM106" s="163">
        <f t="shared" si="115"/>
        <v>105942.79802713027</v>
      </c>
      <c r="AN106" s="96">
        <f t="shared" si="116"/>
        <v>0.59606654639122114</v>
      </c>
      <c r="AO106" s="96">
        <f t="shared" si="117"/>
        <v>0.40393345360877886</v>
      </c>
    </row>
    <row r="107" spans="1:41" x14ac:dyDescent="0.25">
      <c r="A107" s="168" t="s">
        <v>35</v>
      </c>
      <c r="B107" s="169">
        <f>'ABP Under Contract'!B110</f>
        <v>1757</v>
      </c>
      <c r="C107" s="169">
        <f>'ABP Under Contract'!C110</f>
        <v>10051</v>
      </c>
      <c r="D107" s="169">
        <f>'ABP Under Contract'!D110</f>
        <v>0</v>
      </c>
      <c r="E107" s="169">
        <f>'ABP Under Contract'!E110</f>
        <v>0</v>
      </c>
      <c r="F107" s="169">
        <f>'ABP Under Contract'!F110</f>
        <v>0</v>
      </c>
      <c r="G107" s="169">
        <f>'ABP Under Contract'!G110</f>
        <v>0</v>
      </c>
      <c r="H107" s="165">
        <f t="shared" si="110"/>
        <v>11808</v>
      </c>
      <c r="I107" s="28"/>
      <c r="J107" s="28"/>
      <c r="K107" s="28"/>
      <c r="L107" s="169">
        <f t="shared" si="134"/>
        <v>0</v>
      </c>
      <c r="M107" s="169">
        <v>2852</v>
      </c>
      <c r="N107" s="169">
        <f t="shared" si="120"/>
        <v>18370.970027412608</v>
      </c>
      <c r="O107" s="169">
        <f t="shared" si="120"/>
        <v>25745.591271948088</v>
      </c>
      <c r="P107" s="169">
        <f t="shared" si="120"/>
        <v>744.88927234692369</v>
      </c>
      <c r="Q107" s="169">
        <f t="shared" si="103"/>
        <v>299.53205908392687</v>
      </c>
      <c r="R107" s="165">
        <f t="shared" si="104"/>
        <v>48012.982630791543</v>
      </c>
      <c r="S107" s="165">
        <f t="shared" si="111"/>
        <v>41450.012603378935</v>
      </c>
      <c r="T107" s="165">
        <f t="shared" si="105"/>
        <v>18370.970027412608</v>
      </c>
      <c r="U107" s="165">
        <f t="shared" si="106"/>
        <v>59820.982630791543</v>
      </c>
      <c r="V107" s="165">
        <f t="shared" ref="V107:AD107" si="137">$B$86*V22</f>
        <v>9036.4195174353699</v>
      </c>
      <c r="W107" s="165">
        <f t="shared" si="137"/>
        <v>9793.4631046745599</v>
      </c>
      <c r="X107" s="165">
        <f t="shared" si="137"/>
        <v>15667.391762245012</v>
      </c>
      <c r="Y107" s="165">
        <f t="shared" si="137"/>
        <v>8803.1150113849362</v>
      </c>
      <c r="Z107" s="165">
        <f t="shared" si="137"/>
        <v>2298.2020130361147</v>
      </c>
      <c r="AA107" s="165">
        <f t="shared" si="137"/>
        <v>10893.191974086734</v>
      </c>
      <c r="AB107" s="165">
        <f t="shared" si="137"/>
        <v>92575.932456844384</v>
      </c>
      <c r="AC107" s="165">
        <f t="shared" si="137"/>
        <v>49485.40618591047</v>
      </c>
      <c r="AD107" s="165">
        <f t="shared" si="137"/>
        <v>4563.6038664197549</v>
      </c>
      <c r="AE107" s="165"/>
      <c r="AF107" s="165">
        <f t="shared" si="108"/>
        <v>3163.6275714111343</v>
      </c>
      <c r="AG107" s="165">
        <f t="shared" si="123"/>
        <v>206280.35346344847</v>
      </c>
      <c r="AH107" s="165">
        <f t="shared" si="109"/>
        <v>266101.33609424002</v>
      </c>
      <c r="AI107" s="182">
        <f>AH107/'Collections and ACP'!E124</f>
        <v>0.55436699000899992</v>
      </c>
      <c r="AJ107" s="163"/>
      <c r="AK107" s="163"/>
      <c r="AL107" s="163">
        <f t="shared" si="114"/>
        <v>155154.43360998301</v>
      </c>
      <c r="AM107" s="163">
        <f t="shared" si="115"/>
        <v>110946.90248425699</v>
      </c>
      <c r="AN107" s="96">
        <f t="shared" si="116"/>
        <v>0.58306521826344737</v>
      </c>
      <c r="AO107" s="96">
        <f t="shared" si="117"/>
        <v>0.41693478173655263</v>
      </c>
    </row>
    <row r="108" spans="1:41" x14ac:dyDescent="0.25">
      <c r="A108" s="168" t="s">
        <v>36</v>
      </c>
      <c r="B108" s="169">
        <f>'ABP Under Contract'!B111</f>
        <v>200</v>
      </c>
      <c r="C108" s="169">
        <f>'ABP Under Contract'!C111</f>
        <v>2443</v>
      </c>
      <c r="D108" s="169">
        <f>'ABP Under Contract'!D111</f>
        <v>0</v>
      </c>
      <c r="E108" s="169">
        <f>'ABP Under Contract'!E111</f>
        <v>0</v>
      </c>
      <c r="F108" s="169">
        <f>'ABP Under Contract'!F111</f>
        <v>0</v>
      </c>
      <c r="G108" s="169">
        <f>'ABP Under Contract'!G111</f>
        <v>0</v>
      </c>
      <c r="H108" s="165">
        <f t="shared" si="110"/>
        <v>2643</v>
      </c>
      <c r="I108" s="28"/>
      <c r="J108" s="28"/>
      <c r="K108" s="28"/>
      <c r="L108" s="169">
        <f t="shared" si="134"/>
        <v>0</v>
      </c>
      <c r="M108" s="169">
        <v>2852</v>
      </c>
      <c r="N108" s="169">
        <f t="shared" si="120"/>
        <v>18370.970027412608</v>
      </c>
      <c r="O108" s="169">
        <f t="shared" si="120"/>
        <v>25616.863315588351</v>
      </c>
      <c r="P108" s="169">
        <f t="shared" si="120"/>
        <v>741.16482598518905</v>
      </c>
      <c r="Q108" s="169">
        <f t="shared" si="103"/>
        <v>298.03439878850725</v>
      </c>
      <c r="R108" s="165">
        <f t="shared" si="104"/>
        <v>47879.032567774651</v>
      </c>
      <c r="S108" s="165">
        <f t="shared" si="111"/>
        <v>32151.062540362047</v>
      </c>
      <c r="T108" s="165">
        <f t="shared" si="105"/>
        <v>18370.970027412608</v>
      </c>
      <c r="U108" s="165">
        <f t="shared" si="106"/>
        <v>50522.032567774651</v>
      </c>
      <c r="V108" s="165">
        <f t="shared" ref="V108:AD108" si="138">$B$86*V23</f>
        <v>9429.098390660447</v>
      </c>
      <c r="W108" s="165">
        <f t="shared" si="138"/>
        <v>10210.672277684598</v>
      </c>
      <c r="X108" s="165">
        <f t="shared" si="138"/>
        <v>16389.48005472486</v>
      </c>
      <c r="Y108" s="165">
        <f t="shared" si="138"/>
        <v>9144.4893721348235</v>
      </c>
      <c r="Z108" s="165">
        <f t="shared" si="138"/>
        <v>2405.2925216807234</v>
      </c>
      <c r="AA108" s="165">
        <f t="shared" si="138"/>
        <v>11356.699890364536</v>
      </c>
      <c r="AB108" s="165">
        <f t="shared" si="138"/>
        <v>97580.036913971111</v>
      </c>
      <c r="AC108" s="165">
        <f t="shared" si="138"/>
        <v>52991.057497825961</v>
      </c>
      <c r="AD108" s="165">
        <f t="shared" si="138"/>
        <v>4966.1347259434278</v>
      </c>
      <c r="AE108" s="165"/>
      <c r="AF108" s="165">
        <f t="shared" si="108"/>
        <v>3339.5801615897294</v>
      </c>
      <c r="AG108" s="165">
        <f t="shared" si="123"/>
        <v>217812.54180658024</v>
      </c>
      <c r="AH108" s="165">
        <f t="shared" si="109"/>
        <v>268334.57437435491</v>
      </c>
      <c r="AI108" s="182">
        <f>AH108/'Collections and ACP'!E125</f>
        <v>0.55463010144354452</v>
      </c>
      <c r="AJ108" s="163"/>
      <c r="AK108" s="163"/>
      <c r="AL108" s="163">
        <f t="shared" si="114"/>
        <v>152383.56743297115</v>
      </c>
      <c r="AM108" s="163">
        <f t="shared" si="115"/>
        <v>115951.00694138372</v>
      </c>
      <c r="AN108" s="96">
        <f t="shared" si="116"/>
        <v>0.567886444705333</v>
      </c>
      <c r="AO108" s="96">
        <f t="shared" si="117"/>
        <v>0.432113555294667</v>
      </c>
    </row>
    <row r="109" spans="1:41" x14ac:dyDescent="0.25">
      <c r="A109" s="168" t="s">
        <v>37</v>
      </c>
      <c r="B109" s="169">
        <f>'ABP Under Contract'!B112</f>
        <v>0</v>
      </c>
      <c r="C109" s="169">
        <f>'ABP Under Contract'!C112</f>
        <v>0</v>
      </c>
      <c r="D109" s="169">
        <f>'ABP Under Contract'!D112</f>
        <v>0</v>
      </c>
      <c r="E109" s="169">
        <f>'ABP Under Contract'!E112</f>
        <v>0</v>
      </c>
      <c r="F109" s="169">
        <f>'ABP Under Contract'!F112</f>
        <v>0</v>
      </c>
      <c r="G109" s="169">
        <f>'ABP Under Contract'!G112</f>
        <v>0</v>
      </c>
      <c r="H109" s="165">
        <f t="shared" si="110"/>
        <v>0</v>
      </c>
      <c r="I109" s="28"/>
      <c r="J109" s="28"/>
      <c r="K109" s="28"/>
      <c r="L109" s="169">
        <f t="shared" si="134"/>
        <v>0</v>
      </c>
      <c r="M109" s="28"/>
      <c r="N109" s="169">
        <f t="shared" si="120"/>
        <v>18370.970027412608</v>
      </c>
      <c r="O109" s="169">
        <f t="shared" si="120"/>
        <v>25488.778999010407</v>
      </c>
      <c r="P109" s="169">
        <f t="shared" si="120"/>
        <v>737.45900185526307</v>
      </c>
      <c r="Q109" s="169">
        <f t="shared" si="103"/>
        <v>296.54422679456468</v>
      </c>
      <c r="R109" s="165">
        <f t="shared" si="104"/>
        <v>44893.752255072839</v>
      </c>
      <c r="S109" s="165">
        <f t="shared" si="111"/>
        <v>26522.782227660235</v>
      </c>
      <c r="T109" s="165">
        <f t="shared" si="105"/>
        <v>18370.970027412608</v>
      </c>
      <c r="U109" s="165">
        <f t="shared" si="106"/>
        <v>44893.752255072839</v>
      </c>
      <c r="V109" s="165">
        <f t="shared" ref="V109:AD109" si="139">$B$86*V24</f>
        <v>9666.4560398602953</v>
      </c>
      <c r="W109" s="165">
        <f t="shared" si="139"/>
        <v>10291.564751398724</v>
      </c>
      <c r="X109" s="165">
        <f t="shared" si="139"/>
        <v>17107.957905742307</v>
      </c>
      <c r="Y109" s="165">
        <f t="shared" si="139"/>
        <v>9484.1568610809645</v>
      </c>
      <c r="Z109" s="165">
        <f t="shared" si="139"/>
        <v>2511.8475777821081</v>
      </c>
      <c r="AA109" s="165">
        <f t="shared" si="139"/>
        <v>11435.071945998581</v>
      </c>
      <c r="AB109" s="165">
        <f t="shared" si="139"/>
        <v>102584.14137109782</v>
      </c>
      <c r="AC109" s="165">
        <f t="shared" si="139"/>
        <v>56479.180553181875</v>
      </c>
      <c r="AD109" s="165">
        <f t="shared" si="139"/>
        <v>5366.6529311694821</v>
      </c>
      <c r="AE109" s="165"/>
      <c r="AF109" s="165">
        <f t="shared" si="108"/>
        <v>3515.532751768324</v>
      </c>
      <c r="AG109" s="165">
        <f t="shared" si="123"/>
        <v>228442.56268908049</v>
      </c>
      <c r="AH109" s="165">
        <f t="shared" si="109"/>
        <v>273336.3149441533</v>
      </c>
      <c r="AI109" s="182">
        <f>AH109/'Collections and ACP'!E126</f>
        <v>0.56869776544797046</v>
      </c>
      <c r="AJ109" s="163"/>
      <c r="AK109" s="163"/>
      <c r="AL109" s="163">
        <f t="shared" si="114"/>
        <v>152381.20354564287</v>
      </c>
      <c r="AM109" s="163">
        <f t="shared" si="115"/>
        <v>120955.11139851043</v>
      </c>
      <c r="AN109" s="96">
        <f t="shared" si="116"/>
        <v>0.55748612684990884</v>
      </c>
      <c r="AO109" s="96">
        <f t="shared" si="117"/>
        <v>0.44251387315009116</v>
      </c>
    </row>
    <row r="110" spans="1:41" x14ac:dyDescent="0.25">
      <c r="A110" s="168" t="s">
        <v>38</v>
      </c>
      <c r="B110" s="169">
        <f>'ABP Under Contract'!B113</f>
        <v>0</v>
      </c>
      <c r="C110" s="169">
        <f>'ABP Under Contract'!C113</f>
        <v>0</v>
      </c>
      <c r="D110" s="169">
        <f>'ABP Under Contract'!D113</f>
        <v>0</v>
      </c>
      <c r="E110" s="169">
        <f>'ABP Under Contract'!E113</f>
        <v>0</v>
      </c>
      <c r="F110" s="169">
        <f>'ABP Under Contract'!F113</f>
        <v>0</v>
      </c>
      <c r="G110" s="169">
        <f>'ABP Under Contract'!G113</f>
        <v>0</v>
      </c>
      <c r="H110" s="165">
        <f t="shared" si="110"/>
        <v>0</v>
      </c>
      <c r="I110" s="28"/>
      <c r="J110" s="28"/>
      <c r="K110" s="28"/>
      <c r="L110" s="169">
        <f t="shared" si="134"/>
        <v>0</v>
      </c>
      <c r="M110" s="28"/>
      <c r="N110" s="169">
        <f t="shared" si="120"/>
        <v>18370.970027412608</v>
      </c>
      <c r="O110" s="169">
        <f t="shared" si="120"/>
        <v>25361.33510401535</v>
      </c>
      <c r="P110" s="169">
        <f t="shared" si="120"/>
        <v>733.77170684598696</v>
      </c>
      <c r="Q110" s="169">
        <f t="shared" si="103"/>
        <v>295.06150566059182</v>
      </c>
      <c r="R110" s="165">
        <f t="shared" si="104"/>
        <v>44761.138343934537</v>
      </c>
      <c r="S110" s="165">
        <f t="shared" si="111"/>
        <v>26390.168316521929</v>
      </c>
      <c r="T110" s="165">
        <f t="shared" si="105"/>
        <v>18370.970027412608</v>
      </c>
      <c r="U110" s="165">
        <f t="shared" si="106"/>
        <v>44761.138343934537</v>
      </c>
      <c r="V110" s="165">
        <f t="shared" ref="V110:AD110" si="140">$B$86*V25</f>
        <v>9243.6922321090187</v>
      </c>
      <c r="W110" s="165">
        <f t="shared" si="140"/>
        <v>9841.4617266625737</v>
      </c>
      <c r="X110" s="165">
        <f t="shared" si="140"/>
        <v>17822.843367504673</v>
      </c>
      <c r="Y110" s="165">
        <f t="shared" si="140"/>
        <v>9822.1260125823737</v>
      </c>
      <c r="Z110" s="165">
        <f t="shared" si="140"/>
        <v>2617.8698586029864</v>
      </c>
      <c r="AA110" s="165">
        <f t="shared" si="140"/>
        <v>10934.957474069526</v>
      </c>
      <c r="AB110" s="165">
        <f t="shared" si="140"/>
        <v>107588.24582822455</v>
      </c>
      <c r="AC110" s="165">
        <f t="shared" si="140"/>
        <v>59949.862993261013</v>
      </c>
      <c r="AD110" s="165">
        <f t="shared" si="140"/>
        <v>5765.1685453694054</v>
      </c>
      <c r="AE110" s="165"/>
      <c r="AF110" s="165">
        <f t="shared" si="108"/>
        <v>3691.4853419469187</v>
      </c>
      <c r="AG110" s="165">
        <f t="shared" si="123"/>
        <v>237277.71338033304</v>
      </c>
      <c r="AH110" s="165">
        <f t="shared" si="109"/>
        <v>282038.85172426759</v>
      </c>
      <c r="AI110" s="182">
        <f>AH110/'Collections and ACP'!E127</f>
        <v>0.58301244424602261</v>
      </c>
      <c r="AJ110" s="163"/>
      <c r="AK110" s="163"/>
      <c r="AL110" s="163">
        <f t="shared" si="114"/>
        <v>156079.6358686304</v>
      </c>
      <c r="AM110" s="163">
        <f t="shared" si="115"/>
        <v>125959.21585563716</v>
      </c>
      <c r="AN110" s="96">
        <f t="shared" si="116"/>
        <v>0.55339764331908448</v>
      </c>
      <c r="AO110" s="96">
        <f t="shared" si="117"/>
        <v>0.44660235668091552</v>
      </c>
    </row>
    <row r="111" spans="1:41" x14ac:dyDescent="0.25">
      <c r="A111" s="168" t="s">
        <v>39</v>
      </c>
      <c r="B111" s="169">
        <f>'ABP Under Contract'!B114</f>
        <v>0</v>
      </c>
      <c r="C111" s="169">
        <f>'ABP Under Contract'!C114</f>
        <v>0</v>
      </c>
      <c r="D111" s="169">
        <f>'ABP Under Contract'!D114</f>
        <v>0</v>
      </c>
      <c r="E111" s="169">
        <f>'ABP Under Contract'!E114</f>
        <v>0</v>
      </c>
      <c r="F111" s="169">
        <f>'ABP Under Contract'!F114</f>
        <v>0</v>
      </c>
      <c r="G111" s="169">
        <f>'ABP Under Contract'!G114</f>
        <v>0</v>
      </c>
      <c r="H111" s="165">
        <f t="shared" si="110"/>
        <v>0</v>
      </c>
      <c r="I111" s="28"/>
      <c r="J111" s="28"/>
      <c r="K111" s="28"/>
      <c r="L111" s="169">
        <f t="shared" si="134"/>
        <v>0</v>
      </c>
      <c r="M111" s="28"/>
      <c r="N111" s="169">
        <f t="shared" si="120"/>
        <v>18370.970027412608</v>
      </c>
      <c r="O111" s="169">
        <f t="shared" si="120"/>
        <v>25234.528428495276</v>
      </c>
      <c r="P111" s="169">
        <f t="shared" si="120"/>
        <v>730.10284831175682</v>
      </c>
      <c r="Q111" s="169">
        <f t="shared" si="103"/>
        <v>293.58619813228887</v>
      </c>
      <c r="R111" s="165">
        <f t="shared" si="104"/>
        <v>44629.187502351931</v>
      </c>
      <c r="S111" s="165">
        <f t="shared" si="111"/>
        <v>26258.21747493932</v>
      </c>
      <c r="T111" s="165">
        <f t="shared" si="105"/>
        <v>18370.970027412608</v>
      </c>
      <c r="U111" s="165">
        <f t="shared" si="106"/>
        <v>44629.187502351931</v>
      </c>
      <c r="V111" s="165">
        <f t="shared" ref="V111:AD111" si="141">$B$86*V26</f>
        <v>8385.1812725842428</v>
      </c>
      <c r="W111" s="165">
        <f t="shared" si="141"/>
        <v>8927.4327285166946</v>
      </c>
      <c r="X111" s="165">
        <f t="shared" si="141"/>
        <v>18534.154401958225</v>
      </c>
      <c r="Y111" s="165">
        <f t="shared" si="141"/>
        <v>9773.0153825194611</v>
      </c>
      <c r="Z111" s="165">
        <f t="shared" si="141"/>
        <v>2503.3769539586601</v>
      </c>
      <c r="AA111" s="165">
        <f t="shared" si="141"/>
        <v>9919.3696983518821</v>
      </c>
      <c r="AB111" s="165">
        <f t="shared" si="141"/>
        <v>112592.35028535128</v>
      </c>
      <c r="AC111" s="165">
        <f t="shared" si="141"/>
        <v>63403.192021139745</v>
      </c>
      <c r="AD111" s="165">
        <f t="shared" si="141"/>
        <v>6161.6915814983304</v>
      </c>
      <c r="AE111" s="165"/>
      <c r="AF111" s="165">
        <f t="shared" si="108"/>
        <v>3867.4379321255137</v>
      </c>
      <c r="AG111" s="165">
        <f t="shared" si="123"/>
        <v>244067.20225800405</v>
      </c>
      <c r="AH111" s="165">
        <f t="shared" si="109"/>
        <v>288696.38976035599</v>
      </c>
      <c r="AI111" s="182"/>
      <c r="AJ111" s="163"/>
      <c r="AK111" s="163"/>
      <c r="AL111" s="163">
        <f t="shared" si="114"/>
        <v>157733.0694475921</v>
      </c>
      <c r="AM111" s="163">
        <f t="shared" si="115"/>
        <v>130963.32031276388</v>
      </c>
      <c r="AN111" s="96">
        <f t="shared" si="116"/>
        <v>0.54636315188605156</v>
      </c>
      <c r="AO111" s="96">
        <f t="shared" si="117"/>
        <v>0.45363684811394844</v>
      </c>
    </row>
    <row r="112" spans="1:41" x14ac:dyDescent="0.25">
      <c r="A112" s="180" t="s">
        <v>158</v>
      </c>
      <c r="L112" s="169">
        <f t="shared" si="134"/>
        <v>0</v>
      </c>
      <c r="N112" s="169">
        <f t="shared" si="120"/>
        <v>18370.970027412608</v>
      </c>
      <c r="O112" s="169">
        <f t="shared" si="120"/>
        <v>25108.355786352797</v>
      </c>
      <c r="P112" s="169">
        <f t="shared" si="120"/>
        <v>726.45233407019816</v>
      </c>
      <c r="S112" s="165">
        <f t="shared" si="111"/>
        <v>25834.808120422997</v>
      </c>
      <c r="T112" s="165">
        <f t="shared" si="105"/>
        <v>18370.970027412608</v>
      </c>
      <c r="U112" s="165">
        <f t="shared" si="106"/>
        <v>0</v>
      </c>
      <c r="AG112" s="165">
        <f t="shared" ref="AG112" si="142">SUM(V112:AF112)</f>
        <v>0</v>
      </c>
      <c r="AH112" s="165">
        <f t="shared" ref="AH112" si="143">H112+R112+AG112</f>
        <v>0</v>
      </c>
      <c r="AI112" s="182"/>
      <c r="AL112" s="163">
        <f t="shared" si="114"/>
        <v>25834.808120422997</v>
      </c>
      <c r="AM112" s="163">
        <f t="shared" si="115"/>
        <v>18370.970027412608</v>
      </c>
      <c r="AN112" s="96">
        <f t="shared" si="116"/>
        <v>0.58442152141343806</v>
      </c>
      <c r="AO112" s="96">
        <f t="shared" si="117"/>
        <v>0.41557847858656194</v>
      </c>
    </row>
    <row r="114" spans="8:13" x14ac:dyDescent="0.25">
      <c r="H114" s="163"/>
    </row>
    <row r="115" spans="8:13" x14ac:dyDescent="0.25">
      <c r="H115" s="163"/>
    </row>
    <row r="116" spans="8:13" x14ac:dyDescent="0.25">
      <c r="H116" s="163"/>
    </row>
    <row r="117" spans="8:13" x14ac:dyDescent="0.25">
      <c r="H117" s="163"/>
    </row>
    <row r="118" spans="8:13" x14ac:dyDescent="0.25">
      <c r="H118" s="163"/>
    </row>
    <row r="119" spans="8:13" x14ac:dyDescent="0.25">
      <c r="H119" s="163"/>
      <c r="L119" s="163"/>
      <c r="M119" s="163"/>
    </row>
    <row r="120" spans="8:13" x14ac:dyDescent="0.25">
      <c r="H120" s="163"/>
      <c r="L120" s="163"/>
      <c r="M120" s="163"/>
    </row>
    <row r="121" spans="8:13" x14ac:dyDescent="0.25">
      <c r="H121" s="163"/>
    </row>
    <row r="122" spans="8:13" x14ac:dyDescent="0.25">
      <c r="H122" s="163"/>
    </row>
    <row r="123" spans="8:13" x14ac:dyDescent="0.25">
      <c r="H123" s="163"/>
    </row>
    <row r="124" spans="8:13" x14ac:dyDescent="0.25">
      <c r="H124" s="163"/>
    </row>
    <row r="125" spans="8:13" x14ac:dyDescent="0.25">
      <c r="H125" s="163"/>
      <c r="M125" s="163"/>
    </row>
    <row r="126" spans="8:13" x14ac:dyDescent="0.25">
      <c r="H126" s="163"/>
      <c r="M126" s="163"/>
    </row>
    <row r="127" spans="8:13" x14ac:dyDescent="0.25">
      <c r="H127" s="163"/>
    </row>
    <row r="128" spans="8:13" x14ac:dyDescent="0.25">
      <c r="H128" s="163"/>
    </row>
    <row r="129" spans="8:8" x14ac:dyDescent="0.25">
      <c r="H129" s="163"/>
    </row>
    <row r="130" spans="8:8" x14ac:dyDescent="0.25">
      <c r="H130" s="163"/>
    </row>
    <row r="131" spans="8:8" x14ac:dyDescent="0.25">
      <c r="H131" s="163"/>
    </row>
    <row r="132" spans="8:8" x14ac:dyDescent="0.25">
      <c r="H132" s="163"/>
    </row>
    <row r="133" spans="8:8" x14ac:dyDescent="0.25">
      <c r="H133" s="163"/>
    </row>
    <row r="134" spans="8:8" x14ac:dyDescent="0.25">
      <c r="H134" s="163"/>
    </row>
    <row r="135" spans="8:8" x14ac:dyDescent="0.25">
      <c r="H135" s="163"/>
    </row>
    <row r="136" spans="8:8" x14ac:dyDescent="0.25">
      <c r="H136" s="163"/>
    </row>
    <row r="137" spans="8:8" x14ac:dyDescent="0.25">
      <c r="H137" s="163"/>
    </row>
    <row r="138" spans="8:8" x14ac:dyDescent="0.25">
      <c r="H138" s="163"/>
    </row>
    <row r="139" spans="8:8" x14ac:dyDescent="0.25">
      <c r="H139" s="163"/>
    </row>
    <row r="140" spans="8:8" x14ac:dyDescent="0.25">
      <c r="H140" s="163"/>
    </row>
    <row r="141" spans="8:8" x14ac:dyDescent="0.25">
      <c r="H141" s="163"/>
    </row>
    <row r="142" spans="8:8" x14ac:dyDescent="0.25">
      <c r="H142" s="163"/>
    </row>
    <row r="143" spans="8:8" x14ac:dyDescent="0.25">
      <c r="H143" s="163"/>
    </row>
    <row r="144" spans="8:8" x14ac:dyDescent="0.25">
      <c r="H144" s="163"/>
    </row>
    <row r="145" spans="8:8" x14ac:dyDescent="0.25">
      <c r="H145" s="163"/>
    </row>
    <row r="146" spans="8:8" x14ac:dyDescent="0.25">
      <c r="H146" s="163"/>
    </row>
  </sheetData>
  <mergeCells count="1">
    <mergeCell ref="AJ2:AK2"/>
  </mergeCells>
  <printOptions horizontalCentered="1" verticalCentered="1"/>
  <pageMargins left="0.7" right="0.7" top="0.75" bottom="0.75" header="0.3" footer="0.3"/>
  <pageSetup scale="17" orientation="landscape" r:id="rId1"/>
  <headerFooter>
    <oddHeader>&amp;A</oddHeader>
  </headerFooter>
  <rowBreaks count="1" manualBreakCount="1">
    <brk id="56" max="16383" man="1"/>
  </rowBreaks>
  <customProperties>
    <customPr name="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39381-FECD-4B00-8747-C237FDC59982}">
  <sheetPr>
    <pageSetUpPr fitToPage="1"/>
  </sheetPr>
  <dimension ref="A1:AJ108"/>
  <sheetViews>
    <sheetView zoomScale="90" zoomScaleNormal="90" workbookViewId="0">
      <pane xSplit="1" topLeftCell="B1" activePane="topRight" state="frozen"/>
      <selection activeCell="L3" sqref="L3"/>
      <selection pane="topRight" activeCell="AE14" sqref="AE14"/>
    </sheetView>
  </sheetViews>
  <sheetFormatPr defaultRowHeight="15" x14ac:dyDescent="0.25"/>
  <cols>
    <col min="1" max="1" width="17.42578125" bestFit="1" customWidth="1"/>
    <col min="2" max="2" width="21.140625" bestFit="1" customWidth="1"/>
    <col min="3" max="3" width="16.85546875" bestFit="1" customWidth="1"/>
    <col min="4" max="4" width="17.42578125" bestFit="1" customWidth="1"/>
    <col min="5" max="7" width="16.42578125" customWidth="1"/>
    <col min="8" max="8" width="16.140625" bestFit="1" customWidth="1"/>
    <col min="9" max="9" width="14.42578125" customWidth="1"/>
    <col min="10" max="10" width="17" bestFit="1" customWidth="1"/>
    <col min="11" max="11" width="17.42578125" customWidth="1"/>
    <col min="12" max="12" width="17.5703125" customWidth="1"/>
    <col min="13" max="13" width="16.140625" bestFit="1" customWidth="1"/>
    <col min="14" max="14" width="16.5703125" bestFit="1" customWidth="1"/>
    <col min="15" max="15" width="16.140625" bestFit="1" customWidth="1"/>
    <col min="16" max="16" width="17.42578125" bestFit="1" customWidth="1"/>
    <col min="17" max="17" width="17.5703125" bestFit="1" customWidth="1"/>
    <col min="18" max="18" width="24.140625" bestFit="1" customWidth="1"/>
    <col min="19" max="19" width="24.42578125" customWidth="1"/>
    <col min="20" max="20" width="15.42578125" customWidth="1"/>
    <col min="21" max="21" width="16" customWidth="1"/>
    <col min="22" max="22" width="18.5703125" customWidth="1"/>
    <col min="23" max="23" width="18.85546875" customWidth="1"/>
    <col min="24" max="24" width="17.42578125" bestFit="1" customWidth="1"/>
    <col min="25" max="25" width="17.140625" customWidth="1"/>
    <col min="26" max="26" width="19" customWidth="1"/>
    <col min="27" max="27" width="28" customWidth="1"/>
    <col min="28" max="28" width="17.42578125" bestFit="1" customWidth="1"/>
    <col min="29" max="29" width="20.85546875" bestFit="1" customWidth="1"/>
    <col min="30" max="30" width="17.42578125" bestFit="1" customWidth="1"/>
    <col min="31" max="31" width="18.85546875" bestFit="1" customWidth="1"/>
    <col min="32" max="32" width="22.42578125" bestFit="1" customWidth="1"/>
    <col min="33" max="34" width="18.85546875" bestFit="1" customWidth="1"/>
    <col min="35" max="35" width="20.140625" bestFit="1" customWidth="1"/>
    <col min="36" max="36" width="19.7109375" bestFit="1" customWidth="1"/>
  </cols>
  <sheetData>
    <row r="1" spans="1:36" x14ac:dyDescent="0.25">
      <c r="A1" s="1" t="s">
        <v>0</v>
      </c>
      <c r="B1" t="s">
        <v>183</v>
      </c>
      <c r="Q1" s="181" t="s">
        <v>86</v>
      </c>
      <c r="R1" s="181"/>
      <c r="S1" s="181"/>
      <c r="T1" s="181"/>
      <c r="U1" s="181"/>
      <c r="V1" s="181"/>
      <c r="W1" s="181"/>
      <c r="X1" s="181"/>
      <c r="Y1" s="181"/>
      <c r="Z1" s="181"/>
    </row>
    <row r="2" spans="1:36" x14ac:dyDescent="0.25">
      <c r="A2" s="1"/>
      <c r="Q2" s="181"/>
      <c r="R2" s="181"/>
      <c r="S2" s="181"/>
      <c r="T2" s="181"/>
      <c r="U2" s="181"/>
      <c r="V2" s="181"/>
      <c r="W2" s="181"/>
      <c r="X2" s="181"/>
      <c r="Y2" s="181"/>
      <c r="Z2" s="181"/>
    </row>
    <row r="3" spans="1:36" ht="60" x14ac:dyDescent="0.25">
      <c r="A3" s="164" t="s">
        <v>1</v>
      </c>
      <c r="B3" s="164" t="s">
        <v>184</v>
      </c>
      <c r="C3" s="164" t="s">
        <v>185</v>
      </c>
      <c r="D3" s="164" t="s">
        <v>214</v>
      </c>
      <c r="E3" s="164" t="s">
        <v>144</v>
      </c>
      <c r="F3" s="164" t="s">
        <v>215</v>
      </c>
      <c r="G3" s="164" t="s">
        <v>216</v>
      </c>
      <c r="H3" s="164" t="s">
        <v>217</v>
      </c>
      <c r="I3" s="13" t="s">
        <v>218</v>
      </c>
      <c r="J3" s="13" t="s">
        <v>219</v>
      </c>
      <c r="K3" s="13" t="s">
        <v>220</v>
      </c>
      <c r="L3" s="13" t="s">
        <v>221</v>
      </c>
      <c r="M3" s="164" t="s">
        <v>222</v>
      </c>
      <c r="N3" s="164" t="s">
        <v>223</v>
      </c>
      <c r="O3" s="164" t="s">
        <v>202</v>
      </c>
      <c r="P3" s="13" t="s">
        <v>200</v>
      </c>
      <c r="Q3" s="188" t="s">
        <v>184</v>
      </c>
      <c r="R3" s="188" t="s">
        <v>185</v>
      </c>
      <c r="S3" s="188" t="s">
        <v>139</v>
      </c>
      <c r="T3" s="188" t="s">
        <v>144</v>
      </c>
      <c r="U3" s="188" t="s">
        <v>148</v>
      </c>
      <c r="V3" s="188" t="s">
        <v>151</v>
      </c>
      <c r="W3" s="294" t="s">
        <v>81</v>
      </c>
      <c r="X3" s="188" t="s">
        <v>82</v>
      </c>
      <c r="Y3" s="188" t="s">
        <v>77</v>
      </c>
      <c r="Z3" s="188" t="s">
        <v>224</v>
      </c>
      <c r="AA3" s="13" t="s">
        <v>225</v>
      </c>
      <c r="AB3" s="13" t="s">
        <v>226</v>
      </c>
      <c r="AC3" s="13" t="s">
        <v>227</v>
      </c>
      <c r="AD3" s="164" t="s">
        <v>165</v>
      </c>
      <c r="AE3" s="164" t="s">
        <v>228</v>
      </c>
      <c r="AF3" s="13" t="s">
        <v>378</v>
      </c>
      <c r="AG3" s="164" t="s">
        <v>229</v>
      </c>
      <c r="AH3" s="164" t="s">
        <v>230</v>
      </c>
      <c r="AI3" s="198"/>
    </row>
    <row r="4" spans="1:36" x14ac:dyDescent="0.25">
      <c r="A4" s="165" t="s">
        <v>16</v>
      </c>
      <c r="B4" s="14">
        <f>'ABP Under Contract'!K4</f>
        <v>137950740.69999999</v>
      </c>
      <c r="C4" s="14">
        <f>'ABP Under Contract'!L4</f>
        <v>48621594.350000001</v>
      </c>
      <c r="D4" s="14">
        <f>'ABP Under Contract'!M4</f>
        <v>29989057.579999998</v>
      </c>
      <c r="E4" s="14"/>
      <c r="F4" s="14"/>
      <c r="G4" s="14"/>
      <c r="H4" s="14">
        <v>30848359.600711424</v>
      </c>
      <c r="I4" s="14">
        <f>I31+I58+I85</f>
        <v>5397290.4699999997</v>
      </c>
      <c r="J4" s="14"/>
      <c r="K4" s="14"/>
      <c r="L4" s="14"/>
      <c r="M4" s="14">
        <f>AB4*0.03</f>
        <v>6757080.0219020871</v>
      </c>
      <c r="N4" s="14"/>
      <c r="O4" s="14">
        <v>11261800.036503479</v>
      </c>
      <c r="P4" s="14">
        <f>SUM(B4:O4)</f>
        <v>270825922.75911701</v>
      </c>
      <c r="Q4" s="234"/>
      <c r="R4" s="234"/>
      <c r="S4" s="234"/>
      <c r="T4" s="234"/>
      <c r="U4" s="234"/>
      <c r="V4" s="187"/>
      <c r="W4" s="285"/>
      <c r="X4" s="187"/>
      <c r="Y4" s="187"/>
      <c r="Z4" s="186">
        <f>SUM(Q4:Y4)</f>
        <v>0</v>
      </c>
      <c r="AA4" s="184">
        <f>AA31+AA58+AA85</f>
        <v>293790554.98094952</v>
      </c>
      <c r="AB4" s="184">
        <f>'Collections and ACP'!K7</f>
        <v>225236000.73006958</v>
      </c>
      <c r="AC4" s="184">
        <f>AA4+AB4</f>
        <v>519026555.7110191</v>
      </c>
      <c r="AD4" s="184">
        <f>P4+Z4</f>
        <v>270825922.75911701</v>
      </c>
      <c r="AE4" s="196">
        <f>AC4-AD4</f>
        <v>248200632.95190209</v>
      </c>
      <c r="AF4" s="341">
        <v>248194878.09190208</v>
      </c>
      <c r="AG4" s="197"/>
      <c r="AH4" s="173"/>
      <c r="AI4" s="329"/>
      <c r="AJ4" s="3"/>
    </row>
    <row r="5" spans="1:36" x14ac:dyDescent="0.25">
      <c r="A5" s="165" t="s">
        <v>17</v>
      </c>
      <c r="B5" s="14">
        <f>'ABP Under Contract'!K5</f>
        <v>61953092.340000004</v>
      </c>
      <c r="C5" s="14">
        <f>'ABP Under Contract'!L5</f>
        <v>60698120.020000003</v>
      </c>
      <c r="D5" s="14">
        <f>'ABP Under Contract'!M5</f>
        <v>84192311.930000007</v>
      </c>
      <c r="E5" s="14"/>
      <c r="F5" s="14"/>
      <c r="G5" s="14"/>
      <c r="H5" s="14">
        <v>24142255.383493654</v>
      </c>
      <c r="I5" s="14">
        <f t="shared" ref="I5:I27" si="0">I32+I59+I86</f>
        <v>19260591.157020841</v>
      </c>
      <c r="J5" s="14"/>
      <c r="K5" s="14"/>
      <c r="L5" s="14"/>
      <c r="M5" s="14">
        <f t="shared" ref="M5:M27" si="1">AB5*0.03</f>
        <v>13942135.092404015</v>
      </c>
      <c r="N5" s="14">
        <v>10000000</v>
      </c>
      <c r="O5" s="14">
        <v>50000000</v>
      </c>
      <c r="P5" s="14">
        <f t="shared" ref="P5:P27" si="2">SUM(B5:O5)</f>
        <v>324188505.92291856</v>
      </c>
      <c r="Q5" s="234"/>
      <c r="R5" s="234"/>
      <c r="S5" s="234"/>
      <c r="T5" s="234"/>
      <c r="U5" s="234"/>
      <c r="V5" s="187"/>
      <c r="W5" s="291"/>
      <c r="X5" s="187"/>
      <c r="Y5" s="187"/>
      <c r="Z5" s="186">
        <f t="shared" ref="Z5:Z8" si="3">SUM(Q5:Y5)</f>
        <v>0</v>
      </c>
      <c r="AA5" s="184">
        <f>AE4</f>
        <v>248200632.95190209</v>
      </c>
      <c r="AB5" s="184">
        <f>'Collections and ACP'!K8</f>
        <v>464737836.41346717</v>
      </c>
      <c r="AC5" s="184">
        <f t="shared" ref="AC5:AC27" si="4">AA5+AB5</f>
        <v>712938469.36536932</v>
      </c>
      <c r="AD5" s="184">
        <f t="shared" ref="AD5:AD26" si="5">P5+Z5</f>
        <v>324188505.92291856</v>
      </c>
      <c r="AE5" s="196">
        <f t="shared" ref="AE5:AE26" si="6">AC5-AD5</f>
        <v>388749963.44245076</v>
      </c>
      <c r="AF5" s="341">
        <v>388721054.17245066</v>
      </c>
      <c r="AG5" s="197"/>
      <c r="AH5" s="173"/>
      <c r="AI5" s="329"/>
      <c r="AJ5" s="3"/>
    </row>
    <row r="6" spans="1:36" x14ac:dyDescent="0.25">
      <c r="A6" s="165" t="s">
        <v>18</v>
      </c>
      <c r="B6" s="14">
        <f>'ABP Under Contract'!K6</f>
        <v>88770294.510000005</v>
      </c>
      <c r="C6" s="14">
        <f>'ABP Under Contract'!L6</f>
        <v>65368120.829999998</v>
      </c>
      <c r="D6" s="14">
        <f>'ABP Under Contract'!M6</f>
        <v>102137171.90000001</v>
      </c>
      <c r="E6" s="14"/>
      <c r="F6" s="14"/>
      <c r="G6" s="14"/>
      <c r="H6" s="14">
        <v>22062344.595163539</v>
      </c>
      <c r="I6" s="14">
        <f t="shared" si="0"/>
        <v>22975411.212579787</v>
      </c>
      <c r="J6" s="14"/>
      <c r="K6" s="14"/>
      <c r="L6" s="14"/>
      <c r="M6" s="14">
        <f t="shared" si="1"/>
        <v>17623889.800951708</v>
      </c>
      <c r="N6" s="14"/>
      <c r="O6" s="14">
        <v>50000000</v>
      </c>
      <c r="P6" s="14">
        <f t="shared" si="2"/>
        <v>368937232.84869504</v>
      </c>
      <c r="Q6" s="234"/>
      <c r="R6" s="234"/>
      <c r="S6" s="234"/>
      <c r="T6" s="234"/>
      <c r="U6" s="234"/>
      <c r="V6" s="187"/>
      <c r="W6" s="292" cm="1">
        <f t="array" ref="W6:W27">TRANSPOSE('Indexed REC Spend'!C80:X80)</f>
        <v>0</v>
      </c>
      <c r="X6" s="233" cm="1">
        <f t="array" ref="X6:X27">TRANSPOSE('Indexed REC Spend'!C81:X81)</f>
        <v>0</v>
      </c>
      <c r="Y6" s="233" cm="1">
        <f t="array" ref="Y6:Y27">TRANSPOSE('Indexed REC Spend'!C82:X82)</f>
        <v>0</v>
      </c>
      <c r="Z6" s="186">
        <f t="shared" si="3"/>
        <v>0</v>
      </c>
      <c r="AA6" s="184">
        <f t="shared" ref="AA6:AA26" si="7">AE5</f>
        <v>388749963.44245076</v>
      </c>
      <c r="AB6" s="184">
        <f>'Collections and ACP'!K9</f>
        <v>587462993.36505699</v>
      </c>
      <c r="AC6" s="184">
        <f>AA6+AB6</f>
        <v>976212956.80750775</v>
      </c>
      <c r="AD6" s="184">
        <f t="shared" si="5"/>
        <v>368937232.84869504</v>
      </c>
      <c r="AE6" s="196">
        <f t="shared" si="6"/>
        <v>607275723.95881271</v>
      </c>
      <c r="AF6" s="341">
        <v>607245523.51881266</v>
      </c>
      <c r="AG6" s="197"/>
      <c r="AH6" s="173"/>
      <c r="AI6" s="329"/>
      <c r="AJ6" s="3"/>
    </row>
    <row r="7" spans="1:36" x14ac:dyDescent="0.25">
      <c r="A7" s="165" t="s">
        <v>19</v>
      </c>
      <c r="B7" s="14">
        <f>'ABP Under Contract'!K7</f>
        <v>271332529.60000002</v>
      </c>
      <c r="C7" s="14">
        <f>'ABP Under Contract'!L7</f>
        <v>83321652.599999994</v>
      </c>
      <c r="D7" s="14">
        <f>'ABP Under Contract'!M7</f>
        <v>118165987.3</v>
      </c>
      <c r="E7" s="14"/>
      <c r="F7" s="14"/>
      <c r="G7" s="14"/>
      <c r="H7" s="14">
        <v>17721007.415898785</v>
      </c>
      <c r="I7" s="14">
        <f t="shared" si="0"/>
        <v>22594914.147020839</v>
      </c>
      <c r="J7" s="14"/>
      <c r="K7" s="14"/>
      <c r="L7" s="14"/>
      <c r="M7" s="14">
        <f t="shared" si="1"/>
        <v>17322647.088471591</v>
      </c>
      <c r="N7" s="14"/>
      <c r="O7" s="14">
        <v>50000000</v>
      </c>
      <c r="P7" s="14">
        <f t="shared" si="2"/>
        <v>580458738.15139127</v>
      </c>
      <c r="Q7" s="234"/>
      <c r="R7" s="234"/>
      <c r="S7" s="234"/>
      <c r="T7" s="234"/>
      <c r="U7" s="234"/>
      <c r="V7" s="187"/>
      <c r="W7" s="293">
        <v>0</v>
      </c>
      <c r="X7" s="234">
        <v>0</v>
      </c>
      <c r="Y7" s="186">
        <v>0</v>
      </c>
      <c r="Z7" s="186">
        <f>SUM(Q7:Y7)</f>
        <v>0</v>
      </c>
      <c r="AA7" s="184">
        <f t="shared" si="7"/>
        <v>607275723.95881271</v>
      </c>
      <c r="AB7" s="184">
        <f>'Collections and ACP'!K10</f>
        <v>577421569.61571968</v>
      </c>
      <c r="AC7" s="184">
        <f t="shared" si="4"/>
        <v>1184697293.5745325</v>
      </c>
      <c r="AD7" s="184">
        <f t="shared" si="5"/>
        <v>580458738.15139127</v>
      </c>
      <c r="AE7" s="196">
        <f t="shared" si="6"/>
        <v>604238555.42314124</v>
      </c>
      <c r="AF7" s="341">
        <v>602495656.91314125</v>
      </c>
      <c r="AG7" s="197"/>
      <c r="AH7" s="173"/>
      <c r="AI7" s="329"/>
      <c r="AJ7" s="3"/>
    </row>
    <row r="8" spans="1:36" x14ac:dyDescent="0.25">
      <c r="A8" s="165" t="s">
        <v>21</v>
      </c>
      <c r="B8" s="14">
        <f>'ABP Under Contract'!K8</f>
        <v>158896903.69999999</v>
      </c>
      <c r="C8" s="14">
        <f>'ABP Under Contract'!L8</f>
        <v>94071007.640000001</v>
      </c>
      <c r="D8" s="14">
        <f>'ABP Under Contract'!M8</f>
        <v>138850842.09999999</v>
      </c>
      <c r="E8" s="14">
        <f>'ABP Under Contract'!N8</f>
        <v>109935.3</v>
      </c>
      <c r="F8" s="14">
        <f>'ABP Under Contract'!O8</f>
        <v>877546.85699999996</v>
      </c>
      <c r="G8" s="14"/>
      <c r="H8" s="14">
        <v>17421541.685608782</v>
      </c>
      <c r="I8" s="14">
        <f t="shared" si="0"/>
        <v>22594914.147020839</v>
      </c>
      <c r="J8" s="14" cm="1">
        <f t="array" ref="J8:L26">TRANSPOSE('Indexed REC Spend'!F74:X76)</f>
        <v>0</v>
      </c>
      <c r="K8" s="14">
        <v>0</v>
      </c>
      <c r="L8" s="14">
        <v>44325.176186843986</v>
      </c>
      <c r="M8" s="14">
        <f t="shared" si="1"/>
        <v>17198419.557390258</v>
      </c>
      <c r="N8" s="14">
        <v>10000000</v>
      </c>
      <c r="O8" s="14">
        <v>50000000</v>
      </c>
      <c r="P8" s="14">
        <f t="shared" si="2"/>
        <v>510065436.1632067</v>
      </c>
      <c r="Q8" s="234" cm="1">
        <f t="array" ref="Q8:V26">TRANSPOSE('Projected ABP Spend'!C165:U170)</f>
        <v>22900840.018733297</v>
      </c>
      <c r="R8" s="234">
        <v>5005789.3809688529</v>
      </c>
      <c r="S8" s="234">
        <v>0</v>
      </c>
      <c r="T8" s="234">
        <v>0</v>
      </c>
      <c r="U8" s="234">
        <v>0</v>
      </c>
      <c r="V8" s="234">
        <v>5733489.3336188877</v>
      </c>
      <c r="W8" s="293">
        <v>0</v>
      </c>
      <c r="X8" s="234">
        <v>0</v>
      </c>
      <c r="Y8" s="186">
        <v>0</v>
      </c>
      <c r="Z8" s="186">
        <f t="shared" si="3"/>
        <v>33640118.733321041</v>
      </c>
      <c r="AA8" s="184">
        <f t="shared" si="7"/>
        <v>604238555.42314124</v>
      </c>
      <c r="AB8" s="184">
        <f>'Collections and ACP'!K11</f>
        <v>573280651.91300857</v>
      </c>
      <c r="AC8" s="184">
        <f t="shared" si="4"/>
        <v>1177519207.3361497</v>
      </c>
      <c r="AD8" s="184">
        <f t="shared" si="5"/>
        <v>543705554.89652777</v>
      </c>
      <c r="AE8" s="196">
        <f t="shared" si="6"/>
        <v>633813652.43962193</v>
      </c>
      <c r="AF8" s="341">
        <v>478785834.79958737</v>
      </c>
      <c r="AG8" s="197"/>
      <c r="AH8" s="173"/>
      <c r="AI8" s="329"/>
      <c r="AJ8" s="3"/>
    </row>
    <row r="9" spans="1:36" x14ac:dyDescent="0.25">
      <c r="A9" s="165" t="s">
        <v>22</v>
      </c>
      <c r="B9" s="14"/>
      <c r="C9" s="14">
        <f>'ABP Under Contract'!L9</f>
        <v>78926186.709999993</v>
      </c>
      <c r="D9" s="14">
        <f>'ABP Under Contract'!M9</f>
        <v>143629245.09999999</v>
      </c>
      <c r="E9" s="14">
        <f>'ABP Under Contract'!N9</f>
        <v>1580271.03</v>
      </c>
      <c r="F9" s="14">
        <f>'ABP Under Contract'!O9</f>
        <v>22237651.510000002</v>
      </c>
      <c r="G9" s="14"/>
      <c r="H9" s="14">
        <v>11401431.694168944</v>
      </c>
      <c r="I9" s="14">
        <f t="shared" si="0"/>
        <v>25216962.408598416</v>
      </c>
      <c r="J9" s="14">
        <v>16849134.070567548</v>
      </c>
      <c r="K9" s="14">
        <v>13255868.443590889</v>
      </c>
      <c r="L9" s="14">
        <v>699298.11266848026</v>
      </c>
      <c r="M9" s="14">
        <f t="shared" si="1"/>
        <v>17145711.256652039</v>
      </c>
      <c r="N9" s="14"/>
      <c r="O9" s="14">
        <v>50000000</v>
      </c>
      <c r="P9" s="14">
        <f t="shared" si="2"/>
        <v>380941760.33624631</v>
      </c>
      <c r="Q9" s="234">
        <v>184619196.2383002</v>
      </c>
      <c r="R9" s="234">
        <v>24003922.934491038</v>
      </c>
      <c r="S9" s="234">
        <v>948835.09785899986</v>
      </c>
      <c r="T9" s="234">
        <v>18990762.916281682</v>
      </c>
      <c r="U9" s="234">
        <v>0</v>
      </c>
      <c r="V9" s="234">
        <v>26832998.774613403</v>
      </c>
      <c r="W9" s="293">
        <v>0</v>
      </c>
      <c r="X9" s="234">
        <v>0</v>
      </c>
      <c r="Y9" s="186">
        <v>0</v>
      </c>
      <c r="Z9" s="186">
        <f>SUM(Q9:Y9)</f>
        <v>255395715.96154532</v>
      </c>
      <c r="AA9" s="184">
        <f>AE8</f>
        <v>633813652.43962193</v>
      </c>
      <c r="AB9" s="184">
        <f>'Collections and ACP'!K12</f>
        <v>571523708.55506802</v>
      </c>
      <c r="AC9" s="184">
        <f t="shared" si="4"/>
        <v>1205337360.9946899</v>
      </c>
      <c r="AD9" s="184">
        <f t="shared" si="5"/>
        <v>636337476.2977916</v>
      </c>
      <c r="AE9" s="196">
        <f t="shared" si="6"/>
        <v>568999884.69689834</v>
      </c>
      <c r="AF9" s="341">
        <v>333861421.2501756</v>
      </c>
      <c r="AG9" s="197"/>
      <c r="AH9" s="173"/>
      <c r="AI9" s="329"/>
      <c r="AJ9" s="3"/>
    </row>
    <row r="10" spans="1:36" x14ac:dyDescent="0.25">
      <c r="A10" s="165" t="s">
        <v>23</v>
      </c>
      <c r="B10" s="14"/>
      <c r="C10" s="14">
        <f>'ABP Under Contract'!L10</f>
        <v>68792397.579999998</v>
      </c>
      <c r="D10" s="14">
        <f>'ABP Under Contract'!M10</f>
        <v>128787077.40000001</v>
      </c>
      <c r="E10" s="14">
        <f>'ABP Under Contract'!N10</f>
        <v>2703742.55</v>
      </c>
      <c r="F10" s="14">
        <f>'ABP Under Contract'!O10</f>
        <v>31198954.18</v>
      </c>
      <c r="G10" s="14"/>
      <c r="H10" s="14">
        <v>8215431.7104763286</v>
      </c>
      <c r="I10" s="14">
        <f t="shared" si="0"/>
        <v>25216962.408598416</v>
      </c>
      <c r="J10" s="14">
        <v>51893222.803308889</v>
      </c>
      <c r="K10" s="14">
        <v>55090691.542033732</v>
      </c>
      <c r="L10" s="14">
        <v>2433744.9193426496</v>
      </c>
      <c r="M10" s="14">
        <f t="shared" si="1"/>
        <v>17095059.275192287</v>
      </c>
      <c r="N10" s="14"/>
      <c r="O10" s="14">
        <v>50000000</v>
      </c>
      <c r="P10" s="14">
        <f t="shared" si="2"/>
        <v>441427284.36895233</v>
      </c>
      <c r="Q10" s="234">
        <v>177234428.3887682</v>
      </c>
      <c r="R10" s="234">
        <v>41438204.74821423</v>
      </c>
      <c r="S10" s="234">
        <v>16844465.75378295</v>
      </c>
      <c r="T10" s="234">
        <v>28403995.149979863</v>
      </c>
      <c r="U10" s="234">
        <v>6489822.6660358841</v>
      </c>
      <c r="V10" s="234">
        <v>46204423.01208362</v>
      </c>
      <c r="W10" s="293">
        <v>0</v>
      </c>
      <c r="X10" s="234">
        <v>0</v>
      </c>
      <c r="Y10" s="186">
        <v>0</v>
      </c>
      <c r="Z10" s="186">
        <f t="shared" ref="Z10:Z27" si="8">SUM(Q10:Y10)</f>
        <v>316615339.7188648</v>
      </c>
      <c r="AA10" s="184">
        <f t="shared" si="7"/>
        <v>568999884.69689834</v>
      </c>
      <c r="AB10" s="184">
        <f>'Collections and ACP'!K13</f>
        <v>569835309.17307627</v>
      </c>
      <c r="AC10" s="184">
        <f t="shared" si="4"/>
        <v>1138835193.8699746</v>
      </c>
      <c r="AD10" s="184">
        <f t="shared" si="5"/>
        <v>758042624.08781719</v>
      </c>
      <c r="AE10" s="196">
        <f t="shared" si="6"/>
        <v>380792569.78215742</v>
      </c>
      <c r="AF10" s="341">
        <v>120799196.29143178</v>
      </c>
      <c r="AG10" s="197"/>
      <c r="AH10" s="173"/>
      <c r="AI10" s="329"/>
      <c r="AJ10" s="3"/>
    </row>
    <row r="11" spans="1:36" x14ac:dyDescent="0.25">
      <c r="A11" s="165" t="s">
        <v>24</v>
      </c>
      <c r="B11" s="14"/>
      <c r="C11" s="14">
        <f>'ABP Under Contract'!L11</f>
        <v>64022292.390000001</v>
      </c>
      <c r="D11" s="14">
        <f>'ABP Under Contract'!M11</f>
        <v>108658693.90000001</v>
      </c>
      <c r="E11" s="14">
        <f>'ABP Under Contract'!N11</f>
        <v>2641589.12</v>
      </c>
      <c r="F11" s="14">
        <f>'ABP Under Contract'!O11</f>
        <v>30635027.300000001</v>
      </c>
      <c r="G11" s="14"/>
      <c r="H11" s="14">
        <v>4480482.7749063233</v>
      </c>
      <c r="I11" s="14">
        <f t="shared" si="0"/>
        <v>25216962.408598416</v>
      </c>
      <c r="J11" s="14">
        <v>86749882.357001692</v>
      </c>
      <c r="K11" s="14">
        <v>121966842.58720012</v>
      </c>
      <c r="L11" s="14">
        <v>7625194.2814573068</v>
      </c>
      <c r="M11" s="14">
        <f t="shared" si="1"/>
        <v>17304402.141023751</v>
      </c>
      <c r="N11" s="14">
        <v>10000000</v>
      </c>
      <c r="O11" s="14">
        <v>50000000</v>
      </c>
      <c r="P11" s="14">
        <f t="shared" si="2"/>
        <v>529301369.26018769</v>
      </c>
      <c r="Q11" s="234">
        <v>170145051.25321746</v>
      </c>
      <c r="R11" s="234">
        <v>58175115.289388493</v>
      </c>
      <c r="S11" s="234">
        <v>32024603.263170753</v>
      </c>
      <c r="T11" s="234">
        <v>37389833.780578375</v>
      </c>
      <c r="U11" s="234">
        <v>12359506.721761674</v>
      </c>
      <c r="V11" s="234">
        <v>64800990.280055031</v>
      </c>
      <c r="W11" s="293">
        <v>0</v>
      </c>
      <c r="X11" s="234">
        <v>0</v>
      </c>
      <c r="Y11" s="186">
        <v>0</v>
      </c>
      <c r="Z11" s="186">
        <f t="shared" si="8"/>
        <v>374895100.58817184</v>
      </c>
      <c r="AA11" s="184">
        <f t="shared" si="7"/>
        <v>380792569.78215742</v>
      </c>
      <c r="AB11" s="184">
        <f>'Collections and ACP'!K14</f>
        <v>576813404.70079172</v>
      </c>
      <c r="AC11" s="184">
        <f t="shared" si="4"/>
        <v>957605974.48294914</v>
      </c>
      <c r="AD11" s="184">
        <f t="shared" si="5"/>
        <v>904196469.84835958</v>
      </c>
      <c r="AE11" s="196">
        <f t="shared" si="6"/>
        <v>53409504.634589553</v>
      </c>
      <c r="AF11" s="341">
        <v>-109717360.02781892</v>
      </c>
      <c r="AG11" s="197"/>
      <c r="AH11" s="173"/>
      <c r="AI11" s="329"/>
      <c r="AJ11" s="3"/>
    </row>
    <row r="12" spans="1:36" x14ac:dyDescent="0.25">
      <c r="A12" s="165" t="s">
        <v>25</v>
      </c>
      <c r="B12" s="14"/>
      <c r="C12" s="14">
        <f>'ABP Under Contract'!L12</f>
        <v>49149137.219999999</v>
      </c>
      <c r="D12" s="14">
        <f>'ABP Under Contract'!M12</f>
        <v>105525400.5</v>
      </c>
      <c r="E12" s="14">
        <f>'ABP Under Contract'!N12</f>
        <v>2633403.02</v>
      </c>
      <c r="F12" s="14">
        <f>'ABP Under Contract'!O12</f>
        <v>30635027.300000001</v>
      </c>
      <c r="G12" s="14"/>
      <c r="H12" s="14">
        <v>4478132.259204451</v>
      </c>
      <c r="I12" s="14">
        <f t="shared" si="0"/>
        <v>25216962.408598416</v>
      </c>
      <c r="J12" s="14">
        <v>102671958.4943936</v>
      </c>
      <c r="K12" s="14">
        <v>138957435.86012003</v>
      </c>
      <c r="L12" s="14">
        <v>7551273.2473060042</v>
      </c>
      <c r="M12" s="14">
        <f t="shared" si="1"/>
        <v>17640600.719584882</v>
      </c>
      <c r="N12" s="14"/>
      <c r="O12" s="14">
        <v>50000000</v>
      </c>
      <c r="P12" s="14">
        <f t="shared" si="2"/>
        <v>534459331.02920741</v>
      </c>
      <c r="Q12" s="234">
        <v>163339249.20308876</v>
      </c>
      <c r="R12" s="234">
        <v>74242549.408915788</v>
      </c>
      <c r="S12" s="234">
        <v>46518265.691485345</v>
      </c>
      <c r="T12" s="234">
        <v>45965628.873769946</v>
      </c>
      <c r="U12" s="234">
        <v>17994403.41525843</v>
      </c>
      <c r="V12" s="234">
        <v>82653694.857307583</v>
      </c>
      <c r="W12" s="293">
        <v>78910119.04761903</v>
      </c>
      <c r="X12" s="234">
        <v>19094431.96374999</v>
      </c>
      <c r="Y12" s="186">
        <v>4262042.5099206334</v>
      </c>
      <c r="Z12" s="186">
        <f t="shared" si="8"/>
        <v>532980384.97111559</v>
      </c>
      <c r="AA12" s="184">
        <f t="shared" si="7"/>
        <v>53409504.634589553</v>
      </c>
      <c r="AB12" s="184">
        <f>'Collections and ACP'!K15</f>
        <v>588020023.98616278</v>
      </c>
      <c r="AC12" s="184">
        <f t="shared" si="4"/>
        <v>641429528.62075233</v>
      </c>
      <c r="AD12" s="184">
        <f>P12+Z12</f>
        <v>1067439716.0003231</v>
      </c>
      <c r="AE12" s="196">
        <f t="shared" si="6"/>
        <v>-426010187.37957072</v>
      </c>
      <c r="AF12" s="341">
        <v>-403644890.38898575</v>
      </c>
      <c r="AG12" s="197"/>
      <c r="AH12" s="173"/>
      <c r="AI12" s="329"/>
      <c r="AJ12" s="3"/>
    </row>
    <row r="13" spans="1:36" x14ac:dyDescent="0.25">
      <c r="A13" s="165" t="s">
        <v>26</v>
      </c>
      <c r="B13" s="14"/>
      <c r="C13" s="14">
        <f>'ABP Under Contract'!L13</f>
        <v>47954972.490000002</v>
      </c>
      <c r="D13" s="14">
        <f>'ABP Under Contract'!M13</f>
        <v>105150747.5</v>
      </c>
      <c r="E13" s="14">
        <f>'ABP Under Contract'!N13</f>
        <v>2625395.7799999998</v>
      </c>
      <c r="F13" s="14">
        <f>'ABP Under Contract'!O13</f>
        <v>30635027.300000001</v>
      </c>
      <c r="G13" s="14"/>
      <c r="H13" s="14">
        <v>4338008.6485485407</v>
      </c>
      <c r="I13" s="14">
        <f t="shared" si="0"/>
        <v>25216962.408598416</v>
      </c>
      <c r="J13" s="14">
        <v>105367799.47273979</v>
      </c>
      <c r="K13" s="14">
        <v>142234826.71323323</v>
      </c>
      <c r="L13" s="14">
        <v>7627297.7525235396</v>
      </c>
      <c r="M13" s="14">
        <f t="shared" si="1"/>
        <v>18123785.490454581</v>
      </c>
      <c r="N13" s="14"/>
      <c r="O13" s="14">
        <v>50000000</v>
      </c>
      <c r="P13" s="14">
        <f t="shared" si="2"/>
        <v>539274823.5560981</v>
      </c>
      <c r="Q13" s="234">
        <v>156805679.23496521</v>
      </c>
      <c r="R13" s="234">
        <v>89667286.163661987</v>
      </c>
      <c r="S13" s="234">
        <v>60353308.389873147</v>
      </c>
      <c r="T13" s="234">
        <v>54148035.221011788</v>
      </c>
      <c r="U13" s="234">
        <v>23403904.241015319</v>
      </c>
      <c r="V13" s="234">
        <v>99792291.251470029</v>
      </c>
      <c r="W13" s="293">
        <v>148158382.93650785</v>
      </c>
      <c r="X13" s="234">
        <v>61464208.633654475</v>
      </c>
      <c r="Y13" s="186">
        <v>8463796.109375</v>
      </c>
      <c r="Z13" s="186">
        <f t="shared" si="8"/>
        <v>702256892.18153477</v>
      </c>
      <c r="AA13" s="184">
        <f t="shared" si="7"/>
        <v>-426010187.37957072</v>
      </c>
      <c r="AB13" s="184">
        <f>'Collections and ACP'!K16</f>
        <v>604126183.01515269</v>
      </c>
      <c r="AC13" s="184">
        <f t="shared" si="4"/>
        <v>178115995.63558197</v>
      </c>
      <c r="AD13" s="184">
        <f t="shared" si="5"/>
        <v>1241531715.7376328</v>
      </c>
      <c r="AE13" s="196">
        <f t="shared" si="6"/>
        <v>-1063415720.1020508</v>
      </c>
      <c r="AF13" s="341">
        <v>-774574606.64941216</v>
      </c>
      <c r="AG13" s="197"/>
      <c r="AH13" s="173"/>
      <c r="AI13" s="329"/>
      <c r="AJ13" s="3"/>
    </row>
    <row r="14" spans="1:36" x14ac:dyDescent="0.25">
      <c r="A14" s="165" t="s">
        <v>27</v>
      </c>
      <c r="B14" s="14"/>
      <c r="C14" s="14">
        <f>'ABP Under Contract'!L14</f>
        <v>45041984.700000003</v>
      </c>
      <c r="D14" s="14">
        <f>'ABP Under Contract'!M14</f>
        <v>104778985.90000001</v>
      </c>
      <c r="E14" s="14">
        <f>'ABP Under Contract'!N14</f>
        <v>2617307.3199999998</v>
      </c>
      <c r="F14" s="14">
        <f>'ABP Under Contract'!O14</f>
        <v>30635027.300000001</v>
      </c>
      <c r="G14" s="14"/>
      <c r="H14" s="14">
        <v>4303453.6786395097</v>
      </c>
      <c r="I14" s="14">
        <f t="shared" si="0"/>
        <v>25216962.408598416</v>
      </c>
      <c r="J14" s="14">
        <v>105616769.60146141</v>
      </c>
      <c r="K14" s="14">
        <v>141885026.21136856</v>
      </c>
      <c r="L14" s="14">
        <v>7599616.775880266</v>
      </c>
      <c r="M14" s="14">
        <f t="shared" si="1"/>
        <v>18786284.459790569</v>
      </c>
      <c r="N14" s="14">
        <v>10000000</v>
      </c>
      <c r="O14" s="14">
        <v>50000000</v>
      </c>
      <c r="P14" s="14">
        <f t="shared" si="2"/>
        <v>546481418.35573888</v>
      </c>
      <c r="Q14" s="234">
        <v>150533452.0655666</v>
      </c>
      <c r="R14" s="234">
        <v>104475033.44821835</v>
      </c>
      <c r="S14" s="234">
        <v>73556470.513695195</v>
      </c>
      <c r="T14" s="234">
        <v>61953040.156852998</v>
      </c>
      <c r="U14" s="234">
        <v>28597025.033741929</v>
      </c>
      <c r="V14" s="234">
        <v>116245343.78986597</v>
      </c>
      <c r="W14" s="293">
        <v>220513616.0714286</v>
      </c>
      <c r="X14" s="234">
        <v>106456746.07076626</v>
      </c>
      <c r="Y14" s="186">
        <v>12850299.716055306</v>
      </c>
      <c r="Z14" s="186">
        <f t="shared" si="8"/>
        <v>875181026.86619115</v>
      </c>
      <c r="AA14" s="184">
        <f t="shared" si="7"/>
        <v>-1063415720.1020508</v>
      </c>
      <c r="AB14" s="184">
        <f>'Collections and ACP'!K17</f>
        <v>626209481.99301898</v>
      </c>
      <c r="AC14" s="184">
        <f t="shared" si="4"/>
        <v>-437206238.1090318</v>
      </c>
      <c r="AD14" s="184">
        <f t="shared" si="5"/>
        <v>1421662445.22193</v>
      </c>
      <c r="AE14" s="196">
        <f t="shared" si="6"/>
        <v>-1858868683.3309617</v>
      </c>
      <c r="AF14" s="341">
        <v>-1211788176.4388843</v>
      </c>
      <c r="AG14" s="197"/>
      <c r="AH14" s="173"/>
      <c r="AI14" s="329"/>
      <c r="AJ14" s="3"/>
    </row>
    <row r="15" spans="1:36" x14ac:dyDescent="0.25">
      <c r="A15" s="165" t="s">
        <v>28</v>
      </c>
      <c r="B15" s="14"/>
      <c r="C15" s="14"/>
      <c r="D15" s="14">
        <f>'ABP Under Contract'!M15</f>
        <v>104408369.2</v>
      </c>
      <c r="E15" s="14">
        <f>'ABP Under Contract'!N15</f>
        <v>2609259.86</v>
      </c>
      <c r="F15" s="14"/>
      <c r="G15" s="14"/>
      <c r="H15" s="14">
        <v>4261079.6921323007</v>
      </c>
      <c r="I15" s="14">
        <f t="shared" si="0"/>
        <v>25216962.408598416</v>
      </c>
      <c r="J15" s="14">
        <v>108728823.36960153</v>
      </c>
      <c r="K15" s="14">
        <v>145670080.42659914</v>
      </c>
      <c r="L15" s="14">
        <v>7691656.0803238163</v>
      </c>
      <c r="M15" s="14">
        <f t="shared" si="1"/>
        <v>19538734.721551601</v>
      </c>
      <c r="N15" s="14"/>
      <c r="O15" s="14">
        <v>50000000</v>
      </c>
      <c r="P15" s="14">
        <f t="shared" si="2"/>
        <v>468124965.75880682</v>
      </c>
      <c r="Q15" s="293">
        <v>144512113.98294392</v>
      </c>
      <c r="R15" s="234">
        <v>113962780.87047744</v>
      </c>
      <c r="S15" s="234">
        <v>86153419.680267274</v>
      </c>
      <c r="T15" s="234">
        <v>69395990.263537139</v>
      </c>
      <c r="U15" s="234">
        <v>33582420.994759478</v>
      </c>
      <c r="V15" s="234">
        <v>126625312.07830825</v>
      </c>
      <c r="W15" s="293">
        <v>301361408.73015863</v>
      </c>
      <c r="X15" s="234">
        <v>135384886.51128894</v>
      </c>
      <c r="Y15" s="186">
        <v>12803169.311060024</v>
      </c>
      <c r="Z15" s="186">
        <f t="shared" si="8"/>
        <v>1023781502.4228011</v>
      </c>
      <c r="AA15" s="184">
        <f t="shared" si="7"/>
        <v>-1858868683.3309617</v>
      </c>
      <c r="AB15" s="184">
        <f>'Collections and ACP'!K18</f>
        <v>651291157.3850534</v>
      </c>
      <c r="AC15" s="184">
        <f t="shared" si="4"/>
        <v>-1207577525.9459083</v>
      </c>
      <c r="AD15" s="184">
        <f t="shared" si="5"/>
        <v>1491906468.181608</v>
      </c>
      <c r="AE15" s="196">
        <f t="shared" si="6"/>
        <v>-2699483994.1275163</v>
      </c>
      <c r="AF15" s="341">
        <v>-1595767330.7813439</v>
      </c>
      <c r="AG15" s="197"/>
      <c r="AH15" s="173"/>
      <c r="AI15" s="329"/>
      <c r="AJ15" s="3"/>
    </row>
    <row r="16" spans="1:36" x14ac:dyDescent="0.25">
      <c r="A16" s="165" t="s">
        <v>29</v>
      </c>
      <c r="B16" s="14"/>
      <c r="C16" s="14"/>
      <c r="D16" s="14">
        <f>'ABP Under Contract'!M16</f>
        <v>104039452.09999999</v>
      </c>
      <c r="E16" s="14">
        <f>'ABP Under Contract'!N16</f>
        <v>2510815.7200000002</v>
      </c>
      <c r="F16" s="14"/>
      <c r="G16" s="14"/>
      <c r="H16" s="14"/>
      <c r="I16" s="14">
        <f t="shared" si="0"/>
        <v>25216962.408598416</v>
      </c>
      <c r="J16" s="14">
        <v>109172897.79609405</v>
      </c>
      <c r="K16" s="14">
        <v>145579862.93262011</v>
      </c>
      <c r="L16" s="14">
        <v>7671660.7030497445</v>
      </c>
      <c r="M16" s="14">
        <f t="shared" si="1"/>
        <v>20311109.983324051</v>
      </c>
      <c r="N16" s="14"/>
      <c r="O16" s="14">
        <v>50000000</v>
      </c>
      <c r="P16" s="14">
        <f t="shared" si="2"/>
        <v>464502761.64368635</v>
      </c>
      <c r="Q16" s="293">
        <v>138731629.42362615</v>
      </c>
      <c r="R16" s="234">
        <v>109404269.63565832</v>
      </c>
      <c r="S16" s="234">
        <v>98168794.840240896</v>
      </c>
      <c r="T16" s="234">
        <v>76491617.007389128</v>
      </c>
      <c r="U16" s="234">
        <v>38368401.117336325</v>
      </c>
      <c r="V16" s="234">
        <v>121560299.59517592</v>
      </c>
      <c r="W16" s="293">
        <v>377549479.16666657</v>
      </c>
      <c r="X16" s="234">
        <v>168678425.85218057</v>
      </c>
      <c r="Y16" s="186">
        <v>21695660.02462491</v>
      </c>
      <c r="Z16" s="186">
        <f t="shared" si="8"/>
        <v>1150648576.6628985</v>
      </c>
      <c r="AA16" s="184">
        <f t="shared" si="7"/>
        <v>-2699483994.1275163</v>
      </c>
      <c r="AB16" s="184">
        <f>'Collections and ACP'!K19</f>
        <v>677036999.44413507</v>
      </c>
      <c r="AC16" s="184">
        <f t="shared" si="4"/>
        <v>-2022446994.6833811</v>
      </c>
      <c r="AD16" s="184">
        <f t="shared" si="5"/>
        <v>1615151338.3065848</v>
      </c>
      <c r="AE16" s="196">
        <f t="shared" si="6"/>
        <v>-3637598332.9899659</v>
      </c>
      <c r="AF16" s="341">
        <v>-2003390570.5426478</v>
      </c>
      <c r="AG16" s="197"/>
      <c r="AH16" s="173"/>
      <c r="AI16" s="329"/>
      <c r="AJ16" s="3"/>
    </row>
    <row r="17" spans="1:36" x14ac:dyDescent="0.25">
      <c r="A17" s="165" t="s">
        <v>30</v>
      </c>
      <c r="B17" s="14"/>
      <c r="C17" s="14"/>
      <c r="D17" s="14">
        <f>'ABP Under Contract'!M17</f>
        <v>72979719.939999998</v>
      </c>
      <c r="E17" s="14">
        <f>'ABP Under Contract'!N17</f>
        <v>1585799.13</v>
      </c>
      <c r="F17" s="14"/>
      <c r="G17" s="14"/>
      <c r="H17" s="14"/>
      <c r="I17" s="14">
        <f t="shared" si="0"/>
        <v>22803773.825288881</v>
      </c>
      <c r="J17" s="14">
        <v>103522011.56700371</v>
      </c>
      <c r="K17" s="14">
        <v>136772267.58808047</v>
      </c>
      <c r="L17" s="14">
        <v>7399535.0397987459</v>
      </c>
      <c r="M17" s="14">
        <f t="shared" si="1"/>
        <v>20999871.477821622</v>
      </c>
      <c r="N17" s="14"/>
      <c r="O17" s="14">
        <v>50000000</v>
      </c>
      <c r="P17" s="14">
        <f t="shared" si="2"/>
        <v>416062978.56799346</v>
      </c>
      <c r="Q17" s="293">
        <v>66591182.123340555</v>
      </c>
      <c r="R17" s="234">
        <v>98075262.059237793</v>
      </c>
      <c r="S17" s="234">
        <v>109626247.43407962</v>
      </c>
      <c r="T17" s="234">
        <v>79681610.136033639</v>
      </c>
      <c r="U17" s="234">
        <v>36833665.072642863</v>
      </c>
      <c r="V17" s="234">
        <v>108972513.39915311</v>
      </c>
      <c r="W17" s="293">
        <v>419197366.07142854</v>
      </c>
      <c r="X17" s="234">
        <v>191147333.77397853</v>
      </c>
      <c r="Y17" s="186">
        <v>26030847.308709368</v>
      </c>
      <c r="Z17" s="186">
        <f t="shared" si="8"/>
        <v>1136156027.3786039</v>
      </c>
      <c r="AA17" s="184">
        <f t="shared" si="7"/>
        <v>-3637598332.9899659</v>
      </c>
      <c r="AB17" s="184">
        <f>'Collections and ACP'!K20</f>
        <v>699995715.92738748</v>
      </c>
      <c r="AC17" s="184">
        <f t="shared" si="4"/>
        <v>-2937602617.0625782</v>
      </c>
      <c r="AD17" s="184">
        <f t="shared" si="5"/>
        <v>1552219005.9465973</v>
      </c>
      <c r="AE17" s="196">
        <f t="shared" si="6"/>
        <v>-4489821623.0091753</v>
      </c>
      <c r="AF17" s="341">
        <v>-2300698203.3192201</v>
      </c>
      <c r="AG17" s="197"/>
      <c r="AH17" s="173"/>
      <c r="AI17" s="329"/>
      <c r="AJ17" s="3"/>
    </row>
    <row r="18" spans="1:36" x14ac:dyDescent="0.25">
      <c r="A18" s="165" t="s">
        <v>31</v>
      </c>
      <c r="B18" s="14"/>
      <c r="C18" s="14"/>
      <c r="D18" s="14">
        <f>'ABP Under Contract'!M18</f>
        <v>72614586.129999995</v>
      </c>
      <c r="E18" s="14">
        <f>'ABP Under Contract'!N18</f>
        <v>1577684.79</v>
      </c>
      <c r="F18" s="14"/>
      <c r="G18" s="14"/>
      <c r="H18" s="14"/>
      <c r="I18" s="14">
        <f t="shared" si="0"/>
        <v>22790653.063402295</v>
      </c>
      <c r="J18" s="14">
        <v>97930017.189601943</v>
      </c>
      <c r="K18" s="14">
        <v>128132891.86287358</v>
      </c>
      <c r="L18" s="14">
        <v>7132362.9141285662</v>
      </c>
      <c r="M18" s="14">
        <f t="shared" si="1"/>
        <v>21638874.837884035</v>
      </c>
      <c r="N18" s="14"/>
      <c r="O18" s="14">
        <v>50000000</v>
      </c>
      <c r="P18" s="14">
        <f t="shared" si="2"/>
        <v>401817070.78789037</v>
      </c>
      <c r="Q18" s="293">
        <v>63927534.838406928</v>
      </c>
      <c r="R18" s="234">
        <v>87585683.496484861</v>
      </c>
      <c r="S18" s="234">
        <v>114813298.5495684</v>
      </c>
      <c r="T18" s="234">
        <v>82712755.250487655</v>
      </c>
      <c r="U18" s="234">
        <v>33019473.249371469</v>
      </c>
      <c r="V18" s="234">
        <v>97317426.107205406</v>
      </c>
      <c r="W18" s="293">
        <v>452002976.19047624</v>
      </c>
      <c r="X18" s="234">
        <v>201974711.05263159</v>
      </c>
      <c r="Y18" s="186">
        <v>29391482.347456746</v>
      </c>
      <c r="Z18" s="186">
        <f t="shared" si="8"/>
        <v>1162745341.0820892</v>
      </c>
      <c r="AA18" s="184">
        <f t="shared" si="7"/>
        <v>-4489821623.0091753</v>
      </c>
      <c r="AB18" s="184">
        <f>'Collections and ACP'!K21</f>
        <v>721295827.92946792</v>
      </c>
      <c r="AC18" s="184">
        <f t="shared" si="4"/>
        <v>-3768525795.0797071</v>
      </c>
      <c r="AD18" s="184">
        <f t="shared" si="5"/>
        <v>1564562411.8699796</v>
      </c>
      <c r="AE18" s="196">
        <f>AC18-AD18</f>
        <v>-5333088206.949687</v>
      </c>
      <c r="AF18" s="341">
        <v>-2562141748.1310368</v>
      </c>
      <c r="AG18" s="197"/>
      <c r="AH18" s="173"/>
      <c r="AI18" s="329"/>
      <c r="AJ18" s="3"/>
    </row>
    <row r="19" spans="1:36" x14ac:dyDescent="0.25">
      <c r="A19" s="165" t="s">
        <v>32</v>
      </c>
      <c r="B19" s="14"/>
      <c r="C19" s="14"/>
      <c r="D19" s="14">
        <f>'ABP Under Contract'!M19</f>
        <v>72251854.329999998</v>
      </c>
      <c r="E19" s="14">
        <f>'ABP Under Contract'!N19</f>
        <v>1569827.9</v>
      </c>
      <c r="F19" s="14"/>
      <c r="G19" s="14"/>
      <c r="H19" s="14"/>
      <c r="I19" s="14">
        <f t="shared" si="0"/>
        <v>20115592.524979867</v>
      </c>
      <c r="J19" s="14">
        <v>108909796.53660236</v>
      </c>
      <c r="K19" s="14">
        <v>143034632.80233493</v>
      </c>
      <c r="L19" s="14">
        <v>7546384.7337663714</v>
      </c>
      <c r="M19" s="14">
        <f t="shared" si="1"/>
        <v>22135547.577141877</v>
      </c>
      <c r="N19" s="14"/>
      <c r="O19" s="14">
        <v>50000000</v>
      </c>
      <c r="P19" s="14">
        <f t="shared" si="2"/>
        <v>425563636.40482539</v>
      </c>
      <c r="Q19" s="234">
        <v>61370433.444870651</v>
      </c>
      <c r="R19" s="234">
        <v>77515688.076242045</v>
      </c>
      <c r="S19" s="234">
        <v>119745007.11537336</v>
      </c>
      <c r="T19" s="234">
        <v>85591562.512764022</v>
      </c>
      <c r="U19" s="234">
        <v>29487896.055717904</v>
      </c>
      <c r="V19" s="234">
        <v>86128542.306935623</v>
      </c>
      <c r="W19" s="293">
        <v>459317127.97619045</v>
      </c>
      <c r="X19" s="234">
        <v>210617918.0326212</v>
      </c>
      <c r="Y19" s="186">
        <v>32488871.200399365</v>
      </c>
      <c r="Z19" s="186">
        <f t="shared" si="8"/>
        <v>1162263046.7211146</v>
      </c>
      <c r="AA19" s="184">
        <f t="shared" si="7"/>
        <v>-5333088206.949687</v>
      </c>
      <c r="AB19" s="184">
        <f>'Collections and ACP'!K22</f>
        <v>737851585.90472925</v>
      </c>
      <c r="AC19" s="184">
        <f t="shared" si="4"/>
        <v>-4595236621.0449581</v>
      </c>
      <c r="AD19" s="184">
        <f t="shared" si="5"/>
        <v>1587826683.1259401</v>
      </c>
      <c r="AE19" s="196">
        <f t="shared" si="6"/>
        <v>-6183063304.1708984</v>
      </c>
      <c r="AF19" s="341">
        <v>-2775835737.5882993</v>
      </c>
      <c r="AG19" s="197"/>
      <c r="AH19" s="173"/>
      <c r="AI19" s="329"/>
      <c r="AJ19" s="3"/>
    </row>
    <row r="20" spans="1:36" x14ac:dyDescent="0.25">
      <c r="A20" s="165" t="s">
        <v>33</v>
      </c>
      <c r="B20" s="14"/>
      <c r="C20" s="14"/>
      <c r="D20" s="14">
        <f>'ABP Under Contract'!M20</f>
        <v>71890701.040000007</v>
      </c>
      <c r="E20" s="14">
        <f>'ABP Under Contract'!N20</f>
        <v>1562026.26</v>
      </c>
      <c r="F20" s="14"/>
      <c r="G20" s="14"/>
      <c r="H20" s="14"/>
      <c r="I20" s="14">
        <f t="shared" si="0"/>
        <v>8502461.7215775736</v>
      </c>
      <c r="J20" s="14">
        <v>113791410.22928861</v>
      </c>
      <c r="K20" s="14">
        <v>149195067.65657625</v>
      </c>
      <c r="L20" s="14">
        <v>7707582.6617976055</v>
      </c>
      <c r="M20" s="14">
        <f t="shared" si="1"/>
        <v>22499312.827168688</v>
      </c>
      <c r="N20" s="14"/>
      <c r="O20" s="14">
        <v>50000000</v>
      </c>
      <c r="P20" s="14">
        <f t="shared" si="2"/>
        <v>425148562.39640874</v>
      </c>
      <c r="Q20" s="234">
        <v>58915616.107075825</v>
      </c>
      <c r="R20" s="234">
        <v>67848492.472808972</v>
      </c>
      <c r="S20" s="234">
        <v>124431826.13600717</v>
      </c>
      <c r="T20" s="234">
        <v>88324280.897187874</v>
      </c>
      <c r="U20" s="234">
        <v>26097581.949810486</v>
      </c>
      <c r="V20" s="234">
        <v>75387213.858676642</v>
      </c>
      <c r="W20" s="293">
        <v>463817455.35714298</v>
      </c>
      <c r="X20" s="234">
        <v>255258802.2506797</v>
      </c>
      <c r="Y20" s="186">
        <v>38701874.805159211</v>
      </c>
      <c r="Z20" s="186">
        <f t="shared" si="8"/>
        <v>1198783143.834549</v>
      </c>
      <c r="AA20" s="184">
        <f t="shared" si="7"/>
        <v>-6183063304.1708984</v>
      </c>
      <c r="AB20" s="184">
        <f>'Collections and ACP'!K23</f>
        <v>749977094.23895633</v>
      </c>
      <c r="AC20" s="184">
        <f t="shared" si="4"/>
        <v>-5433086209.931942</v>
      </c>
      <c r="AD20" s="184">
        <f t="shared" si="5"/>
        <v>1623931706.2309577</v>
      </c>
      <c r="AE20" s="196">
        <f t="shared" si="6"/>
        <v>-7057017916.1629</v>
      </c>
      <c r="AF20" s="341">
        <v>-2930736480.5495625</v>
      </c>
      <c r="AG20" s="197"/>
      <c r="AH20" s="173"/>
      <c r="AI20" s="329"/>
      <c r="AJ20" s="3"/>
    </row>
    <row r="21" spans="1:36" x14ac:dyDescent="0.25">
      <c r="A21" s="165" t="s">
        <v>34</v>
      </c>
      <c r="B21" s="14"/>
      <c r="C21" s="14"/>
      <c r="D21" s="14">
        <f>'ABP Under Contract'!M21</f>
        <v>71531071.140000001</v>
      </c>
      <c r="E21" s="14">
        <f>'ABP Under Contract'!N21</f>
        <v>1553979.52</v>
      </c>
      <c r="F21" s="14"/>
      <c r="G21" s="14"/>
      <c r="H21" s="14"/>
      <c r="I21" s="14">
        <f t="shared" si="0"/>
        <v>2622658.7999999998</v>
      </c>
      <c r="J21" s="14">
        <v>115136271.40149088</v>
      </c>
      <c r="K21" s="14">
        <v>150333818.38367623</v>
      </c>
      <c r="L21" s="14">
        <v>7723574.9479541089</v>
      </c>
      <c r="M21" s="14">
        <f t="shared" si="1"/>
        <v>22653690.409483574</v>
      </c>
      <c r="N21" s="14"/>
      <c r="O21" s="14">
        <v>50000000</v>
      </c>
      <c r="P21" s="14">
        <f t="shared" si="2"/>
        <v>421555064.60260481</v>
      </c>
      <c r="Q21" s="234">
        <v>56558991.462792791</v>
      </c>
      <c r="R21" s="234">
        <v>58567984.6935132</v>
      </c>
      <c r="S21" s="234">
        <v>128883789.29928944</v>
      </c>
      <c r="T21" s="234">
        <v>90916908.641810104</v>
      </c>
      <c r="U21" s="234">
        <v>22842880.408139363</v>
      </c>
      <c r="V21" s="234">
        <v>65075538.548348002</v>
      </c>
      <c r="W21" s="293">
        <v>544266666.66666651</v>
      </c>
      <c r="X21" s="234">
        <v>288778980.96965569</v>
      </c>
      <c r="Y21" s="186">
        <v>44000457.219539605</v>
      </c>
      <c r="Z21" s="186">
        <f t="shared" si="8"/>
        <v>1299892197.9097548</v>
      </c>
      <c r="AA21" s="184">
        <f t="shared" si="7"/>
        <v>-7057017916.1629</v>
      </c>
      <c r="AB21" s="184">
        <f>'Collections and ACP'!K24</f>
        <v>755123013.64945257</v>
      </c>
      <c r="AC21" s="184">
        <f t="shared" si="4"/>
        <v>-6301894902.5134478</v>
      </c>
      <c r="AD21" s="184">
        <f t="shared" si="5"/>
        <v>1721447262.5123596</v>
      </c>
      <c r="AE21" s="196">
        <f t="shared" si="6"/>
        <v>-8023342165.0258074</v>
      </c>
      <c r="AF21" s="341">
        <v>-3038156870.5215445</v>
      </c>
      <c r="AG21" s="197"/>
      <c r="AH21" s="173"/>
      <c r="AI21" s="329"/>
      <c r="AJ21" s="3"/>
    </row>
    <row r="22" spans="1:36" x14ac:dyDescent="0.25">
      <c r="A22" s="165" t="s">
        <v>35</v>
      </c>
      <c r="B22" s="14"/>
      <c r="C22" s="14"/>
      <c r="D22" s="14">
        <f>'ABP Under Contract'!M22</f>
        <v>71173258.040000007</v>
      </c>
      <c r="E22" s="14">
        <f>'ABP Under Contract'!N22</f>
        <v>1546350.22</v>
      </c>
      <c r="F22" s="14"/>
      <c r="G22" s="14"/>
      <c r="H22" s="14"/>
      <c r="I22" s="14">
        <f t="shared" si="0"/>
        <v>2622658.7999999998</v>
      </c>
      <c r="J22" s="14">
        <v>118708133.2262592</v>
      </c>
      <c r="K22" s="14">
        <v>154562827.83027405</v>
      </c>
      <c r="L22" s="14">
        <v>7829061.5132002104</v>
      </c>
      <c r="M22" s="14">
        <f t="shared" si="1"/>
        <v>22801622.582818713</v>
      </c>
      <c r="N22" s="14"/>
      <c r="O22" s="14">
        <v>50000000</v>
      </c>
      <c r="P22" s="14">
        <f t="shared" si="2"/>
        <v>429243912.21255219</v>
      </c>
      <c r="Q22" s="234">
        <v>54296631.804281078</v>
      </c>
      <c r="R22" s="234">
        <v>49658697.225389272</v>
      </c>
      <c r="S22" s="234">
        <v>133110527.75499675</v>
      </c>
      <c r="T22" s="234">
        <v>93375203.281744882</v>
      </c>
      <c r="U22" s="234">
        <v>19718366.928135086</v>
      </c>
      <c r="V22" s="234">
        <v>55176330.250432521</v>
      </c>
      <c r="W22" s="293">
        <v>599967296.62698412</v>
      </c>
      <c r="X22" s="234">
        <v>314538202.28665257</v>
      </c>
      <c r="Y22" s="186">
        <v>48614493.607635848</v>
      </c>
      <c r="Z22" s="186">
        <f t="shared" si="8"/>
        <v>1368455749.766252</v>
      </c>
      <c r="AA22" s="184">
        <f t="shared" si="7"/>
        <v>-8023342165.0258074</v>
      </c>
      <c r="AB22" s="184">
        <f>'Collections and ACP'!K25</f>
        <v>760054086.09395719</v>
      </c>
      <c r="AC22" s="184">
        <f t="shared" si="4"/>
        <v>-7263288078.9318504</v>
      </c>
      <c r="AD22" s="184">
        <f t="shared" si="5"/>
        <v>1797699661.9788041</v>
      </c>
      <c r="AE22" s="196">
        <f t="shared" si="6"/>
        <v>-9060987740.9106541</v>
      </c>
      <c r="AF22" s="341">
        <v>-3091744074.6921563</v>
      </c>
      <c r="AG22" s="197"/>
      <c r="AH22" s="173"/>
      <c r="AI22" s="329"/>
      <c r="AJ22" s="3"/>
    </row>
    <row r="23" spans="1:36" x14ac:dyDescent="0.25">
      <c r="A23" s="165" t="s">
        <v>36</v>
      </c>
      <c r="B23" s="14"/>
      <c r="C23" s="14"/>
      <c r="D23" s="14">
        <f>'ABP Under Contract'!M23</f>
        <v>70817528.530000001</v>
      </c>
      <c r="E23" s="14">
        <f>'ABP Under Contract'!N23</f>
        <v>1538466.73</v>
      </c>
      <c r="F23" s="14"/>
      <c r="G23" s="14"/>
      <c r="H23" s="14"/>
      <c r="I23" s="14">
        <f t="shared" si="0"/>
        <v>2622658.7999999998</v>
      </c>
      <c r="J23" s="14">
        <v>121985171.58818349</v>
      </c>
      <c r="K23" s="14">
        <v>158336736.39840105</v>
      </c>
      <c r="L23" s="14">
        <v>7921465.1350494791</v>
      </c>
      <c r="M23" s="14">
        <f t="shared" si="1"/>
        <v>22896692.408557206</v>
      </c>
      <c r="N23" s="14"/>
      <c r="O23" s="14">
        <v>50000000</v>
      </c>
      <c r="P23" s="14">
        <f t="shared" si="2"/>
        <v>436118719.59019125</v>
      </c>
      <c r="Q23" s="234">
        <v>52124766.532109834</v>
      </c>
      <c r="R23" s="234">
        <v>41105781.255990282</v>
      </c>
      <c r="S23" s="234">
        <v>137121286.22233737</v>
      </c>
      <c r="T23" s="234">
        <v>95704691.28115423</v>
      </c>
      <c r="U23" s="234">
        <v>16718833.987330984</v>
      </c>
      <c r="V23" s="234">
        <v>45673090.284433648</v>
      </c>
      <c r="W23" s="293">
        <v>639541383.92857111</v>
      </c>
      <c r="X23" s="234">
        <v>347123791.16612303</v>
      </c>
      <c r="Y23" s="186">
        <v>53868079.619530901</v>
      </c>
      <c r="Z23" s="186">
        <f t="shared" si="8"/>
        <v>1428981704.2775815</v>
      </c>
      <c r="AA23" s="184">
        <f t="shared" si="7"/>
        <v>-9060987740.9106541</v>
      </c>
      <c r="AB23" s="184">
        <f>'Collections and ACP'!K26</f>
        <v>763223080.28524029</v>
      </c>
      <c r="AC23" s="184">
        <f t="shared" si="4"/>
        <v>-8297764660.6254139</v>
      </c>
      <c r="AD23" s="184">
        <f t="shared" si="5"/>
        <v>1865100423.8677726</v>
      </c>
      <c r="AE23" s="196">
        <f t="shared" si="6"/>
        <v>-10162865084.493187</v>
      </c>
      <c r="AF23" s="341">
        <v>-3091721047.5577049</v>
      </c>
      <c r="AG23" s="197"/>
      <c r="AH23" s="173"/>
      <c r="AI23" s="329"/>
      <c r="AJ23" s="3"/>
    </row>
    <row r="24" spans="1:36" x14ac:dyDescent="0.25">
      <c r="A24" s="165" t="s">
        <v>37</v>
      </c>
      <c r="B24" s="14"/>
      <c r="C24" s="14"/>
      <c r="D24" s="14">
        <f>'ABP Under Contract'!M24</f>
        <v>70462881.260000005</v>
      </c>
      <c r="E24" s="14">
        <f>'ABP Under Contract'!N24</f>
        <v>1530999.8</v>
      </c>
      <c r="F24" s="14"/>
      <c r="G24" s="14"/>
      <c r="H24" s="14"/>
      <c r="I24" s="14">
        <f t="shared" si="0"/>
        <v>0</v>
      </c>
      <c r="J24" s="14">
        <v>123260651.82194009</v>
      </c>
      <c r="K24" s="14">
        <v>159305867.82734659</v>
      </c>
      <c r="L24" s="14">
        <v>7932802.9313125582</v>
      </c>
      <c r="M24" s="14">
        <f t="shared" si="1"/>
        <v>23015743.307197146</v>
      </c>
      <c r="N24" s="14"/>
      <c r="O24" s="14">
        <v>50000000</v>
      </c>
      <c r="P24" s="14">
        <f t="shared" si="2"/>
        <v>435508946.9477964</v>
      </c>
      <c r="Q24" s="234">
        <v>50039775.87082544</v>
      </c>
      <c r="R24" s="234">
        <v>39461550.005750671</v>
      </c>
      <c r="S24" s="234">
        <v>140924938.45309666</v>
      </c>
      <c r="T24" s="234">
        <v>97910677.27993381</v>
      </c>
      <c r="U24" s="234">
        <v>13839282.364159042</v>
      </c>
      <c r="V24" s="234">
        <v>43846166.673056304</v>
      </c>
      <c r="W24" s="293">
        <v>692283779.76190448</v>
      </c>
      <c r="X24" s="234">
        <v>380047959.8188976</v>
      </c>
      <c r="Y24" s="186">
        <v>59169844.935610197</v>
      </c>
      <c r="Z24" s="186">
        <f t="shared" si="8"/>
        <v>1517523975.1632342</v>
      </c>
      <c r="AA24" s="184">
        <f t="shared" si="7"/>
        <v>-10162865084.493187</v>
      </c>
      <c r="AB24" s="184">
        <f>'Collections and ACP'!K27</f>
        <v>767191443.57323825</v>
      </c>
      <c r="AC24" s="184">
        <f t="shared" si="4"/>
        <v>-9395673640.9199486</v>
      </c>
      <c r="AD24" s="184">
        <f t="shared" si="5"/>
        <v>1953032922.1110306</v>
      </c>
      <c r="AE24" s="196">
        <f t="shared" si="6"/>
        <v>-11348706563.030979</v>
      </c>
      <c r="AF24" s="341">
        <v>-3047892722.2644901</v>
      </c>
      <c r="AG24" s="197"/>
      <c r="AH24" s="173"/>
      <c r="AI24" s="329"/>
      <c r="AJ24" s="3"/>
    </row>
    <row r="25" spans="1:36" x14ac:dyDescent="0.25">
      <c r="A25" s="165" t="s">
        <v>38</v>
      </c>
      <c r="B25" s="14"/>
      <c r="C25" s="14"/>
      <c r="D25" s="14">
        <f>'ABP Under Contract'!M25</f>
        <v>70111192.060000002</v>
      </c>
      <c r="E25" s="14">
        <f>'ABP Under Contract'!N25</f>
        <v>1523423.8</v>
      </c>
      <c r="F25" s="14"/>
      <c r="G25" s="14"/>
      <c r="H25" s="14"/>
      <c r="I25" s="14">
        <f t="shared" si="0"/>
        <v>0</v>
      </c>
      <c r="J25" s="14">
        <v>125327074.75397751</v>
      </c>
      <c r="K25" s="14">
        <v>161347795.47474805</v>
      </c>
      <c r="L25" s="14">
        <v>7975263.1194741381</v>
      </c>
      <c r="M25" s="14">
        <f t="shared" si="1"/>
        <v>23106390.458387073</v>
      </c>
      <c r="N25" s="14"/>
      <c r="O25" s="14">
        <v>50000000</v>
      </c>
      <c r="P25" s="14">
        <f t="shared" si="2"/>
        <v>439391139.66658676</v>
      </c>
      <c r="Q25" s="234">
        <v>0</v>
      </c>
      <c r="R25" s="234">
        <v>32867384.000122029</v>
      </c>
      <c r="S25" s="234">
        <v>144530002.07622734</v>
      </c>
      <c r="T25" s="234">
        <v>97421123.893534169</v>
      </c>
      <c r="U25" s="234">
        <v>13285711.069592677</v>
      </c>
      <c r="V25" s="234">
        <v>36519315.555691153</v>
      </c>
      <c r="W25" s="293">
        <v>745245456.34920645</v>
      </c>
      <c r="X25" s="234">
        <v>407564420.61612934</v>
      </c>
      <c r="Y25" s="186">
        <v>63963935.520408355</v>
      </c>
      <c r="Z25" s="186">
        <f t="shared" si="8"/>
        <v>1541397349.0809116</v>
      </c>
      <c r="AA25" s="184">
        <f t="shared" si="7"/>
        <v>-11348706563.030979</v>
      </c>
      <c r="AB25" s="184">
        <f>'Collections and ACP'!K28</f>
        <v>770213015.27956915</v>
      </c>
      <c r="AC25" s="184">
        <f t="shared" si="4"/>
        <v>-10578493547.75141</v>
      </c>
      <c r="AD25" s="184">
        <f t="shared" si="5"/>
        <v>1980788488.7474985</v>
      </c>
      <c r="AE25" s="196">
        <f t="shared" si="6"/>
        <v>-12559282036.498909</v>
      </c>
      <c r="AF25" s="341">
        <v>-2905622841.7497258</v>
      </c>
      <c r="AG25" s="197"/>
      <c r="AH25" s="173"/>
      <c r="AI25" s="329"/>
      <c r="AJ25" s="3"/>
    </row>
    <row r="26" spans="1:36" x14ac:dyDescent="0.25">
      <c r="A26" s="165" t="s">
        <v>39</v>
      </c>
      <c r="B26" s="14"/>
      <c r="C26" s="14"/>
      <c r="D26" s="14">
        <f>'ABP Under Contract'!M26</f>
        <v>69760575.620000005</v>
      </c>
      <c r="E26" s="14">
        <f>'ABP Under Contract'!N26</f>
        <v>1515730.92</v>
      </c>
      <c r="F26" s="14"/>
      <c r="G26" s="14"/>
      <c r="H26" s="14"/>
      <c r="I26" s="14">
        <f t="shared" si="0"/>
        <v>0</v>
      </c>
      <c r="J26" s="14">
        <v>128116807.62697619</v>
      </c>
      <c r="K26" s="14">
        <v>164353898.46595925</v>
      </c>
      <c r="L26" s="14">
        <v>-5809350.6097917501</v>
      </c>
      <c r="M26" s="14">
        <f t="shared" si="1"/>
        <v>23199678.287410907</v>
      </c>
      <c r="N26" s="14"/>
      <c r="O26" s="14">
        <v>50000000</v>
      </c>
      <c r="P26" s="14">
        <f t="shared" si="2"/>
        <v>431137340.31055462</v>
      </c>
      <c r="Q26" s="234">
        <v>0</v>
      </c>
      <c r="R26" s="234">
        <v>26815634.857240681</v>
      </c>
      <c r="S26" s="234">
        <v>143807352.06584623</v>
      </c>
      <c r="T26" s="234">
        <v>96934018.274066478</v>
      </c>
      <c r="U26" s="234">
        <v>11065621.278823055</v>
      </c>
      <c r="V26" s="234">
        <v>29795149.84137854</v>
      </c>
      <c r="W26" s="293">
        <v>787725223.21428525</v>
      </c>
      <c r="X26" s="234">
        <v>438173391.03408158</v>
      </c>
      <c r="Y26" s="186">
        <v>69056402.612668991</v>
      </c>
      <c r="Z26" s="186">
        <f t="shared" si="8"/>
        <v>1603372793.178391</v>
      </c>
      <c r="AA26" s="184">
        <f t="shared" si="7"/>
        <v>-12559282036.498909</v>
      </c>
      <c r="AB26" s="184">
        <f>'Collections and ACP'!K29</f>
        <v>773322609.58036363</v>
      </c>
      <c r="AC26" s="184">
        <f t="shared" si="4"/>
        <v>-11785959426.918545</v>
      </c>
      <c r="AD26" s="184">
        <f t="shared" si="5"/>
        <v>2034510133.4889455</v>
      </c>
      <c r="AE26" s="196">
        <f t="shared" si="6"/>
        <v>-13820469560.40749</v>
      </c>
      <c r="AF26" s="341">
        <v>-2611413583.4388251</v>
      </c>
      <c r="AG26" s="197"/>
      <c r="AH26" s="173"/>
      <c r="AI26" s="329"/>
      <c r="AJ26" s="3"/>
    </row>
    <row r="27" spans="1:36" x14ac:dyDescent="0.25">
      <c r="A27" s="165" t="s">
        <v>158</v>
      </c>
      <c r="B27" s="14"/>
      <c r="C27" s="14"/>
      <c r="D27" s="14">
        <f>'ABP Under Contract'!M27</f>
        <v>57406147.950000003</v>
      </c>
      <c r="E27" s="14">
        <f>'ABP Under Contract'!N27</f>
        <v>1508049.87</v>
      </c>
      <c r="F27" s="14"/>
      <c r="G27" s="14"/>
      <c r="H27" s="14"/>
      <c r="I27" s="14">
        <f t="shared" si="0"/>
        <v>0</v>
      </c>
      <c r="J27" s="14"/>
      <c r="K27" s="14"/>
      <c r="L27" s="14"/>
      <c r="M27" s="14">
        <f t="shared" si="1"/>
        <v>23199678.287410907</v>
      </c>
      <c r="N27" s="14"/>
      <c r="O27" s="14">
        <v>50000000</v>
      </c>
      <c r="P27" s="14">
        <f t="shared" si="2"/>
        <v>132113876.10741091</v>
      </c>
      <c r="Q27" s="234"/>
      <c r="R27" s="234"/>
      <c r="S27" s="234"/>
      <c r="T27" s="234"/>
      <c r="U27" s="234"/>
      <c r="V27" s="234"/>
      <c r="W27" s="293">
        <v>835962842.26190472</v>
      </c>
      <c r="X27" s="234">
        <v>472202133.23218566</v>
      </c>
      <c r="Y27" s="186">
        <v>74473765.88749218</v>
      </c>
      <c r="Z27" s="186">
        <f t="shared" si="8"/>
        <v>1382638741.3815825</v>
      </c>
      <c r="AA27" s="184">
        <f t="shared" ref="AA27" si="9">AE26</f>
        <v>-13820469560.40749</v>
      </c>
      <c r="AB27" s="184">
        <f>AB26</f>
        <v>773322609.58036363</v>
      </c>
      <c r="AC27" s="184">
        <f t="shared" si="4"/>
        <v>-13047146950.827126</v>
      </c>
      <c r="AD27" s="184">
        <f t="shared" ref="AD27" si="10">P27+Z27</f>
        <v>1514752617.4889934</v>
      </c>
      <c r="AE27" s="196">
        <f t="shared" ref="AE27" si="11">AC27-AD27</f>
        <v>-14561899568.316118</v>
      </c>
      <c r="AF27" s="341">
        <v>-1844730292.8679144</v>
      </c>
      <c r="AG27" s="197"/>
      <c r="AH27" s="173"/>
      <c r="AI27" s="329"/>
      <c r="AJ27" s="3"/>
    </row>
    <row r="28" spans="1:36" x14ac:dyDescent="0.25">
      <c r="AA28" s="19"/>
      <c r="AB28" s="17"/>
    </row>
    <row r="29" spans="1:36" x14ac:dyDescent="0.25">
      <c r="A29" s="168" t="s">
        <v>40</v>
      </c>
      <c r="B29" s="20">
        <v>0.2896143019416435</v>
      </c>
    </row>
    <row r="30" spans="1:36" ht="60" x14ac:dyDescent="0.25">
      <c r="A30" s="164" t="s">
        <v>1</v>
      </c>
      <c r="B30" s="164" t="s">
        <v>184</v>
      </c>
      <c r="C30" s="164" t="s">
        <v>185</v>
      </c>
      <c r="D30" s="164" t="s">
        <v>214</v>
      </c>
      <c r="E30" s="164" t="s">
        <v>144</v>
      </c>
      <c r="F30" s="164" t="s">
        <v>215</v>
      </c>
      <c r="G30" s="164" t="s">
        <v>216</v>
      </c>
      <c r="H30" s="164" t="s">
        <v>217</v>
      </c>
      <c r="I30" s="13" t="s">
        <v>218</v>
      </c>
      <c r="J30" s="13" t="s">
        <v>219</v>
      </c>
      <c r="K30" s="13" t="s">
        <v>220</v>
      </c>
      <c r="L30" s="13" t="s">
        <v>221</v>
      </c>
      <c r="M30" s="164" t="s">
        <v>222</v>
      </c>
      <c r="N30" s="164" t="s">
        <v>223</v>
      </c>
      <c r="O30" s="164" t="s">
        <v>202</v>
      </c>
      <c r="P30" s="13" t="s">
        <v>200</v>
      </c>
      <c r="Q30" s="188" t="s">
        <v>184</v>
      </c>
      <c r="R30" s="188" t="s">
        <v>185</v>
      </c>
      <c r="S30" s="188" t="s">
        <v>139</v>
      </c>
      <c r="T30" s="188" t="s">
        <v>144</v>
      </c>
      <c r="U30" s="188" t="s">
        <v>148</v>
      </c>
      <c r="V30" s="188" t="s">
        <v>151</v>
      </c>
      <c r="W30" s="188" t="s">
        <v>81</v>
      </c>
      <c r="X30" s="188" t="s">
        <v>82</v>
      </c>
      <c r="Y30" s="188" t="s">
        <v>77</v>
      </c>
      <c r="Z30" s="188" t="s">
        <v>224</v>
      </c>
      <c r="AA30" s="13" t="s">
        <v>225</v>
      </c>
      <c r="AB30" s="13" t="s">
        <v>226</v>
      </c>
      <c r="AC30" s="13" t="s">
        <v>227</v>
      </c>
      <c r="AD30" s="164" t="s">
        <v>165</v>
      </c>
      <c r="AE30" s="164" t="s">
        <v>228</v>
      </c>
    </row>
    <row r="31" spans="1:36" x14ac:dyDescent="0.25">
      <c r="A31" s="165" t="s">
        <v>16</v>
      </c>
      <c r="B31" s="14">
        <f t="shared" ref="B31:G40" si="12">B4*$B$29</f>
        <v>39952507.470163167</v>
      </c>
      <c r="C31" s="14">
        <f t="shared" si="12"/>
        <v>14081509.106965009</v>
      </c>
      <c r="D31" s="14">
        <f t="shared" si="12"/>
        <v>8685259.9769194517</v>
      </c>
      <c r="E31" s="14">
        <f t="shared" si="12"/>
        <v>0</v>
      </c>
      <c r="F31" s="14">
        <f t="shared" si="12"/>
        <v>0</v>
      </c>
      <c r="G31" s="14">
        <f t="shared" si="12"/>
        <v>0</v>
      </c>
      <c r="H31" s="15">
        <v>7753000</v>
      </c>
      <c r="I31" s="15">
        <v>1365128.2799999998</v>
      </c>
      <c r="J31" s="15">
        <f t="shared" ref="J31:L54" si="13">J4*$B$29</f>
        <v>0</v>
      </c>
      <c r="K31" s="15">
        <f t="shared" si="13"/>
        <v>0</v>
      </c>
      <c r="L31" s="15">
        <f t="shared" si="13"/>
        <v>0</v>
      </c>
      <c r="M31" s="15">
        <f t="shared" ref="M31:M54" si="14">$B$29*M4</f>
        <v>1956947.0137069982</v>
      </c>
      <c r="N31" s="15"/>
      <c r="O31" s="15">
        <f t="shared" ref="O31:O54" si="15">$B$29*O4</f>
        <v>3261578.3561783303</v>
      </c>
      <c r="P31" s="15">
        <f>SUM(B31:O31)</f>
        <v>77055930.203932941</v>
      </c>
      <c r="Q31" s="166">
        <f t="shared" ref="Q31:Y31" si="16">$B$29*Q4</f>
        <v>0</v>
      </c>
      <c r="R31" s="166">
        <f t="shared" si="16"/>
        <v>0</v>
      </c>
      <c r="S31" s="166">
        <f t="shared" si="16"/>
        <v>0</v>
      </c>
      <c r="T31" s="166">
        <f t="shared" si="16"/>
        <v>0</v>
      </c>
      <c r="U31" s="166">
        <f t="shared" si="16"/>
        <v>0</v>
      </c>
      <c r="V31" s="166">
        <f t="shared" si="16"/>
        <v>0</v>
      </c>
      <c r="W31" s="166">
        <f t="shared" si="16"/>
        <v>0</v>
      </c>
      <c r="X31" s="166">
        <f t="shared" si="16"/>
        <v>0</v>
      </c>
      <c r="Y31" s="166">
        <f t="shared" si="16"/>
        <v>0</v>
      </c>
      <c r="Z31" s="185"/>
      <c r="AA31" s="167">
        <f>'Collections and ACP'!B149+'Collections and ACP'!B141</f>
        <v>87829264.295962796</v>
      </c>
      <c r="AB31" s="167">
        <f>'Collections and ACP'!K39</f>
        <v>64309855.295962796</v>
      </c>
      <c r="AC31" s="167">
        <f t="shared" ref="AC31:AC54" si="17">AA31+AB31</f>
        <v>152139119.59192559</v>
      </c>
      <c r="AD31" s="167">
        <f>P31+Z31</f>
        <v>77055930.203932941</v>
      </c>
      <c r="AE31" s="16">
        <f t="shared" ref="AE31:AE54" si="18">AC31-AD31</f>
        <v>75083189.38799265</v>
      </c>
    </row>
    <row r="32" spans="1:36" x14ac:dyDescent="0.25">
      <c r="A32" s="165" t="s">
        <v>17</v>
      </c>
      <c r="B32" s="14">
        <f t="shared" si="12"/>
        <v>17942501.591175281</v>
      </c>
      <c r="C32" s="14">
        <f t="shared" si="12"/>
        <v>17579043.658762399</v>
      </c>
      <c r="D32" s="14">
        <f t="shared" si="12"/>
        <v>24383297.648460057</v>
      </c>
      <c r="E32" s="14">
        <f t="shared" si="12"/>
        <v>0</v>
      </c>
      <c r="F32" s="14">
        <f t="shared" si="12"/>
        <v>0</v>
      </c>
      <c r="G32" s="14">
        <f t="shared" si="12"/>
        <v>0</v>
      </c>
      <c r="H32" s="15">
        <v>5554000</v>
      </c>
      <c r="I32" s="15">
        <v>5431217.937169807</v>
      </c>
      <c r="J32" s="15">
        <f t="shared" si="13"/>
        <v>0</v>
      </c>
      <c r="K32" s="15">
        <f t="shared" si="13"/>
        <v>0</v>
      </c>
      <c r="L32" s="15">
        <f t="shared" si="13"/>
        <v>0</v>
      </c>
      <c r="M32" s="15">
        <f t="shared" si="14"/>
        <v>4037841.7223626804</v>
      </c>
      <c r="N32" s="15"/>
      <c r="O32" s="15">
        <f t="shared" si="15"/>
        <v>14480715.097082175</v>
      </c>
      <c r="P32" s="15">
        <f t="shared" ref="P32:P53" si="19">SUM(B32:O32)</f>
        <v>89408617.655012399</v>
      </c>
      <c r="Q32" s="166">
        <f t="shared" ref="Q32:Y32" si="20">$B$29*Q5</f>
        <v>0</v>
      </c>
      <c r="R32" s="166">
        <f t="shared" si="20"/>
        <v>0</v>
      </c>
      <c r="S32" s="166">
        <f t="shared" si="20"/>
        <v>0</v>
      </c>
      <c r="T32" s="166">
        <f t="shared" si="20"/>
        <v>0</v>
      </c>
      <c r="U32" s="166">
        <f t="shared" si="20"/>
        <v>0</v>
      </c>
      <c r="V32" s="166">
        <f t="shared" si="20"/>
        <v>0</v>
      </c>
      <c r="W32" s="166">
        <f t="shared" si="20"/>
        <v>0</v>
      </c>
      <c r="X32" s="166">
        <f t="shared" si="20"/>
        <v>0</v>
      </c>
      <c r="Y32" s="166">
        <f t="shared" si="20"/>
        <v>0</v>
      </c>
      <c r="Z32" s="185"/>
      <c r="AA32" s="167">
        <f t="shared" ref="AA32:AA54" si="21">AE31</f>
        <v>75083189.38799265</v>
      </c>
      <c r="AB32" s="167">
        <f>'Collections and ACP'!K40</f>
        <v>129499575.18679999</v>
      </c>
      <c r="AC32" s="167">
        <f t="shared" si="17"/>
        <v>204582764.57479262</v>
      </c>
      <c r="AD32" s="167">
        <f t="shared" ref="AD32:AD54" si="22">P32+Z32</f>
        <v>89408617.655012399</v>
      </c>
      <c r="AE32" s="16">
        <f t="shared" si="18"/>
        <v>115174146.91978022</v>
      </c>
    </row>
    <row r="33" spans="1:32" x14ac:dyDescent="0.25">
      <c r="A33" s="165" t="s">
        <v>18</v>
      </c>
      <c r="B33" s="14">
        <f t="shared" si="12"/>
        <v>25709146.877667759</v>
      </c>
      <c r="C33" s="14">
        <f t="shared" si="12"/>
        <v>18931542.683417454</v>
      </c>
      <c r="D33" s="14">
        <f t="shared" si="12"/>
        <v>29580385.742112149</v>
      </c>
      <c r="E33" s="14">
        <f t="shared" si="12"/>
        <v>0</v>
      </c>
      <c r="F33" s="14">
        <f t="shared" si="12"/>
        <v>0</v>
      </c>
      <c r="G33" s="14">
        <f t="shared" si="12"/>
        <v>0</v>
      </c>
      <c r="H33" s="15">
        <v>4842000</v>
      </c>
      <c r="I33" s="15">
        <v>6666673.3471698072</v>
      </c>
      <c r="J33" s="15">
        <f t="shared" si="13"/>
        <v>0</v>
      </c>
      <c r="K33" s="15">
        <f t="shared" si="13"/>
        <v>0</v>
      </c>
      <c r="L33" s="15">
        <f t="shared" si="13"/>
        <v>0</v>
      </c>
      <c r="M33" s="15">
        <f t="shared" si="14"/>
        <v>5104130.5421990799</v>
      </c>
      <c r="N33" s="15"/>
      <c r="O33" s="15">
        <f t="shared" si="15"/>
        <v>14480715.097082175</v>
      </c>
      <c r="P33" s="15">
        <f t="shared" si="19"/>
        <v>105314594.28964841</v>
      </c>
      <c r="Q33" s="166">
        <f t="shared" ref="Q33:Y33" si="23">$B$29*Q6</f>
        <v>0</v>
      </c>
      <c r="R33" s="166">
        <f t="shared" si="23"/>
        <v>0</v>
      </c>
      <c r="S33" s="166">
        <f t="shared" si="23"/>
        <v>0</v>
      </c>
      <c r="T33" s="166">
        <f t="shared" si="23"/>
        <v>0</v>
      </c>
      <c r="U33" s="166">
        <f t="shared" si="23"/>
        <v>0</v>
      </c>
      <c r="V33" s="166">
        <f t="shared" si="23"/>
        <v>0</v>
      </c>
      <c r="W33" s="166">
        <f t="shared" si="23"/>
        <v>0</v>
      </c>
      <c r="X33" s="166">
        <f t="shared" si="23"/>
        <v>0</v>
      </c>
      <c r="Y33" s="166">
        <f t="shared" si="23"/>
        <v>0</v>
      </c>
      <c r="Z33" s="186"/>
      <c r="AA33" s="167">
        <f t="shared" si="21"/>
        <v>115174146.91978022</v>
      </c>
      <c r="AB33" s="167">
        <f>'Collections and ACP'!K41</f>
        <v>160483342.72150001</v>
      </c>
      <c r="AC33" s="167">
        <f t="shared" si="17"/>
        <v>275657489.64128023</v>
      </c>
      <c r="AD33" s="167">
        <f t="shared" si="22"/>
        <v>105314594.28964841</v>
      </c>
      <c r="AE33" s="16">
        <f t="shared" si="18"/>
        <v>170342895.35163182</v>
      </c>
      <c r="AF33" s="17"/>
    </row>
    <row r="34" spans="1:32" x14ac:dyDescent="0.25">
      <c r="A34" s="165" t="s">
        <v>19</v>
      </c>
      <c r="B34" s="14">
        <f t="shared" si="12"/>
        <v>78581781.154164329</v>
      </c>
      <c r="C34" s="14">
        <f t="shared" si="12"/>
        <v>24131142.254373122</v>
      </c>
      <c r="D34" s="14">
        <f t="shared" si="12"/>
        <v>34222559.925134614</v>
      </c>
      <c r="E34" s="14">
        <f t="shared" si="12"/>
        <v>0</v>
      </c>
      <c r="F34" s="14">
        <f t="shared" si="12"/>
        <v>0</v>
      </c>
      <c r="G34" s="14">
        <f t="shared" si="12"/>
        <v>0</v>
      </c>
      <c r="H34" s="15">
        <v>3400999.9999999995</v>
      </c>
      <c r="I34" s="15">
        <v>6627071.8807588778</v>
      </c>
      <c r="J34" s="15">
        <f t="shared" si="13"/>
        <v>0</v>
      </c>
      <c r="K34" s="15">
        <f t="shared" si="13"/>
        <v>0</v>
      </c>
      <c r="L34" s="15">
        <f t="shared" si="13"/>
        <v>0</v>
      </c>
      <c r="M34" s="15">
        <f t="shared" si="14"/>
        <v>5016886.3443091428</v>
      </c>
      <c r="N34" s="15"/>
      <c r="O34" s="15">
        <f t="shared" si="15"/>
        <v>14480715.097082175</v>
      </c>
      <c r="P34" s="15">
        <f t="shared" si="19"/>
        <v>166461156.65582225</v>
      </c>
      <c r="Q34" s="166">
        <f t="shared" ref="Q34:Y34" si="24">$B$29*Q7</f>
        <v>0</v>
      </c>
      <c r="R34" s="166">
        <f t="shared" si="24"/>
        <v>0</v>
      </c>
      <c r="S34" s="166">
        <f t="shared" si="24"/>
        <v>0</v>
      </c>
      <c r="T34" s="166">
        <f t="shared" si="24"/>
        <v>0</v>
      </c>
      <c r="U34" s="166">
        <f t="shared" si="24"/>
        <v>0</v>
      </c>
      <c r="V34" s="166">
        <f t="shared" si="24"/>
        <v>0</v>
      </c>
      <c r="W34" s="166">
        <f t="shared" si="24"/>
        <v>0</v>
      </c>
      <c r="X34" s="166">
        <f t="shared" si="24"/>
        <v>0</v>
      </c>
      <c r="Y34" s="166">
        <f t="shared" si="24"/>
        <v>0</v>
      </c>
      <c r="Z34" s="186"/>
      <c r="AA34" s="167">
        <f t="shared" si="21"/>
        <v>170342895.35163182</v>
      </c>
      <c r="AB34" s="167">
        <f>'Collections and ACP'!K42</f>
        <v>156961599.53649759</v>
      </c>
      <c r="AC34" s="167">
        <f t="shared" si="17"/>
        <v>327304494.88812941</v>
      </c>
      <c r="AD34" s="167">
        <f t="shared" si="22"/>
        <v>166461156.65582225</v>
      </c>
      <c r="AE34" s="16">
        <f t="shared" si="18"/>
        <v>160843338.23230717</v>
      </c>
      <c r="AF34" s="17"/>
    </row>
    <row r="35" spans="1:32" x14ac:dyDescent="0.25">
      <c r="A35" s="165" t="s">
        <v>21</v>
      </c>
      <c r="B35" s="14">
        <f t="shared" si="12"/>
        <v>46018815.845764048</v>
      </c>
      <c r="C35" s="14">
        <f t="shared" si="12"/>
        <v>27244309.210605614</v>
      </c>
      <c r="D35" s="14">
        <f t="shared" si="12"/>
        <v>40213189.708800867</v>
      </c>
      <c r="E35" s="14">
        <f t="shared" si="12"/>
        <v>31838.835168245161</v>
      </c>
      <c r="F35" s="14">
        <f t="shared" si="12"/>
        <v>254150.12041113825</v>
      </c>
      <c r="G35" s="14">
        <f t="shared" si="12"/>
        <v>0</v>
      </c>
      <c r="H35" s="15">
        <v>3259000</v>
      </c>
      <c r="I35" s="15">
        <v>6627071.8807588778</v>
      </c>
      <c r="J35" s="15">
        <f t="shared" si="13"/>
        <v>0</v>
      </c>
      <c r="K35" s="15">
        <f t="shared" si="13"/>
        <v>0</v>
      </c>
      <c r="L35" s="15">
        <f t="shared" si="13"/>
        <v>12837.20495979318</v>
      </c>
      <c r="M35" s="15">
        <f t="shared" si="14"/>
        <v>4980908.2746130889</v>
      </c>
      <c r="N35" s="15"/>
      <c r="O35" s="15">
        <f t="shared" si="15"/>
        <v>14480715.097082175</v>
      </c>
      <c r="P35" s="15">
        <f t="shared" si="19"/>
        <v>143122836.17816386</v>
      </c>
      <c r="Q35" s="166">
        <f t="shared" ref="Q35:Y35" si="25">$B$29*Q8</f>
        <v>6632410.7959026974</v>
      </c>
      <c r="R35" s="166">
        <f t="shared" si="25"/>
        <v>1449748.1972361861</v>
      </c>
      <c r="S35" s="166">
        <f t="shared" si="25"/>
        <v>0</v>
      </c>
      <c r="T35" s="166">
        <f t="shared" si="25"/>
        <v>0</v>
      </c>
      <c r="U35" s="166">
        <f t="shared" si="25"/>
        <v>0</v>
      </c>
      <c r="V35" s="166">
        <f t="shared" si="25"/>
        <v>1660500.511045893</v>
      </c>
      <c r="W35" s="166">
        <f t="shared" si="25"/>
        <v>0</v>
      </c>
      <c r="X35" s="166">
        <f t="shared" si="25"/>
        <v>0</v>
      </c>
      <c r="Y35" s="166">
        <f t="shared" si="25"/>
        <v>0</v>
      </c>
      <c r="Z35" s="186"/>
      <c r="AA35" s="167">
        <f t="shared" si="21"/>
        <v>160843338.23230717</v>
      </c>
      <c r="AB35" s="167">
        <f>'Collections and ACP'!K43</f>
        <v>155343117.17191386</v>
      </c>
      <c r="AC35" s="167">
        <f t="shared" si="17"/>
        <v>316186455.40422106</v>
      </c>
      <c r="AD35" s="167">
        <f t="shared" si="22"/>
        <v>143122836.17816386</v>
      </c>
      <c r="AE35" s="16">
        <f t="shared" si="18"/>
        <v>173063619.2260572</v>
      </c>
      <c r="AF35" s="17"/>
    </row>
    <row r="36" spans="1:32" x14ac:dyDescent="0.25">
      <c r="A36" s="165" t="s">
        <v>22</v>
      </c>
      <c r="B36" s="14">
        <f t="shared" si="12"/>
        <v>0</v>
      </c>
      <c r="C36" s="14">
        <f t="shared" si="12"/>
        <v>22858152.468932468</v>
      </c>
      <c r="D36" s="14">
        <f t="shared" si="12"/>
        <v>41597083.558041722</v>
      </c>
      <c r="E36" s="14">
        <f t="shared" si="12"/>
        <v>457669.09123205201</v>
      </c>
      <c r="F36" s="14">
        <f t="shared" si="12"/>
        <v>6440341.9188901847</v>
      </c>
      <c r="G36" s="14">
        <f t="shared" si="12"/>
        <v>0</v>
      </c>
      <c r="H36" s="15">
        <v>1276000</v>
      </c>
      <c r="I36" s="15">
        <v>7386440.5804498689</v>
      </c>
      <c r="J36" s="15">
        <f t="shared" si="13"/>
        <v>4879750.2021685829</v>
      </c>
      <c r="K36" s="15">
        <f t="shared" si="13"/>
        <v>3839089.0859208354</v>
      </c>
      <c r="L36" s="15">
        <f t="shared" si="13"/>
        <v>202526.73474959069</v>
      </c>
      <c r="M36" s="15">
        <f t="shared" si="14"/>
        <v>4965643.1968882596</v>
      </c>
      <c r="N36" s="15"/>
      <c r="O36" s="15">
        <f t="shared" si="15"/>
        <v>14480715.097082175</v>
      </c>
      <c r="P36" s="15">
        <f t="shared" si="19"/>
        <v>108383411.93435574</v>
      </c>
      <c r="Q36" s="166">
        <f t="shared" ref="Q36:Y36" si="26">$B$29*Q9</f>
        <v>53468359.643582612</v>
      </c>
      <c r="R36" s="166">
        <f t="shared" si="26"/>
        <v>6951879.3845336288</v>
      </c>
      <c r="S36" s="166">
        <f t="shared" si="26"/>
        <v>274796.21452416526</v>
      </c>
      <c r="T36" s="166">
        <f t="shared" si="26"/>
        <v>5499996.5453381697</v>
      </c>
      <c r="U36" s="166">
        <f t="shared" si="26"/>
        <v>0</v>
      </c>
      <c r="V36" s="166">
        <f t="shared" si="26"/>
        <v>7771220.2091106363</v>
      </c>
      <c r="W36" s="166">
        <f t="shared" si="26"/>
        <v>0</v>
      </c>
      <c r="X36" s="166">
        <f t="shared" si="26"/>
        <v>0</v>
      </c>
      <c r="Y36" s="166">
        <f t="shared" si="26"/>
        <v>0</v>
      </c>
      <c r="Z36" s="186">
        <f>SUM(Q36:Y36)</f>
        <v>73966251.997089207</v>
      </c>
      <c r="AA36" s="167">
        <f t="shared" si="21"/>
        <v>173063619.2260572</v>
      </c>
      <c r="AB36" s="167">
        <f>'Collections and ACP'!K44</f>
        <v>158506895.51535216</v>
      </c>
      <c r="AC36" s="167">
        <f t="shared" si="17"/>
        <v>331570514.74140936</v>
      </c>
      <c r="AD36" s="167">
        <f t="shared" si="22"/>
        <v>182349663.93144494</v>
      </c>
      <c r="AE36" s="16">
        <f t="shared" si="18"/>
        <v>149220850.80996442</v>
      </c>
      <c r="AF36" s="17"/>
    </row>
    <row r="37" spans="1:32" x14ac:dyDescent="0.25">
      <c r="A37" s="165" t="s">
        <v>23</v>
      </c>
      <c r="B37" s="14">
        <f t="shared" si="12"/>
        <v>0</v>
      </c>
      <c r="C37" s="14">
        <f t="shared" si="12"/>
        <v>19923262.204023704</v>
      </c>
      <c r="D37" s="14">
        <f t="shared" si="12"/>
        <v>37298579.520305417</v>
      </c>
      <c r="E37" s="14">
        <f t="shared" si="12"/>
        <v>783042.51124816912</v>
      </c>
      <c r="F37" s="14">
        <f t="shared" si="12"/>
        <v>9035663.3361500204</v>
      </c>
      <c r="G37" s="14">
        <f t="shared" si="12"/>
        <v>0</v>
      </c>
      <c r="H37" s="15">
        <v>202999.99999999997</v>
      </c>
      <c r="I37" s="15">
        <v>7386440.5804498689</v>
      </c>
      <c r="J37" s="15">
        <f t="shared" si="13"/>
        <v>15029019.49768248</v>
      </c>
      <c r="K37" s="15">
        <f t="shared" si="13"/>
        <v>15955052.174428504</v>
      </c>
      <c r="L37" s="15">
        <f t="shared" si="13"/>
        <v>704847.33591944294</v>
      </c>
      <c r="M37" s="15">
        <f t="shared" si="14"/>
        <v>4950973.6586358324</v>
      </c>
      <c r="N37" s="15"/>
      <c r="O37" s="15">
        <f t="shared" si="15"/>
        <v>14480715.097082175</v>
      </c>
      <c r="P37" s="15">
        <f t="shared" si="19"/>
        <v>125750595.91592559</v>
      </c>
      <c r="Q37" s="166">
        <f t="shared" ref="Q37:Y37" si="27">$B$29*Q10</f>
        <v>51329625.257839307</v>
      </c>
      <c r="R37" s="166">
        <f t="shared" si="27"/>
        <v>12001096.741868962</v>
      </c>
      <c r="S37" s="166">
        <f t="shared" si="27"/>
        <v>4878398.190861769</v>
      </c>
      <c r="T37" s="166">
        <f t="shared" si="27"/>
        <v>8226203.2277152454</v>
      </c>
      <c r="U37" s="166">
        <f t="shared" si="27"/>
        <v>1879545.4611490383</v>
      </c>
      <c r="V37" s="166">
        <f t="shared" si="27"/>
        <v>13381461.717261007</v>
      </c>
      <c r="W37" s="166">
        <f t="shared" si="27"/>
        <v>0</v>
      </c>
      <c r="X37" s="166">
        <f t="shared" si="27"/>
        <v>0</v>
      </c>
      <c r="Y37" s="166">
        <f t="shared" si="27"/>
        <v>0</v>
      </c>
      <c r="Z37" s="186">
        <f t="shared" ref="Z37:Z53" si="28">SUM(Q37:Y37)</f>
        <v>91696330.596695304</v>
      </c>
      <c r="AA37" s="167">
        <f>AE36</f>
        <v>149220850.80996442</v>
      </c>
      <c r="AB37" s="167">
        <f>'Collections and ACP'!K45</f>
        <v>151553007.35639009</v>
      </c>
      <c r="AC37" s="167">
        <f t="shared" si="17"/>
        <v>300773858.16635454</v>
      </c>
      <c r="AD37" s="167">
        <f t="shared" si="22"/>
        <v>217446926.5126209</v>
      </c>
      <c r="AE37" s="16">
        <f t="shared" si="18"/>
        <v>83326931.653733641</v>
      </c>
      <c r="AF37" s="17"/>
    </row>
    <row r="38" spans="1:32" x14ac:dyDescent="0.25">
      <c r="A38" s="165" t="s">
        <v>24</v>
      </c>
      <c r="B38" s="14">
        <f t="shared" si="12"/>
        <v>0</v>
      </c>
      <c r="C38" s="14">
        <f t="shared" si="12"/>
        <v>18541771.519233644</v>
      </c>
      <c r="D38" s="14">
        <f t="shared" si="12"/>
        <v>31469111.78373922</v>
      </c>
      <c r="E38" s="14">
        <f t="shared" si="12"/>
        <v>765041.98900544038</v>
      </c>
      <c r="F38" s="14">
        <f t="shared" si="12"/>
        <v>8872342.0464526918</v>
      </c>
      <c r="G38" s="14">
        <f t="shared" si="12"/>
        <v>0</v>
      </c>
      <c r="H38" s="15">
        <v>202999.99999999997</v>
      </c>
      <c r="I38" s="15">
        <v>7386440.5804498689</v>
      </c>
      <c r="J38" s="15">
        <f t="shared" si="13"/>
        <v>25124006.622342739</v>
      </c>
      <c r="K38" s="15">
        <f t="shared" si="13"/>
        <v>35323341.975918278</v>
      </c>
      <c r="L38" s="15">
        <f t="shared" si="13"/>
        <v>2208365.3189936699</v>
      </c>
      <c r="M38" s="15">
        <f t="shared" si="14"/>
        <v>5011602.3465900747</v>
      </c>
      <c r="N38" s="15"/>
      <c r="O38" s="15">
        <f t="shared" si="15"/>
        <v>14480715.097082175</v>
      </c>
      <c r="P38" s="15">
        <f t="shared" si="19"/>
        <v>149385739.27980781</v>
      </c>
      <c r="Q38" s="166">
        <f t="shared" ref="Q38:Y38" si="29">$B$29*Q11</f>
        <v>49276440.247525729</v>
      </c>
      <c r="R38" s="166">
        <f t="shared" si="29"/>
        <v>16848345.404910881</v>
      </c>
      <c r="S38" s="166">
        <f t="shared" si="29"/>
        <v>9274783.119021276</v>
      </c>
      <c r="T38" s="166">
        <f t="shared" si="29"/>
        <v>10828630.610076288</v>
      </c>
      <c r="U38" s="166">
        <f t="shared" si="29"/>
        <v>3579489.9115660577</v>
      </c>
      <c r="V38" s="166">
        <f t="shared" si="29"/>
        <v>18767293.565085363</v>
      </c>
      <c r="W38" s="166">
        <f t="shared" si="29"/>
        <v>0</v>
      </c>
      <c r="X38" s="166">
        <f t="shared" si="29"/>
        <v>0</v>
      </c>
      <c r="Y38" s="166">
        <f t="shared" si="29"/>
        <v>0</v>
      </c>
      <c r="Z38" s="186">
        <f t="shared" si="28"/>
        <v>108574982.85818562</v>
      </c>
      <c r="AA38" s="167">
        <f t="shared" si="21"/>
        <v>83326931.653733641</v>
      </c>
      <c r="AB38" s="167">
        <f>'Collections and ACP'!K46</f>
        <v>150299723.98208541</v>
      </c>
      <c r="AC38" s="167">
        <f t="shared" si="17"/>
        <v>233626655.63581905</v>
      </c>
      <c r="AD38" s="167">
        <f t="shared" si="22"/>
        <v>257960722.13799343</v>
      </c>
      <c r="AE38" s="16">
        <f t="shared" si="18"/>
        <v>-24334066.502174377</v>
      </c>
      <c r="AF38" s="17"/>
    </row>
    <row r="39" spans="1:32" x14ac:dyDescent="0.25">
      <c r="A39" s="165" t="s">
        <v>25</v>
      </c>
      <c r="B39" s="14">
        <f t="shared" si="12"/>
        <v>0</v>
      </c>
      <c r="C39" s="14">
        <f t="shared" si="12"/>
        <v>14234293.067004349</v>
      </c>
      <c r="D39" s="14">
        <f t="shared" si="12"/>
        <v>30561665.202919859</v>
      </c>
      <c r="E39" s="14">
        <f t="shared" si="12"/>
        <v>762671.17736831587</v>
      </c>
      <c r="F39" s="14">
        <f t="shared" si="12"/>
        <v>8872342.0464526918</v>
      </c>
      <c r="G39" s="14">
        <f t="shared" si="12"/>
        <v>0</v>
      </c>
      <c r="H39" s="15">
        <v>202999.99999999997</v>
      </c>
      <c r="I39" s="15">
        <v>7386440.5804498689</v>
      </c>
      <c r="J39" s="15">
        <f t="shared" si="13"/>
        <v>29735267.588335197</v>
      </c>
      <c r="K39" s="15">
        <f t="shared" si="13"/>
        <v>40244060.786229365</v>
      </c>
      <c r="L39" s="15">
        <f t="shared" si="13"/>
        <v>2186956.7302891361</v>
      </c>
      <c r="M39" s="15">
        <f t="shared" si="14"/>
        <v>5108970.2632338302</v>
      </c>
      <c r="N39" s="15"/>
      <c r="O39" s="15">
        <f t="shared" si="15"/>
        <v>14480715.097082175</v>
      </c>
      <c r="P39" s="15">
        <f t="shared" si="19"/>
        <v>153776382.53936478</v>
      </c>
      <c r="Q39" s="166">
        <f t="shared" ref="Q39:Y39" si="30">$B$29*Q12</f>
        <v>47305382.637624703</v>
      </c>
      <c r="R39" s="166">
        <f t="shared" si="30"/>
        <v>21501704.121431123</v>
      </c>
      <c r="S39" s="166">
        <f t="shared" si="30"/>
        <v>13472355.045775432</v>
      </c>
      <c r="T39" s="166">
        <f t="shared" si="30"/>
        <v>13312303.519585537</v>
      </c>
      <c r="U39" s="166">
        <f t="shared" si="30"/>
        <v>5211436.5839663958</v>
      </c>
      <c r="V39" s="166">
        <f t="shared" si="30"/>
        <v>23937692.138996746</v>
      </c>
      <c r="W39" s="166">
        <f t="shared" si="30"/>
        <v>22853499.044108171</v>
      </c>
      <c r="X39" s="166">
        <f t="shared" si="30"/>
        <v>5530020.5841536587</v>
      </c>
      <c r="Y39" s="166">
        <f t="shared" si="30"/>
        <v>1234348.4663562744</v>
      </c>
      <c r="Z39" s="186">
        <f t="shared" si="28"/>
        <v>154358742.14199802</v>
      </c>
      <c r="AA39" s="167">
        <f t="shared" si="21"/>
        <v>-24334066.502174377</v>
      </c>
      <c r="AB39" s="167">
        <f>'Collections and ACP'!K47</f>
        <v>149112921.10828662</v>
      </c>
      <c r="AC39" s="167">
        <f t="shared" si="17"/>
        <v>124778854.60611224</v>
      </c>
      <c r="AD39" s="167">
        <f t="shared" si="22"/>
        <v>308135124.68136281</v>
      </c>
      <c r="AE39" s="16">
        <f t="shared" si="18"/>
        <v>-183356270.07525057</v>
      </c>
      <c r="AF39" s="17"/>
    </row>
    <row r="40" spans="1:32" x14ac:dyDescent="0.25">
      <c r="A40" s="165" t="s">
        <v>26</v>
      </c>
      <c r="B40" s="14">
        <f t="shared" si="12"/>
        <v>0</v>
      </c>
      <c r="C40" s="14">
        <f t="shared" si="12"/>
        <v>13888445.882322069</v>
      </c>
      <c r="D40" s="14">
        <f t="shared" si="12"/>
        <v>30453160.335854515</v>
      </c>
      <c r="E40" s="14">
        <f t="shared" si="12"/>
        <v>760352.16614523658</v>
      </c>
      <c r="F40" s="14">
        <f t="shared" si="12"/>
        <v>8872342.0464526918</v>
      </c>
      <c r="G40" s="14">
        <f t="shared" si="12"/>
        <v>0</v>
      </c>
      <c r="H40" s="15">
        <v>202999.99999999997</v>
      </c>
      <c r="I40" s="15">
        <v>7386440.5804498689</v>
      </c>
      <c r="J40" s="15">
        <f t="shared" si="13"/>
        <v>30516021.691424605</v>
      </c>
      <c r="K40" s="15">
        <f t="shared" si="13"/>
        <v>41193240.05034367</v>
      </c>
      <c r="L40" s="15">
        <f t="shared" si="13"/>
        <v>2208974.5142981713</v>
      </c>
      <c r="M40" s="15">
        <f t="shared" si="14"/>
        <v>5248907.4833580907</v>
      </c>
      <c r="N40" s="15"/>
      <c r="O40" s="15">
        <f t="shared" si="15"/>
        <v>14480715.097082175</v>
      </c>
      <c r="P40" s="15">
        <f t="shared" si="19"/>
        <v>155211599.84773108</v>
      </c>
      <c r="Q40" s="166">
        <f t="shared" ref="Q40:Y40" si="31">$B$29*Q13</f>
        <v>45413167.332119711</v>
      </c>
      <c r="R40" s="166">
        <f t="shared" si="31"/>
        <v>25968928.489290554</v>
      </c>
      <c r="S40" s="166">
        <f t="shared" si="31"/>
        <v>17479181.279201847</v>
      </c>
      <c r="T40" s="166">
        <f t="shared" si="31"/>
        <v>15682045.422044855</v>
      </c>
      <c r="U40" s="166">
        <f t="shared" si="31"/>
        <v>6778105.3894707216</v>
      </c>
      <c r="V40" s="166">
        <f t="shared" si="31"/>
        <v>28901274.769951671</v>
      </c>
      <c r="W40" s="166">
        <f t="shared" si="31"/>
        <v>42908786.650959425</v>
      </c>
      <c r="X40" s="166">
        <f t="shared" si="31"/>
        <v>17800913.877831377</v>
      </c>
      <c r="Y40" s="166">
        <f t="shared" si="31"/>
        <v>2451236.4019930386</v>
      </c>
      <c r="Z40" s="186">
        <f t="shared" si="28"/>
        <v>203383639.61286321</v>
      </c>
      <c r="AA40" s="167">
        <f t="shared" si="21"/>
        <v>-183356270.07525057</v>
      </c>
      <c r="AB40" s="167">
        <f>'Collections and ACP'!K48</f>
        <v>147872450.29389748</v>
      </c>
      <c r="AC40" s="167">
        <f t="shared" si="17"/>
        <v>-35483819.781353086</v>
      </c>
      <c r="AD40" s="167">
        <f t="shared" si="22"/>
        <v>358595239.4605943</v>
      </c>
      <c r="AE40" s="16">
        <f t="shared" si="18"/>
        <v>-394079059.24194741</v>
      </c>
      <c r="AF40" s="17"/>
    </row>
    <row r="41" spans="1:32" x14ac:dyDescent="0.25">
      <c r="A41" s="165" t="s">
        <v>27</v>
      </c>
      <c r="B41" s="14">
        <f t="shared" ref="B41:G50" si="32">B14*$B$29</f>
        <v>0</v>
      </c>
      <c r="C41" s="14">
        <f t="shared" si="32"/>
        <v>13044802.956956688</v>
      </c>
      <c r="D41" s="14">
        <f t="shared" si="32"/>
        <v>30345492.859581809</v>
      </c>
      <c r="E41" s="14">
        <f t="shared" si="32"/>
        <v>758009.63244855369</v>
      </c>
      <c r="F41" s="14">
        <f t="shared" si="32"/>
        <v>8872342.0464526918</v>
      </c>
      <c r="G41" s="14">
        <f t="shared" si="32"/>
        <v>0</v>
      </c>
      <c r="H41" s="15">
        <v>202999.99999999997</v>
      </c>
      <c r="I41" s="15">
        <v>7386440.5804498689</v>
      </c>
      <c r="J41" s="15">
        <f t="shared" si="13"/>
        <v>30588127.001458641</v>
      </c>
      <c r="K41" s="15">
        <f t="shared" si="13"/>
        <v>41091932.822177298</v>
      </c>
      <c r="L41" s="15">
        <f t="shared" si="13"/>
        <v>2200957.7075705668</v>
      </c>
      <c r="M41" s="15">
        <f t="shared" si="14"/>
        <v>5440776.6598993912</v>
      </c>
      <c r="N41" s="15"/>
      <c r="O41" s="15">
        <f t="shared" si="15"/>
        <v>14480715.097082175</v>
      </c>
      <c r="P41" s="15">
        <f t="shared" si="19"/>
        <v>154412597.36407766</v>
      </c>
      <c r="Q41" s="166">
        <f t="shared" ref="Q41:Y41" si="33">$B$29*Q14</f>
        <v>43596640.638834924</v>
      </c>
      <c r="R41" s="166">
        <f t="shared" si="33"/>
        <v>30257463.882435612</v>
      </c>
      <c r="S41" s="166">
        <f t="shared" si="33"/>
        <v>21303005.861114919</v>
      </c>
      <c r="T41" s="166">
        <f t="shared" si="33"/>
        <v>17942486.478189588</v>
      </c>
      <c r="U41" s="166">
        <f t="shared" si="33"/>
        <v>8282107.4427548731</v>
      </c>
      <c r="V41" s="166">
        <f t="shared" si="33"/>
        <v>33666314.095668398</v>
      </c>
      <c r="W41" s="166">
        <f t="shared" si="33"/>
        <v>63863896.987154372</v>
      </c>
      <c r="X41" s="166">
        <f t="shared" si="33"/>
        <v>30831396.200263768</v>
      </c>
      <c r="Y41" s="166">
        <f t="shared" si="33"/>
        <v>3721630.582006257</v>
      </c>
      <c r="Z41" s="186">
        <f t="shared" si="28"/>
        <v>253464942.1684227</v>
      </c>
      <c r="AA41" s="167">
        <f t="shared" si="21"/>
        <v>-394079059.24194741</v>
      </c>
      <c r="AB41" s="167">
        <f>'Collections and ACP'!K49</f>
        <v>146529368.81222194</v>
      </c>
      <c r="AC41" s="167">
        <f t="shared" si="17"/>
        <v>-247549690.42972547</v>
      </c>
      <c r="AD41" s="167">
        <f t="shared" si="22"/>
        <v>407877539.53250039</v>
      </c>
      <c r="AE41" s="16">
        <f t="shared" si="18"/>
        <v>-655427229.96222591</v>
      </c>
      <c r="AF41" s="17"/>
    </row>
    <row r="42" spans="1:32" x14ac:dyDescent="0.25">
      <c r="A42" s="165" t="s">
        <v>28</v>
      </c>
      <c r="B42" s="14">
        <f t="shared" si="32"/>
        <v>0</v>
      </c>
      <c r="C42" s="14">
        <f t="shared" si="32"/>
        <v>0</v>
      </c>
      <c r="D42" s="14">
        <f t="shared" si="32"/>
        <v>30238156.962723393</v>
      </c>
      <c r="E42" s="14">
        <f t="shared" si="32"/>
        <v>755678.9729382504</v>
      </c>
      <c r="F42" s="14">
        <f t="shared" si="32"/>
        <v>0</v>
      </c>
      <c r="G42" s="14">
        <f t="shared" si="32"/>
        <v>0</v>
      </c>
      <c r="H42" s="15">
        <v>202999.99999999997</v>
      </c>
      <c r="I42" s="15">
        <v>7386440.5804498689</v>
      </c>
      <c r="J42" s="15">
        <f t="shared" si="13"/>
        <v>31489422.281123403</v>
      </c>
      <c r="K42" s="15">
        <f t="shared" si="13"/>
        <v>42188138.656532578</v>
      </c>
      <c r="L42" s="15">
        <f t="shared" si="13"/>
        <v>2227613.6064781798</v>
      </c>
      <c r="M42" s="15">
        <f t="shared" si="14"/>
        <v>5658697.0172051191</v>
      </c>
      <c r="N42" s="15"/>
      <c r="O42" s="15">
        <f t="shared" si="15"/>
        <v>14480715.097082175</v>
      </c>
      <c r="P42" s="15">
        <f t="shared" si="19"/>
        <v>134627863.17453298</v>
      </c>
      <c r="Q42" s="166">
        <f t="shared" ref="Q42:Y42" si="34">$B$29*Q15</f>
        <v>41852775.013281524</v>
      </c>
      <c r="R42" s="166">
        <f t="shared" si="34"/>
        <v>33005251.229131807</v>
      </c>
      <c r="S42" s="166">
        <f t="shared" si="34"/>
        <v>24951262.500586059</v>
      </c>
      <c r="T42" s="166">
        <f t="shared" si="34"/>
        <v>20098071.277723398</v>
      </c>
      <c r="U42" s="166">
        <f t="shared" si="34"/>
        <v>9725949.4139076602</v>
      </c>
      <c r="V42" s="166">
        <f t="shared" si="34"/>
        <v>36672501.365702003</v>
      </c>
      <c r="W42" s="166">
        <f t="shared" si="34"/>
        <v>87278574.021535203</v>
      </c>
      <c r="X42" s="166">
        <f t="shared" si="34"/>
        <v>39209399.400415577</v>
      </c>
      <c r="Y42" s="166">
        <f t="shared" si="34"/>
        <v>3707980.9426633217</v>
      </c>
      <c r="Z42" s="186">
        <f t="shared" si="28"/>
        <v>296501765.16494656</v>
      </c>
      <c r="AA42" s="167">
        <f t="shared" si="21"/>
        <v>-655427229.96222591</v>
      </c>
      <c r="AB42" s="167">
        <f>'Collections and ACP'!K50</f>
        <v>146529368.81222194</v>
      </c>
      <c r="AC42" s="167">
        <f t="shared" si="17"/>
        <v>-508897861.15000397</v>
      </c>
      <c r="AD42" s="167">
        <f t="shared" si="22"/>
        <v>431129628.33947957</v>
      </c>
      <c r="AE42" s="16">
        <f t="shared" si="18"/>
        <v>-940027489.48948359</v>
      </c>
      <c r="AF42" s="17"/>
    </row>
    <row r="43" spans="1:32" x14ac:dyDescent="0.25">
      <c r="A43" s="165" t="s">
        <v>29</v>
      </c>
      <c r="B43" s="14">
        <f t="shared" si="32"/>
        <v>0</v>
      </c>
      <c r="C43" s="14">
        <f t="shared" si="32"/>
        <v>0</v>
      </c>
      <c r="D43" s="14">
        <f t="shared" si="32"/>
        <v>30131313.294332556</v>
      </c>
      <c r="E43" s="14">
        <f t="shared" si="32"/>
        <v>727168.14205190504</v>
      </c>
      <c r="F43" s="14">
        <f t="shared" si="32"/>
        <v>0</v>
      </c>
      <c r="G43" s="14">
        <f t="shared" si="32"/>
        <v>0</v>
      </c>
      <c r="H43" s="15">
        <v>202999.99999999997</v>
      </c>
      <c r="I43" s="15">
        <v>7386440.5804498689</v>
      </c>
      <c r="J43" s="15">
        <f t="shared" si="13"/>
        <v>31618032.586162169</v>
      </c>
      <c r="K43" s="15">
        <f t="shared" si="13"/>
        <v>42162010.379990913</v>
      </c>
      <c r="L43" s="15">
        <f t="shared" si="13"/>
        <v>2221822.6592468899</v>
      </c>
      <c r="M43" s="15">
        <f t="shared" si="14"/>
        <v>5882387.939480341</v>
      </c>
      <c r="N43" s="15"/>
      <c r="O43" s="15">
        <f t="shared" si="15"/>
        <v>14480715.097082175</v>
      </c>
      <c r="P43" s="15">
        <f t="shared" si="19"/>
        <v>134812890.6787968</v>
      </c>
      <c r="Q43" s="166">
        <f t="shared" ref="Q43:Y43" si="35">$B$29*Q16</f>
        <v>40178664.012750261</v>
      </c>
      <c r="R43" s="166">
        <f t="shared" si="35"/>
        <v>31685041.179966532</v>
      </c>
      <c r="S43" s="166">
        <f t="shared" si="35"/>
        <v>28431086.990108781</v>
      </c>
      <c r="T43" s="166">
        <f t="shared" si="35"/>
        <v>22153066.263982549</v>
      </c>
      <c r="U43" s="166">
        <f t="shared" si="35"/>
        <v>11112037.706214335</v>
      </c>
      <c r="V43" s="166">
        <f t="shared" si="35"/>
        <v>35205601.311073922</v>
      </c>
      <c r="W43" s="166">
        <f t="shared" si="35"/>
        <v>109343728.85728522</v>
      </c>
      <c r="X43" s="166">
        <f t="shared" si="35"/>
        <v>48851684.555794552</v>
      </c>
      <c r="Y43" s="166">
        <f t="shared" si="35"/>
        <v>6283373.4331949633</v>
      </c>
      <c r="Z43" s="186">
        <f t="shared" si="28"/>
        <v>333244284.31037104</v>
      </c>
      <c r="AA43" s="167">
        <f t="shared" si="21"/>
        <v>-940027489.48948359</v>
      </c>
      <c r="AB43" s="167">
        <f>'Collections and ACP'!K51</f>
        <v>146529368.81222194</v>
      </c>
      <c r="AC43" s="167">
        <f t="shared" si="17"/>
        <v>-793498120.67726159</v>
      </c>
      <c r="AD43" s="167">
        <f t="shared" si="22"/>
        <v>468057174.98916781</v>
      </c>
      <c r="AE43" s="16">
        <f t="shared" si="18"/>
        <v>-1261555295.6664295</v>
      </c>
      <c r="AF43" s="17"/>
    </row>
    <row r="44" spans="1:32" x14ac:dyDescent="0.25">
      <c r="A44" s="165" t="s">
        <v>30</v>
      </c>
      <c r="B44" s="14">
        <f t="shared" si="32"/>
        <v>0</v>
      </c>
      <c r="C44" s="14">
        <f t="shared" si="32"/>
        <v>0</v>
      </c>
      <c r="D44" s="14">
        <f t="shared" si="32"/>
        <v>21135970.64631974</v>
      </c>
      <c r="E44" s="14">
        <f t="shared" si="32"/>
        <v>459270.10805461556</v>
      </c>
      <c r="F44" s="14">
        <f t="shared" si="32"/>
        <v>0</v>
      </c>
      <c r="G44" s="14">
        <f t="shared" si="32"/>
        <v>0</v>
      </c>
      <c r="H44" s="15">
        <v>202999.99999999997</v>
      </c>
      <c r="I44" s="15">
        <v>6142006.5088935578</v>
      </c>
      <c r="J44" s="15">
        <f t="shared" si="13"/>
        <v>29981455.115572523</v>
      </c>
      <c r="K44" s="15">
        <f t="shared" si="13"/>
        <v>39611204.802497596</v>
      </c>
      <c r="L44" s="15">
        <f t="shared" si="13"/>
        <v>2143011.175244045</v>
      </c>
      <c r="M44" s="15">
        <f t="shared" si="14"/>
        <v>6081863.1189135388</v>
      </c>
      <c r="N44" s="15"/>
      <c r="O44" s="15">
        <f t="shared" si="15"/>
        <v>14480715.097082175</v>
      </c>
      <c r="P44" s="15">
        <f t="shared" si="19"/>
        <v>120238496.57257777</v>
      </c>
      <c r="Q44" s="166">
        <f t="shared" ref="Q44:Y44" si="36">$B$29*Q17</f>
        <v>19285758.726120126</v>
      </c>
      <c r="R44" s="166">
        <f t="shared" si="36"/>
        <v>28403998.559029907</v>
      </c>
      <c r="S44" s="166">
        <f t="shared" si="36"/>
        <v>31749329.125102855</v>
      </c>
      <c r="T44" s="166">
        <f t="shared" si="36"/>
        <v>23076933.897133566</v>
      </c>
      <c r="U44" s="166">
        <f t="shared" si="36"/>
        <v>10667556.197965758</v>
      </c>
      <c r="V44" s="166">
        <f t="shared" si="36"/>
        <v>31559998.398922123</v>
      </c>
      <c r="W44" s="166">
        <f t="shared" si="36"/>
        <v>121405552.55055237</v>
      </c>
      <c r="X44" s="166">
        <f t="shared" si="36"/>
        <v>55359001.638957128</v>
      </c>
      <c r="Y44" s="166">
        <f t="shared" si="36"/>
        <v>7538905.6722613731</v>
      </c>
      <c r="Z44" s="186">
        <f t="shared" si="28"/>
        <v>329047034.76604521</v>
      </c>
      <c r="AA44" s="167">
        <f t="shared" si="21"/>
        <v>-1261555295.6664295</v>
      </c>
      <c r="AB44" s="167">
        <f>'Collections and ACP'!K52</f>
        <v>146529368.81222194</v>
      </c>
      <c r="AC44" s="167">
        <f t="shared" si="17"/>
        <v>-1115025926.8542075</v>
      </c>
      <c r="AD44" s="167">
        <f t="shared" si="22"/>
        <v>449285531.33862299</v>
      </c>
      <c r="AE44" s="16">
        <f t="shared" si="18"/>
        <v>-1564311458.1928306</v>
      </c>
      <c r="AF44" s="17"/>
    </row>
    <row r="45" spans="1:32" x14ac:dyDescent="0.25">
      <c r="A45" s="165" t="s">
        <v>31</v>
      </c>
      <c r="B45" s="14">
        <f t="shared" si="32"/>
        <v>0</v>
      </c>
      <c r="C45" s="14">
        <f t="shared" si="32"/>
        <v>0</v>
      </c>
      <c r="D45" s="14">
        <f t="shared" si="32"/>
        <v>21030222.672821298</v>
      </c>
      <c r="E45" s="14">
        <f t="shared" si="32"/>
        <v>456920.07913979841</v>
      </c>
      <c r="F45" s="14">
        <f t="shared" si="32"/>
        <v>0</v>
      </c>
      <c r="G45" s="14">
        <f t="shared" si="32"/>
        <v>0</v>
      </c>
      <c r="H45" s="15">
        <v>202999.99999999997</v>
      </c>
      <c r="I45" s="15">
        <v>6142006.5088935578</v>
      </c>
      <c r="J45" s="15">
        <f t="shared" si="13"/>
        <v>28361933.567499716</v>
      </c>
      <c r="K45" s="15">
        <f t="shared" si="13"/>
        <v>37109118.032630228</v>
      </c>
      <c r="L45" s="15">
        <f t="shared" si="13"/>
        <v>2065634.306569811</v>
      </c>
      <c r="M45" s="15">
        <f t="shared" si="14"/>
        <v>6266927.6309763789</v>
      </c>
      <c r="N45" s="15"/>
      <c r="O45" s="15">
        <f t="shared" si="15"/>
        <v>14480715.097082175</v>
      </c>
      <c r="P45" s="15">
        <f t="shared" si="19"/>
        <v>116116477.89561296</v>
      </c>
      <c r="Q45" s="166">
        <f t="shared" ref="Q45:Y45" si="37">$B$29*Q18</f>
        <v>18514328.377075318</v>
      </c>
      <c r="R45" s="166">
        <f t="shared" si="37"/>
        <v>25366066.585916188</v>
      </c>
      <c r="S45" s="166">
        <f t="shared" si="37"/>
        <v>33251573.313050762</v>
      </c>
      <c r="T45" s="166">
        <f t="shared" si="37"/>
        <v>23954796.873539992</v>
      </c>
      <c r="U45" s="166">
        <f t="shared" si="37"/>
        <v>9562911.6955974884</v>
      </c>
      <c r="V45" s="166">
        <f t="shared" si="37"/>
        <v>28184518.428795766</v>
      </c>
      <c r="W45" s="166">
        <f t="shared" si="37"/>
        <v>130906526.42495008</v>
      </c>
      <c r="X45" s="166">
        <f t="shared" si="37"/>
        <v>58494764.951373048</v>
      </c>
      <c r="Y45" s="166">
        <f t="shared" si="37"/>
        <v>8512193.6430888232</v>
      </c>
      <c r="Z45" s="186">
        <f t="shared" si="28"/>
        <v>336747680.29338747</v>
      </c>
      <c r="AA45" s="167">
        <f t="shared" si="21"/>
        <v>-1564311458.1928306</v>
      </c>
      <c r="AB45" s="167">
        <f>'Collections and ACP'!K53</f>
        <v>146529368.81222194</v>
      </c>
      <c r="AC45" s="167">
        <f t="shared" si="17"/>
        <v>-1417782089.3806086</v>
      </c>
      <c r="AD45" s="167">
        <f t="shared" si="22"/>
        <v>452864158.18900043</v>
      </c>
      <c r="AE45" s="16">
        <f t="shared" si="18"/>
        <v>-1870646247.5696089</v>
      </c>
      <c r="AF45" s="17"/>
    </row>
    <row r="46" spans="1:32" x14ac:dyDescent="0.25">
      <c r="A46" s="165" t="s">
        <v>32</v>
      </c>
      <c r="B46" s="14">
        <f t="shared" si="32"/>
        <v>0</v>
      </c>
      <c r="C46" s="14">
        <f t="shared" si="32"/>
        <v>0</v>
      </c>
      <c r="D46" s="14">
        <f t="shared" si="32"/>
        <v>20925170.355772261</v>
      </c>
      <c r="E46" s="14">
        <f t="shared" si="32"/>
        <v>454644.61142701609</v>
      </c>
      <c r="F46" s="14">
        <f t="shared" si="32"/>
        <v>0</v>
      </c>
      <c r="G46" s="14">
        <f t="shared" si="32"/>
        <v>0</v>
      </c>
      <c r="H46" s="15">
        <v>202999.99999999997</v>
      </c>
      <c r="I46" s="15">
        <v>5890210.579879879</v>
      </c>
      <c r="J46" s="15">
        <f t="shared" si="13"/>
        <v>31541834.698554516</v>
      </c>
      <c r="K46" s="15">
        <f t="shared" si="13"/>
        <v>41424875.332527533</v>
      </c>
      <c r="L46" s="15">
        <f t="shared" si="13"/>
        <v>2185540.9468528228</v>
      </c>
      <c r="M46" s="15">
        <f t="shared" si="14"/>
        <v>6410771.159649983</v>
      </c>
      <c r="N46" s="15"/>
      <c r="O46" s="15">
        <f t="shared" si="15"/>
        <v>14480715.097082175</v>
      </c>
      <c r="P46" s="15">
        <f t="shared" si="19"/>
        <v>123516762.78174618</v>
      </c>
      <c r="Q46" s="166">
        <f t="shared" ref="Q46:Y46" si="38">$B$29*Q19</f>
        <v>17773755.241992306</v>
      </c>
      <c r="R46" s="166">
        <f t="shared" si="38"/>
        <v>22449651.891727019</v>
      </c>
      <c r="S46" s="166">
        <f t="shared" si="38"/>
        <v>34679866.646715991</v>
      </c>
      <c r="T46" s="166">
        <f t="shared" si="38"/>
        <v>24788540.629228696</v>
      </c>
      <c r="U46" s="166">
        <f t="shared" si="38"/>
        <v>8540116.4319044836</v>
      </c>
      <c r="V46" s="166">
        <f t="shared" si="38"/>
        <v>24944057.657474469</v>
      </c>
      <c r="W46" s="166">
        <f t="shared" si="38"/>
        <v>133024809.38866493</v>
      </c>
      <c r="X46" s="166">
        <f t="shared" si="38"/>
        <v>60997961.307419881</v>
      </c>
      <c r="Y46" s="166">
        <f t="shared" si="38"/>
        <v>9409241.7535756268</v>
      </c>
      <c r="Z46" s="186">
        <f t="shared" si="28"/>
        <v>336608000.94870341</v>
      </c>
      <c r="AA46" s="167">
        <f t="shared" si="21"/>
        <v>-1870646247.5696089</v>
      </c>
      <c r="AB46" s="167">
        <f>'Collections and ACP'!K54</f>
        <v>146529368.81222194</v>
      </c>
      <c r="AC46" s="167">
        <f t="shared" si="17"/>
        <v>-1724116878.7573869</v>
      </c>
      <c r="AD46" s="167">
        <f t="shared" si="22"/>
        <v>460124763.73044956</v>
      </c>
      <c r="AE46" s="16">
        <f t="shared" si="18"/>
        <v>-2184241642.4878364</v>
      </c>
      <c r="AF46" s="17"/>
    </row>
    <row r="47" spans="1:32" x14ac:dyDescent="0.25">
      <c r="A47" s="165" t="s">
        <v>33</v>
      </c>
      <c r="B47" s="14">
        <f t="shared" si="32"/>
        <v>0</v>
      </c>
      <c r="C47" s="14">
        <f t="shared" si="32"/>
        <v>0</v>
      </c>
      <c r="D47" s="14">
        <f t="shared" si="32"/>
        <v>20820575.197794985</v>
      </c>
      <c r="E47" s="14">
        <f t="shared" si="32"/>
        <v>452385.14490441617</v>
      </c>
      <c r="F47" s="14">
        <f t="shared" si="32"/>
        <v>0</v>
      </c>
      <c r="G47" s="14">
        <f t="shared" si="32"/>
        <v>0</v>
      </c>
      <c r="H47" s="15">
        <v>202999.99999999997</v>
      </c>
      <c r="I47" s="15">
        <v>2484093.9632800589</v>
      </c>
      <c r="J47" s="15">
        <f t="shared" si="13"/>
        <v>32955619.84051061</v>
      </c>
      <c r="K47" s="15">
        <f t="shared" si="13"/>
        <v>43209025.372495607</v>
      </c>
      <c r="L47" s="15">
        <f t="shared" si="13"/>
        <v>2232226.1722540283</v>
      </c>
      <c r="M47" s="15">
        <f t="shared" si="14"/>
        <v>6516122.7786071254</v>
      </c>
      <c r="N47" s="15"/>
      <c r="O47" s="15">
        <f t="shared" si="15"/>
        <v>14480715.097082175</v>
      </c>
      <c r="P47" s="15">
        <f t="shared" si="19"/>
        <v>123353763.56692901</v>
      </c>
      <c r="Q47" s="166">
        <f t="shared" ref="Q47:Y47" si="39">$B$29*Q20</f>
        <v>17062805.032312613</v>
      </c>
      <c r="R47" s="166">
        <f t="shared" si="39"/>
        <v>19649893.785305426</v>
      </c>
      <c r="S47" s="166">
        <f t="shared" si="39"/>
        <v>36037236.465703666</v>
      </c>
      <c r="T47" s="166">
        <f t="shared" si="39"/>
        <v>25579974.956536703</v>
      </c>
      <c r="U47" s="166">
        <f t="shared" si="39"/>
        <v>7558232.9787591994</v>
      </c>
      <c r="V47" s="166">
        <f t="shared" si="39"/>
        <v>21833215.317006029</v>
      </c>
      <c r="W47" s="166">
        <f t="shared" si="39"/>
        <v>134328168.56160837</v>
      </c>
      <c r="X47" s="166">
        <f t="shared" si="39"/>
        <v>73926599.828290626</v>
      </c>
      <c r="Y47" s="166">
        <f t="shared" si="39"/>
        <v>11208616.455529066</v>
      </c>
      <c r="Z47" s="186">
        <f t="shared" si="28"/>
        <v>347184743.38105172</v>
      </c>
      <c r="AA47" s="167">
        <f t="shared" si="21"/>
        <v>-2184241642.4878364</v>
      </c>
      <c r="AB47" s="167">
        <f>'Collections and ACP'!K55</f>
        <v>146529368.81222194</v>
      </c>
      <c r="AC47" s="167">
        <f t="shared" si="17"/>
        <v>-2037712273.6756144</v>
      </c>
      <c r="AD47" s="167">
        <f t="shared" si="22"/>
        <v>470538506.94798076</v>
      </c>
      <c r="AE47" s="16">
        <f t="shared" si="18"/>
        <v>-2508250780.6235952</v>
      </c>
      <c r="AF47" s="17"/>
    </row>
    <row r="48" spans="1:32" x14ac:dyDescent="0.25">
      <c r="A48" s="165" t="s">
        <v>34</v>
      </c>
      <c r="B48" s="14">
        <f t="shared" si="32"/>
        <v>0</v>
      </c>
      <c r="C48" s="14">
        <f t="shared" si="32"/>
        <v>0</v>
      </c>
      <c r="D48" s="14">
        <f t="shared" si="32"/>
        <v>20716421.235349141</v>
      </c>
      <c r="E48" s="14">
        <f t="shared" si="32"/>
        <v>450054.69391641027</v>
      </c>
      <c r="F48" s="14">
        <f t="shared" si="32"/>
        <v>0</v>
      </c>
      <c r="G48" s="14">
        <f t="shared" si="32"/>
        <v>0</v>
      </c>
      <c r="H48" s="15">
        <v>202999.99999999997</v>
      </c>
      <c r="I48" s="15">
        <v>760000</v>
      </c>
      <c r="J48" s="15">
        <f t="shared" si="13"/>
        <v>33345110.870106395</v>
      </c>
      <c r="K48" s="15">
        <f t="shared" si="13"/>
        <v>43538823.869410202</v>
      </c>
      <c r="L48" s="15">
        <f t="shared" si="13"/>
        <v>2236857.7670456949</v>
      </c>
      <c r="M48" s="15">
        <f t="shared" si="14"/>
        <v>6560832.7343446892</v>
      </c>
      <c r="N48" s="15"/>
      <c r="O48" s="15">
        <f t="shared" si="15"/>
        <v>14480715.097082175</v>
      </c>
      <c r="P48" s="15">
        <f t="shared" si="19"/>
        <v>122291816.26725471</v>
      </c>
      <c r="Q48" s="166">
        <f t="shared" ref="Q48:Y48" si="40">$B$29*Q21</f>
        <v>16380292.831020109</v>
      </c>
      <c r="R48" s="166">
        <f t="shared" si="40"/>
        <v>16962126.003140688</v>
      </c>
      <c r="S48" s="166">
        <f t="shared" si="40"/>
        <v>37326588.669507571</v>
      </c>
      <c r="T48" s="166">
        <f t="shared" si="40"/>
        <v>26330837.030990008</v>
      </c>
      <c r="U48" s="166">
        <f t="shared" si="40"/>
        <v>6615624.8637397261</v>
      </c>
      <c r="V48" s="166">
        <f t="shared" si="40"/>
        <v>18846806.670156319</v>
      </c>
      <c r="W48" s="166">
        <f t="shared" si="40"/>
        <v>157627410.73677179</v>
      </c>
      <c r="X48" s="166">
        <f t="shared" si="40"/>
        <v>83634522.988945991</v>
      </c>
      <c r="Y48" s="166">
        <f t="shared" si="40"/>
        <v>12743161.702750111</v>
      </c>
      <c r="Z48" s="186">
        <f t="shared" si="28"/>
        <v>376467371.49702227</v>
      </c>
      <c r="AA48" s="167">
        <f t="shared" si="21"/>
        <v>-2508250780.6235952</v>
      </c>
      <c r="AB48" s="167">
        <f>'Collections and ACP'!K56</f>
        <v>146529368.81222194</v>
      </c>
      <c r="AC48" s="167">
        <f t="shared" si="17"/>
        <v>-2361721411.8113732</v>
      </c>
      <c r="AD48" s="167">
        <f t="shared" si="22"/>
        <v>498759187.76427698</v>
      </c>
      <c r="AE48" s="16">
        <f t="shared" si="18"/>
        <v>-2860480599.5756502</v>
      </c>
      <c r="AF48" s="17"/>
    </row>
    <row r="49" spans="1:32" x14ac:dyDescent="0.25">
      <c r="A49" s="165" t="s">
        <v>35</v>
      </c>
      <c r="B49" s="14">
        <f t="shared" si="32"/>
        <v>0</v>
      </c>
      <c r="C49" s="14">
        <f t="shared" si="32"/>
        <v>0</v>
      </c>
      <c r="D49" s="14">
        <f t="shared" si="32"/>
        <v>20612793.444167066</v>
      </c>
      <c r="E49" s="14">
        <f t="shared" si="32"/>
        <v>447845.13952260686</v>
      </c>
      <c r="F49" s="14">
        <f t="shared" si="32"/>
        <v>0</v>
      </c>
      <c r="G49" s="14">
        <f t="shared" si="32"/>
        <v>0</v>
      </c>
      <c r="H49" s="15">
        <v>202999.99999999997</v>
      </c>
      <c r="I49" s="15">
        <v>760000</v>
      </c>
      <c r="J49" s="15">
        <f t="shared" si="13"/>
        <v>34379573.139118679</v>
      </c>
      <c r="K49" s="15">
        <f t="shared" si="13"/>
        <v>44763605.488191247</v>
      </c>
      <c r="L49" s="15">
        <f t="shared" si="13"/>
        <v>2267408.1850036662</v>
      </c>
      <c r="M49" s="15">
        <f t="shared" si="14"/>
        <v>6603676.0074598556</v>
      </c>
      <c r="N49" s="15"/>
      <c r="O49" s="15">
        <f t="shared" si="15"/>
        <v>14480715.097082175</v>
      </c>
      <c r="P49" s="15">
        <f t="shared" si="19"/>
        <v>124518616.50054529</v>
      </c>
      <c r="Q49" s="166">
        <f t="shared" ref="Q49:Y49" si="41">$B$29*Q22</f>
        <v>15725081.117779303</v>
      </c>
      <c r="R49" s="166">
        <f t="shared" si="41"/>
        <v>14381868.932262544</v>
      </c>
      <c r="S49" s="166">
        <f t="shared" si="41"/>
        <v>38550712.576847143</v>
      </c>
      <c r="T49" s="166">
        <f t="shared" si="41"/>
        <v>27042794.317101605</v>
      </c>
      <c r="U49" s="166">
        <f t="shared" si="41"/>
        <v>5710721.0733210323</v>
      </c>
      <c r="V49" s="166">
        <f t="shared" si="41"/>
        <v>15979854.369180603</v>
      </c>
      <c r="W49" s="166">
        <f t="shared" si="41"/>
        <v>173759109.80043897</v>
      </c>
      <c r="X49" s="166">
        <f t="shared" si="41"/>
        <v>91094761.889228344</v>
      </c>
      <c r="Y49" s="166">
        <f t="shared" si="41"/>
        <v>14079452.630421946</v>
      </c>
      <c r="Z49" s="186">
        <f t="shared" si="28"/>
        <v>396324356.70658147</v>
      </c>
      <c r="AA49" s="167">
        <f t="shared" si="21"/>
        <v>-2860480599.5756502</v>
      </c>
      <c r="AB49" s="167">
        <f>'Collections and ACP'!K57</f>
        <v>146529368.81222194</v>
      </c>
      <c r="AC49" s="167">
        <f t="shared" si="17"/>
        <v>-2713951230.7634282</v>
      </c>
      <c r="AD49" s="167">
        <f t="shared" si="22"/>
        <v>520842973.20712674</v>
      </c>
      <c r="AE49" s="16">
        <f t="shared" si="18"/>
        <v>-3234794203.9705548</v>
      </c>
      <c r="AF49" s="17"/>
    </row>
    <row r="50" spans="1:32" x14ac:dyDescent="0.25">
      <c r="A50" s="165" t="s">
        <v>36</v>
      </c>
      <c r="B50" s="14">
        <f t="shared" si="32"/>
        <v>0</v>
      </c>
      <c r="C50" s="14">
        <f t="shared" si="32"/>
        <v>0</v>
      </c>
      <c r="D50" s="14">
        <f t="shared" si="32"/>
        <v>20509769.090448372</v>
      </c>
      <c r="E50" s="14">
        <f t="shared" si="32"/>
        <v>445561.96806939295</v>
      </c>
      <c r="F50" s="14">
        <f t="shared" si="32"/>
        <v>0</v>
      </c>
      <c r="G50" s="14">
        <f t="shared" si="32"/>
        <v>0</v>
      </c>
      <c r="H50" s="15">
        <v>202999.99999999997</v>
      </c>
      <c r="I50" s="15">
        <v>760000</v>
      </c>
      <c r="J50" s="15">
        <f t="shared" si="13"/>
        <v>35328650.316743366</v>
      </c>
      <c r="K50" s="15">
        <f t="shared" si="13"/>
        <v>45856583.383740939</v>
      </c>
      <c r="L50" s="15">
        <f t="shared" si="13"/>
        <v>2294169.5954424217</v>
      </c>
      <c r="M50" s="15">
        <f t="shared" si="14"/>
        <v>6631209.5886768233</v>
      </c>
      <c r="N50" s="15"/>
      <c r="O50" s="15">
        <f t="shared" si="15"/>
        <v>14480715.097082175</v>
      </c>
      <c r="P50" s="15">
        <f t="shared" si="19"/>
        <v>126509659.04020348</v>
      </c>
      <c r="Q50" s="166">
        <f t="shared" ref="Q50:Y50" si="42">$B$29*Q23</f>
        <v>15096077.873068132</v>
      </c>
      <c r="R50" s="166">
        <f t="shared" si="42"/>
        <v>11904822.14421952</v>
      </c>
      <c r="S50" s="166">
        <f t="shared" si="42"/>
        <v>39712285.590622537</v>
      </c>
      <c r="T50" s="166">
        <f t="shared" si="42"/>
        <v>27717447.357931979</v>
      </c>
      <c r="U50" s="166">
        <f t="shared" si="42"/>
        <v>4842013.434519087</v>
      </c>
      <c r="V50" s="166">
        <f t="shared" si="42"/>
        <v>13227580.160243912</v>
      </c>
      <c r="W50" s="166">
        <f t="shared" si="42"/>
        <v>185220331.46926576</v>
      </c>
      <c r="X50" s="166">
        <f t="shared" si="42"/>
        <v>100532014.46591356</v>
      </c>
      <c r="Y50" s="166">
        <f t="shared" si="42"/>
        <v>15600966.275947316</v>
      </c>
      <c r="Z50" s="186">
        <f t="shared" si="28"/>
        <v>413853538.77173185</v>
      </c>
      <c r="AA50" s="167">
        <f t="shared" si="21"/>
        <v>-3234794203.9705548</v>
      </c>
      <c r="AB50" s="167">
        <f>'Collections and ACP'!K58</f>
        <v>146529368.81222194</v>
      </c>
      <c r="AC50" s="167">
        <f t="shared" si="17"/>
        <v>-3088264835.1583328</v>
      </c>
      <c r="AD50" s="167">
        <f t="shared" si="22"/>
        <v>540363197.81193531</v>
      </c>
      <c r="AE50" s="16">
        <f t="shared" si="18"/>
        <v>-3628628032.9702682</v>
      </c>
      <c r="AF50" s="17"/>
    </row>
    <row r="51" spans="1:32" x14ac:dyDescent="0.25">
      <c r="A51" s="165" t="s">
        <v>37</v>
      </c>
      <c r="B51" s="14">
        <f t="shared" ref="B51:G54" si="43">B24*$B$29</f>
        <v>0</v>
      </c>
      <c r="C51" s="14">
        <f t="shared" si="43"/>
        <v>0</v>
      </c>
      <c r="D51" s="14">
        <f t="shared" si="43"/>
        <v>20407058.168911815</v>
      </c>
      <c r="E51" s="14">
        <f t="shared" si="43"/>
        <v>443399.43834979582</v>
      </c>
      <c r="F51" s="14">
        <f t="shared" si="43"/>
        <v>0</v>
      </c>
      <c r="G51" s="14">
        <f t="shared" si="43"/>
        <v>0</v>
      </c>
      <c r="H51" s="15">
        <v>202999.99999999997</v>
      </c>
      <c r="I51" s="15"/>
      <c r="J51" s="15">
        <f t="shared" si="13"/>
        <v>35698047.634283148</v>
      </c>
      <c r="K51" s="15">
        <f t="shared" si="13"/>
        <v>46137257.706024706</v>
      </c>
      <c r="L51" s="15">
        <f t="shared" si="13"/>
        <v>2297453.1833927101</v>
      </c>
      <c r="M51" s="15">
        <f t="shared" si="14"/>
        <v>6665688.4315819545</v>
      </c>
      <c r="N51" s="15"/>
      <c r="O51" s="15">
        <f t="shared" si="15"/>
        <v>14480715.097082175</v>
      </c>
      <c r="P51" s="15">
        <f t="shared" si="19"/>
        <v>126332619.65962631</v>
      </c>
      <c r="Q51" s="166">
        <f t="shared" ref="Q51:Y51" si="44">$B$29*Q24</f>
        <v>14492234.758145405</v>
      </c>
      <c r="R51" s="166">
        <f t="shared" si="44"/>
        <v>11428629.258450739</v>
      </c>
      <c r="S51" s="166">
        <f t="shared" si="44"/>
        <v>40813877.676262662</v>
      </c>
      <c r="T51" s="166">
        <f t="shared" si="44"/>
        <v>28356332.453061566</v>
      </c>
      <c r="U51" s="166">
        <f t="shared" si="44"/>
        <v>4008054.1012692186</v>
      </c>
      <c r="V51" s="166">
        <f t="shared" si="44"/>
        <v>12698476.953834156</v>
      </c>
      <c r="W51" s="166">
        <f t="shared" si="44"/>
        <v>200495283.62126642</v>
      </c>
      <c r="X51" s="166">
        <f t="shared" si="44"/>
        <v>110067324.58729582</v>
      </c>
      <c r="Y51" s="166">
        <f t="shared" si="44"/>
        <v>17136433.337022036</v>
      </c>
      <c r="Z51" s="186">
        <f t="shared" si="28"/>
        <v>439496646.74660802</v>
      </c>
      <c r="AA51" s="167">
        <f t="shared" si="21"/>
        <v>-3628628032.9702682</v>
      </c>
      <c r="AB51" s="167">
        <f>'Collections and ACP'!K59</f>
        <v>146529368.81222194</v>
      </c>
      <c r="AC51" s="167">
        <f t="shared" si="17"/>
        <v>-3482098664.1580462</v>
      </c>
      <c r="AD51" s="167">
        <f t="shared" si="22"/>
        <v>565829266.40623426</v>
      </c>
      <c r="AE51" s="16">
        <f t="shared" si="18"/>
        <v>-4047927930.5642805</v>
      </c>
      <c r="AF51" s="17"/>
    </row>
    <row r="52" spans="1:32" x14ac:dyDescent="0.25">
      <c r="A52" s="165" t="s">
        <v>38</v>
      </c>
      <c r="B52" s="14">
        <f t="shared" si="43"/>
        <v>0</v>
      </c>
      <c r="C52" s="14">
        <f t="shared" si="43"/>
        <v>0</v>
      </c>
      <c r="D52" s="14">
        <f t="shared" si="43"/>
        <v>20305203.946753398</v>
      </c>
      <c r="E52" s="14">
        <f t="shared" si="43"/>
        <v>441205.32039828593</v>
      </c>
      <c r="F52" s="14">
        <f t="shared" si="43"/>
        <v>0</v>
      </c>
      <c r="G52" s="14">
        <f t="shared" si="43"/>
        <v>0</v>
      </c>
      <c r="H52" s="15">
        <v>202999.99999999997</v>
      </c>
      <c r="I52" s="18"/>
      <c r="J52" s="15">
        <f t="shared" si="13"/>
        <v>36296513.269261368</v>
      </c>
      <c r="K52" s="15">
        <f t="shared" si="13"/>
        <v>46728629.156242222</v>
      </c>
      <c r="L52" s="15">
        <f t="shared" si="13"/>
        <v>2309750.2611474367</v>
      </c>
      <c r="M52" s="15">
        <f t="shared" si="14"/>
        <v>6691941.1429968243</v>
      </c>
      <c r="N52" s="15"/>
      <c r="O52" s="15">
        <f t="shared" si="15"/>
        <v>14480715.097082175</v>
      </c>
      <c r="P52" s="15">
        <f t="shared" si="19"/>
        <v>127456958.19388169</v>
      </c>
      <c r="Q52" s="166">
        <f t="shared" ref="Q52:Y52" si="45">$B$29*Q25</f>
        <v>0</v>
      </c>
      <c r="R52" s="166">
        <f t="shared" si="45"/>
        <v>9518864.473843284</v>
      </c>
      <c r="S52" s="166">
        <f t="shared" si="45"/>
        <v>41857955.660930865</v>
      </c>
      <c r="T52" s="166">
        <f t="shared" si="45"/>
        <v>28214550.790796265</v>
      </c>
      <c r="U52" s="166">
        <f t="shared" si="45"/>
        <v>3847731.9372184491</v>
      </c>
      <c r="V52" s="166">
        <f t="shared" si="45"/>
        <v>10576516.082048096</v>
      </c>
      <c r="W52" s="166">
        <f t="shared" si="45"/>
        <v>215833742.61575699</v>
      </c>
      <c r="X52" s="166">
        <f t="shared" si="45"/>
        <v>118036485.17299068</v>
      </c>
      <c r="Y52" s="166">
        <f t="shared" si="45"/>
        <v>18524870.535183363</v>
      </c>
      <c r="Z52" s="186">
        <f t="shared" si="28"/>
        <v>446410717.26876801</v>
      </c>
      <c r="AA52" s="167">
        <f t="shared" si="21"/>
        <v>-4047927930.5642805</v>
      </c>
      <c r="AB52" s="167">
        <f>'Collections and ACP'!K60</f>
        <v>146529368.81222194</v>
      </c>
      <c r="AC52" s="167">
        <f t="shared" si="17"/>
        <v>-3901398561.7520585</v>
      </c>
      <c r="AD52" s="167">
        <f t="shared" si="22"/>
        <v>573867675.4626497</v>
      </c>
      <c r="AE52" s="16">
        <f t="shared" si="18"/>
        <v>-4475266237.2147083</v>
      </c>
    </row>
    <row r="53" spans="1:32" x14ac:dyDescent="0.25">
      <c r="A53" s="165" t="s">
        <v>39</v>
      </c>
      <c r="B53" s="14">
        <f t="shared" si="43"/>
        <v>0</v>
      </c>
      <c r="C53" s="14">
        <f t="shared" si="43"/>
        <v>0</v>
      </c>
      <c r="D53" s="14">
        <f t="shared" si="43"/>
        <v>20203660.411233537</v>
      </c>
      <c r="E53" s="14">
        <f t="shared" si="43"/>
        <v>438977.35232716508</v>
      </c>
      <c r="F53" s="14">
        <f t="shared" si="43"/>
        <v>0</v>
      </c>
      <c r="G53" s="14">
        <f t="shared" si="43"/>
        <v>0</v>
      </c>
      <c r="H53" s="15">
        <v>202999.99999999997</v>
      </c>
      <c r="I53" s="18"/>
      <c r="J53" s="15">
        <f t="shared" si="13"/>
        <v>37104459.807878539</v>
      </c>
      <c r="K53" s="15">
        <f t="shared" si="13"/>
        <v>47599239.57560654</v>
      </c>
      <c r="L53" s="15">
        <f t="shared" si="13"/>
        <v>-1682471.0215890987</v>
      </c>
      <c r="M53" s="15">
        <f t="shared" si="14"/>
        <v>6718958.6324792132</v>
      </c>
      <c r="N53" s="15"/>
      <c r="O53" s="15">
        <f t="shared" si="15"/>
        <v>14480715.097082175</v>
      </c>
      <c r="P53" s="15">
        <f t="shared" si="19"/>
        <v>125066539.85501805</v>
      </c>
      <c r="Q53" s="166">
        <f t="shared" ref="Q53:Y53" si="46">$B$29*Q26</f>
        <v>0</v>
      </c>
      <c r="R53" s="166">
        <f t="shared" si="46"/>
        <v>7766191.3703017626</v>
      </c>
      <c r="S53" s="166">
        <f t="shared" si="46"/>
        <v>41648665.882626221</v>
      </c>
      <c r="T53" s="166">
        <f t="shared" si="46"/>
        <v>28073478.036842279</v>
      </c>
      <c r="U53" s="166">
        <f t="shared" si="46"/>
        <v>3204762.1822169358</v>
      </c>
      <c r="V53" s="166">
        <f t="shared" si="46"/>
        <v>8629101.5225575157</v>
      </c>
      <c r="W53" s="166">
        <f t="shared" si="46"/>
        <v>228136490.64303052</v>
      </c>
      <c r="X53" s="166">
        <f t="shared" si="46"/>
        <v>126901280.77373832</v>
      </c>
      <c r="Y53" s="166">
        <f t="shared" si="46"/>
        <v>19999721.837269217</v>
      </c>
      <c r="Z53" s="186">
        <f t="shared" si="28"/>
        <v>464359692.24858284</v>
      </c>
      <c r="AA53" s="167">
        <f t="shared" si="21"/>
        <v>-4475266237.2147083</v>
      </c>
      <c r="AB53" s="167">
        <f>'Collections and ACP'!K61</f>
        <v>146529368.81222194</v>
      </c>
      <c r="AC53" s="167">
        <f t="shared" si="17"/>
        <v>-4328736868.4024868</v>
      </c>
      <c r="AD53" s="167">
        <f t="shared" si="22"/>
        <v>589426232.10360086</v>
      </c>
      <c r="AE53" s="16">
        <f t="shared" si="18"/>
        <v>-4918163100.5060873</v>
      </c>
    </row>
    <row r="54" spans="1:32" x14ac:dyDescent="0.25">
      <c r="A54" s="165" t="s">
        <v>158</v>
      </c>
      <c r="B54" s="14">
        <f t="shared" si="43"/>
        <v>0</v>
      </c>
      <c r="C54" s="14">
        <f t="shared" si="43"/>
        <v>0</v>
      </c>
      <c r="D54" s="14">
        <f t="shared" si="43"/>
        <v>16625641.465697961</v>
      </c>
      <c r="E54" s="14">
        <f t="shared" si="43"/>
        <v>436752.81039323629</v>
      </c>
      <c r="F54" s="14">
        <f t="shared" si="43"/>
        <v>0</v>
      </c>
      <c r="G54" s="14">
        <f t="shared" si="43"/>
        <v>0</v>
      </c>
      <c r="H54" s="15">
        <v>203001</v>
      </c>
      <c r="I54" s="18"/>
      <c r="J54" s="15">
        <f t="shared" si="13"/>
        <v>0</v>
      </c>
      <c r="K54" s="15">
        <f t="shared" si="13"/>
        <v>0</v>
      </c>
      <c r="L54" s="15">
        <f t="shared" si="13"/>
        <v>0</v>
      </c>
      <c r="M54" s="15">
        <f t="shared" si="14"/>
        <v>6718958.6324792132</v>
      </c>
      <c r="N54" s="15"/>
      <c r="O54" s="15">
        <f t="shared" si="15"/>
        <v>14480715.097082175</v>
      </c>
      <c r="P54" s="15">
        <f t="shared" ref="P54" si="47">SUM(B54:O54)</f>
        <v>38465069.005652584</v>
      </c>
      <c r="Q54" s="166">
        <f t="shared" ref="Q54:Y54" si="48">$B$29*Q27</f>
        <v>0</v>
      </c>
      <c r="R54" s="166">
        <f t="shared" si="48"/>
        <v>0</v>
      </c>
      <c r="S54" s="166">
        <f t="shared" si="48"/>
        <v>0</v>
      </c>
      <c r="T54" s="166">
        <f t="shared" si="48"/>
        <v>0</v>
      </c>
      <c r="U54" s="166">
        <f t="shared" si="48"/>
        <v>0</v>
      </c>
      <c r="V54" s="166">
        <f t="shared" si="48"/>
        <v>0</v>
      </c>
      <c r="W54" s="166">
        <f t="shared" si="48"/>
        <v>242106795.01083377</v>
      </c>
      <c r="X54" s="166">
        <f t="shared" si="48"/>
        <v>136756491.19139439</v>
      </c>
      <c r="Y54" s="166">
        <f t="shared" si="48"/>
        <v>21568667.720471431</v>
      </c>
      <c r="Z54" s="186">
        <f t="shared" ref="Z54" si="49">SUM(Q54:Y54)</f>
        <v>400431953.92269963</v>
      </c>
      <c r="AA54" s="167">
        <f t="shared" si="21"/>
        <v>-4918163100.5060873</v>
      </c>
      <c r="AB54" s="167">
        <f>AB53</f>
        <v>146529368.81222194</v>
      </c>
      <c r="AC54" s="167">
        <f t="shared" si="17"/>
        <v>-4771633731.6938658</v>
      </c>
      <c r="AD54" s="167">
        <f t="shared" si="22"/>
        <v>438897022.92835224</v>
      </c>
      <c r="AE54" s="16">
        <f t="shared" si="18"/>
        <v>-5210530754.6222181</v>
      </c>
    </row>
    <row r="56" spans="1:32" x14ac:dyDescent="0.25">
      <c r="A56" s="168" t="s">
        <v>42</v>
      </c>
      <c r="B56" s="20">
        <v>0.70538159360122976</v>
      </c>
    </row>
    <row r="57" spans="1:32" ht="60" x14ac:dyDescent="0.25">
      <c r="A57" s="164" t="s">
        <v>1</v>
      </c>
      <c r="B57" s="164" t="s">
        <v>184</v>
      </c>
      <c r="C57" s="164" t="s">
        <v>185</v>
      </c>
      <c r="D57" s="164" t="s">
        <v>214</v>
      </c>
      <c r="E57" s="164" t="s">
        <v>144</v>
      </c>
      <c r="F57" s="164" t="s">
        <v>215</v>
      </c>
      <c r="G57" s="164" t="s">
        <v>216</v>
      </c>
      <c r="H57" s="164" t="s">
        <v>217</v>
      </c>
      <c r="I57" s="13" t="s">
        <v>218</v>
      </c>
      <c r="J57" s="13" t="s">
        <v>219</v>
      </c>
      <c r="K57" s="13" t="s">
        <v>220</v>
      </c>
      <c r="L57" s="13" t="s">
        <v>221</v>
      </c>
      <c r="M57" s="164" t="s">
        <v>222</v>
      </c>
      <c r="N57" s="164" t="s">
        <v>223</v>
      </c>
      <c r="O57" s="164" t="s">
        <v>202</v>
      </c>
      <c r="P57" s="13" t="s">
        <v>200</v>
      </c>
      <c r="Q57" s="188" t="s">
        <v>184</v>
      </c>
      <c r="R57" s="188" t="s">
        <v>185</v>
      </c>
      <c r="S57" s="188" t="s">
        <v>139</v>
      </c>
      <c r="T57" s="188" t="s">
        <v>144</v>
      </c>
      <c r="U57" s="188" t="s">
        <v>148</v>
      </c>
      <c r="V57" s="188" t="s">
        <v>151</v>
      </c>
      <c r="W57" s="188" t="s">
        <v>81</v>
      </c>
      <c r="X57" s="188" t="s">
        <v>82</v>
      </c>
      <c r="Y57" s="188" t="s">
        <v>77</v>
      </c>
      <c r="Z57" s="188" t="s">
        <v>224</v>
      </c>
      <c r="AA57" s="13" t="s">
        <v>225</v>
      </c>
      <c r="AB57" s="13" t="s">
        <v>226</v>
      </c>
      <c r="AC57" s="13" t="s">
        <v>227</v>
      </c>
      <c r="AD57" s="164" t="s">
        <v>165</v>
      </c>
      <c r="AE57" s="164" t="s">
        <v>228</v>
      </c>
    </row>
    <row r="58" spans="1:32" x14ac:dyDescent="0.25">
      <c r="A58" s="165" t="s">
        <v>16</v>
      </c>
      <c r="B58" s="14">
        <f t="shared" ref="B58:G67" si="50">B4*$B$56</f>
        <v>97307913.313436016</v>
      </c>
      <c r="C58" s="14">
        <f t="shared" si="50"/>
        <v>34296777.706035547</v>
      </c>
      <c r="D58" s="14">
        <f t="shared" si="50"/>
        <v>21153729.226379439</v>
      </c>
      <c r="E58" s="14">
        <f t="shared" si="50"/>
        <v>0</v>
      </c>
      <c r="F58" s="14">
        <f t="shared" si="50"/>
        <v>0</v>
      </c>
      <c r="G58" s="14">
        <f t="shared" si="50"/>
        <v>0</v>
      </c>
      <c r="H58" s="15">
        <v>23095359.600711424</v>
      </c>
      <c r="I58" s="15">
        <v>4022753.2299999995</v>
      </c>
      <c r="J58" s="14">
        <f t="shared" ref="J58:L81" si="51">J4*$B$56</f>
        <v>0</v>
      </c>
      <c r="K58" s="14">
        <f t="shared" si="51"/>
        <v>0</v>
      </c>
      <c r="L58" s="14">
        <f t="shared" si="51"/>
        <v>0</v>
      </c>
      <c r="M58" s="15">
        <f t="shared" ref="M58:M81" si="52">$B$56*M4</f>
        <v>4766319.8739403263</v>
      </c>
      <c r="N58" s="15"/>
      <c r="O58" s="15">
        <f t="shared" ref="O58:O81" si="53">$B$56*O4</f>
        <v>7943866.4565672111</v>
      </c>
      <c r="P58" s="15">
        <f>SUM(B58:O58)</f>
        <v>192586719.40706992</v>
      </c>
      <c r="Q58" s="166">
        <f t="shared" ref="Q58:Y58" si="54">$B$56*Q4</f>
        <v>0</v>
      </c>
      <c r="R58" s="166">
        <f t="shared" si="54"/>
        <v>0</v>
      </c>
      <c r="S58" s="166">
        <f t="shared" si="54"/>
        <v>0</v>
      </c>
      <c r="T58" s="166">
        <f t="shared" si="54"/>
        <v>0</v>
      </c>
      <c r="U58" s="166">
        <f t="shared" si="54"/>
        <v>0</v>
      </c>
      <c r="V58" s="166">
        <f t="shared" si="54"/>
        <v>0</v>
      </c>
      <c r="W58" s="166">
        <f t="shared" si="54"/>
        <v>0</v>
      </c>
      <c r="X58" s="166">
        <f t="shared" si="54"/>
        <v>0</v>
      </c>
      <c r="Y58" s="166">
        <f t="shared" si="54"/>
        <v>0</v>
      </c>
      <c r="Z58" s="186">
        <f>SUM(Q58:Y58)</f>
        <v>0</v>
      </c>
      <c r="AA58" s="167">
        <f>'Collections and ACP'!C149+'Collections and ACP'!C141</f>
        <v>204555086.45917991</v>
      </c>
      <c r="AB58" s="167">
        <f>'Collections and ACP'!K72</f>
        <v>160340838.45917991</v>
      </c>
      <c r="AC58" s="167">
        <f t="shared" ref="AC58:AC81" si="55">AA58+AB58</f>
        <v>364895924.91835982</v>
      </c>
      <c r="AD58" s="167">
        <f>P58+Z58</f>
        <v>192586719.40706992</v>
      </c>
      <c r="AE58" s="16">
        <f t="shared" ref="AE58:AE81" si="56">AC58-AD58</f>
        <v>172309205.51128989</v>
      </c>
    </row>
    <row r="59" spans="1:32" x14ac:dyDescent="0.25">
      <c r="A59" s="165" t="s">
        <v>17</v>
      </c>
      <c r="B59" s="14">
        <f t="shared" si="50"/>
        <v>43700571.00331334</v>
      </c>
      <c r="C59" s="14">
        <f t="shared" si="50"/>
        <v>42815336.628306307</v>
      </c>
      <c r="D59" s="14">
        <f t="shared" si="50"/>
        <v>59387707.158155233</v>
      </c>
      <c r="E59" s="14">
        <f t="shared" si="50"/>
        <v>0</v>
      </c>
      <c r="F59" s="14">
        <f t="shared" si="50"/>
        <v>0</v>
      </c>
      <c r="G59" s="14">
        <f t="shared" si="50"/>
        <v>0</v>
      </c>
      <c r="H59" s="15">
        <v>18588255.383493654</v>
      </c>
      <c r="I59" s="15">
        <v>13774212.278173922</v>
      </c>
      <c r="J59" s="14">
        <f t="shared" si="51"/>
        <v>0</v>
      </c>
      <c r="K59" s="14">
        <f t="shared" si="51"/>
        <v>0</v>
      </c>
      <c r="L59" s="14">
        <f t="shared" si="51"/>
        <v>0</v>
      </c>
      <c r="M59" s="15">
        <f t="shared" si="52"/>
        <v>9834525.4696835726</v>
      </c>
      <c r="N59" s="15">
        <v>10000000</v>
      </c>
      <c r="O59" s="15">
        <f t="shared" si="53"/>
        <v>35269079.680061489</v>
      </c>
      <c r="P59" s="15">
        <f t="shared" ref="P59:P81" si="57">SUM(B59:O59)</f>
        <v>233369687.60118756</v>
      </c>
      <c r="Q59" s="166">
        <f t="shared" ref="Q59:Y59" si="58">$B$56*Q5</f>
        <v>0</v>
      </c>
      <c r="R59" s="166">
        <f t="shared" si="58"/>
        <v>0</v>
      </c>
      <c r="S59" s="166">
        <f t="shared" si="58"/>
        <v>0</v>
      </c>
      <c r="T59" s="166">
        <f t="shared" si="58"/>
        <v>0</v>
      </c>
      <c r="U59" s="166">
        <f t="shared" si="58"/>
        <v>0</v>
      </c>
      <c r="V59" s="166">
        <f t="shared" si="58"/>
        <v>0</v>
      </c>
      <c r="W59" s="166">
        <f t="shared" si="58"/>
        <v>0</v>
      </c>
      <c r="X59" s="166">
        <f t="shared" si="58"/>
        <v>0</v>
      </c>
      <c r="Y59" s="166">
        <f t="shared" si="58"/>
        <v>0</v>
      </c>
      <c r="Z59" s="186">
        <f t="shared" ref="Z59:Z81" si="59">SUM(Q59:Y59)</f>
        <v>0</v>
      </c>
      <c r="AA59" s="167">
        <f t="shared" ref="AA59:AA81" si="60">AE58</f>
        <v>172309205.51128989</v>
      </c>
      <c r="AB59" s="167">
        <f>'Collections and ACP'!K73</f>
        <v>334084827.7045005</v>
      </c>
      <c r="AC59" s="167">
        <f t="shared" si="55"/>
        <v>506394033.21579039</v>
      </c>
      <c r="AD59" s="167">
        <f t="shared" ref="AD59:AD81" si="61">P59+Z59</f>
        <v>233369687.60118756</v>
      </c>
      <c r="AE59" s="16">
        <f t="shared" si="56"/>
        <v>273024345.6146028</v>
      </c>
    </row>
    <row r="60" spans="1:32" x14ac:dyDescent="0.25">
      <c r="A60" s="165" t="s">
        <v>18</v>
      </c>
      <c r="B60" s="14">
        <f t="shared" si="50"/>
        <v>62616931.805914298</v>
      </c>
      <c r="C60" s="14">
        <f t="shared" si="50"/>
        <v>46109469.241783142</v>
      </c>
      <c r="D60" s="14">
        <f t="shared" si="50"/>
        <v>72045681.080744743</v>
      </c>
      <c r="E60" s="14">
        <f t="shared" si="50"/>
        <v>0</v>
      </c>
      <c r="F60" s="14">
        <f t="shared" si="50"/>
        <v>0</v>
      </c>
      <c r="G60" s="14">
        <f t="shared" si="50"/>
        <v>0</v>
      </c>
      <c r="H60" s="15">
        <v>17220344.595163539</v>
      </c>
      <c r="I60" s="15">
        <v>16234169.923732867</v>
      </c>
      <c r="J60" s="14">
        <f t="shared" si="51"/>
        <v>0</v>
      </c>
      <c r="K60" s="14">
        <f t="shared" si="51"/>
        <v>0</v>
      </c>
      <c r="L60" s="14">
        <f t="shared" si="51"/>
        <v>0</v>
      </c>
      <c r="M60" s="15">
        <f t="shared" si="52"/>
        <v>12431567.473247776</v>
      </c>
      <c r="N60" s="15"/>
      <c r="O60" s="15">
        <f t="shared" si="53"/>
        <v>35269079.680061489</v>
      </c>
      <c r="P60" s="15">
        <f t="shared" si="57"/>
        <v>261927243.80064783</v>
      </c>
      <c r="Q60" s="166">
        <f t="shared" ref="Q60:Y60" si="62">$B$56*Q6</f>
        <v>0</v>
      </c>
      <c r="R60" s="166">
        <f t="shared" si="62"/>
        <v>0</v>
      </c>
      <c r="S60" s="166">
        <f t="shared" si="62"/>
        <v>0</v>
      </c>
      <c r="T60" s="166">
        <f t="shared" si="62"/>
        <v>0</v>
      </c>
      <c r="U60" s="166">
        <f t="shared" si="62"/>
        <v>0</v>
      </c>
      <c r="V60" s="166">
        <f t="shared" si="62"/>
        <v>0</v>
      </c>
      <c r="W60" s="166">
        <f t="shared" si="62"/>
        <v>0</v>
      </c>
      <c r="X60" s="166">
        <f t="shared" si="62"/>
        <v>0</v>
      </c>
      <c r="Y60" s="166">
        <f t="shared" si="62"/>
        <v>0</v>
      </c>
      <c r="Z60" s="186">
        <f t="shared" si="59"/>
        <v>0</v>
      </c>
      <c r="AA60" s="167">
        <f t="shared" si="60"/>
        <v>273024345.6146028</v>
      </c>
      <c r="AB60" s="167">
        <f>'Collections and ACP'!K74</f>
        <v>425587002.41775018</v>
      </c>
      <c r="AC60" s="167">
        <f t="shared" si="55"/>
        <v>698611348.03235292</v>
      </c>
      <c r="AD60" s="167">
        <f t="shared" si="61"/>
        <v>261927243.80064783</v>
      </c>
      <c r="AE60" s="16">
        <f t="shared" si="56"/>
        <v>436684104.23170507</v>
      </c>
      <c r="AF60" s="17"/>
    </row>
    <row r="61" spans="1:32" x14ac:dyDescent="0.25">
      <c r="A61" s="165" t="s">
        <v>19</v>
      </c>
      <c r="B61" s="14">
        <f t="shared" si="50"/>
        <v>191392972.12510085</v>
      </c>
      <c r="C61" s="14">
        <f t="shared" si="50"/>
        <v>58773560.092476048</v>
      </c>
      <c r="D61" s="14">
        <f t="shared" si="50"/>
        <v>83352112.431136668</v>
      </c>
      <c r="E61" s="14">
        <f t="shared" si="50"/>
        <v>0</v>
      </c>
      <c r="F61" s="14">
        <f t="shared" si="50"/>
        <v>0</v>
      </c>
      <c r="G61" s="14">
        <f t="shared" si="50"/>
        <v>0</v>
      </c>
      <c r="H61" s="15">
        <v>14320007.415898787</v>
      </c>
      <c r="I61" s="15">
        <v>15893275.783732867</v>
      </c>
      <c r="J61" s="14">
        <f t="shared" si="51"/>
        <v>0</v>
      </c>
      <c r="K61" s="14">
        <f t="shared" si="51"/>
        <v>0</v>
      </c>
      <c r="L61" s="14">
        <f t="shared" si="51"/>
        <v>0</v>
      </c>
      <c r="M61" s="15">
        <f t="shared" si="52"/>
        <v>12219076.408657795</v>
      </c>
      <c r="N61" s="15"/>
      <c r="O61" s="15">
        <f t="shared" si="53"/>
        <v>35269079.680061489</v>
      </c>
      <c r="P61" s="15">
        <f t="shared" si="57"/>
        <v>411220083.93706453</v>
      </c>
      <c r="Q61" s="166">
        <f t="shared" ref="Q61:Y61" si="63">$B$56*Q7</f>
        <v>0</v>
      </c>
      <c r="R61" s="166">
        <f t="shared" si="63"/>
        <v>0</v>
      </c>
      <c r="S61" s="166">
        <f t="shared" si="63"/>
        <v>0</v>
      </c>
      <c r="T61" s="166">
        <f t="shared" si="63"/>
        <v>0</v>
      </c>
      <c r="U61" s="166">
        <f t="shared" si="63"/>
        <v>0</v>
      </c>
      <c r="V61" s="166">
        <f t="shared" si="63"/>
        <v>0</v>
      </c>
      <c r="W61" s="166">
        <f t="shared" si="63"/>
        <v>0</v>
      </c>
      <c r="X61" s="166">
        <f t="shared" si="63"/>
        <v>0</v>
      </c>
      <c r="Y61" s="166">
        <f t="shared" si="63"/>
        <v>0</v>
      </c>
      <c r="Z61" s="186">
        <f t="shared" si="59"/>
        <v>0</v>
      </c>
      <c r="AA61" s="167">
        <f>AE60</f>
        <v>436684104.23170507</v>
      </c>
      <c r="AB61" s="167">
        <f>'Collections and ACP'!K75</f>
        <v>419076745.64009327</v>
      </c>
      <c r="AC61" s="167">
        <f t="shared" si="55"/>
        <v>855760849.87179828</v>
      </c>
      <c r="AD61" s="167">
        <f t="shared" si="61"/>
        <v>411220083.93706453</v>
      </c>
      <c r="AE61" s="16">
        <f t="shared" si="56"/>
        <v>444540765.93473375</v>
      </c>
      <c r="AF61" s="17"/>
    </row>
    <row r="62" spans="1:32" x14ac:dyDescent="0.25">
      <c r="A62" s="165" t="s">
        <v>21</v>
      </c>
      <c r="B62" s="14">
        <f t="shared" si="50"/>
        <v>112082951.15020713</v>
      </c>
      <c r="C62" s="14">
        <f t="shared" si="50"/>
        <v>66355957.280776657</v>
      </c>
      <c r="D62" s="14">
        <f t="shared" si="50"/>
        <v>97942828.273370713</v>
      </c>
      <c r="E62" s="14">
        <f t="shared" si="50"/>
        <v>77546.337107029278</v>
      </c>
      <c r="F62" s="14">
        <f t="shared" si="50"/>
        <v>619005.40045041044</v>
      </c>
      <c r="G62" s="14">
        <f t="shared" si="50"/>
        <v>0</v>
      </c>
      <c r="H62" s="15">
        <v>14162541.685608782</v>
      </c>
      <c r="I62" s="15">
        <v>15893275.783732867</v>
      </c>
      <c r="J62" s="14">
        <f t="shared" si="51"/>
        <v>0</v>
      </c>
      <c r="K62" s="14">
        <f t="shared" si="51"/>
        <v>0</v>
      </c>
      <c r="L62" s="14">
        <f t="shared" si="51"/>
        <v>31266.163415331292</v>
      </c>
      <c r="M62" s="15">
        <f t="shared" si="52"/>
        <v>12131448.594814496</v>
      </c>
      <c r="N62" s="15">
        <v>10000000</v>
      </c>
      <c r="O62" s="15">
        <f t="shared" si="53"/>
        <v>35269079.680061489</v>
      </c>
      <c r="P62" s="15">
        <f t="shared" si="57"/>
        <v>364565900.34954488</v>
      </c>
      <c r="Q62" s="166">
        <f t="shared" ref="Q62:Y62" si="64">$B$56*Q8</f>
        <v>16153831.027220909</v>
      </c>
      <c r="R62" s="166">
        <f t="shared" si="64"/>
        <v>3530991.690779923</v>
      </c>
      <c r="S62" s="166">
        <f t="shared" si="64"/>
        <v>0</v>
      </c>
      <c r="T62" s="166">
        <f t="shared" si="64"/>
        <v>0</v>
      </c>
      <c r="U62" s="166">
        <f t="shared" si="64"/>
        <v>0</v>
      </c>
      <c r="V62" s="166">
        <f t="shared" si="64"/>
        <v>4044297.8430437441</v>
      </c>
      <c r="W62" s="166">
        <f t="shared" si="64"/>
        <v>0</v>
      </c>
      <c r="X62" s="166">
        <f t="shared" si="64"/>
        <v>0</v>
      </c>
      <c r="Y62" s="166">
        <f t="shared" si="64"/>
        <v>0</v>
      </c>
      <c r="Z62" s="186">
        <f t="shared" si="59"/>
        <v>23729120.561044578</v>
      </c>
      <c r="AA62" s="167">
        <f t="shared" si="60"/>
        <v>444540765.93473375</v>
      </c>
      <c r="AB62" s="167">
        <f>'Collections and ACP'!K76</f>
        <v>416550490.5059967</v>
      </c>
      <c r="AC62" s="167">
        <f t="shared" si="55"/>
        <v>861091256.44073045</v>
      </c>
      <c r="AD62" s="167">
        <f t="shared" si="61"/>
        <v>388295020.91058946</v>
      </c>
      <c r="AE62" s="16">
        <f t="shared" si="56"/>
        <v>472796235.530141</v>
      </c>
      <c r="AF62" s="17"/>
    </row>
    <row r="63" spans="1:32" x14ac:dyDescent="0.25">
      <c r="A63" s="165" t="s">
        <v>22</v>
      </c>
      <c r="B63" s="14">
        <f t="shared" si="50"/>
        <v>0</v>
      </c>
      <c r="C63" s="14">
        <f t="shared" si="50"/>
        <v>55673079.358367994</v>
      </c>
      <c r="D63" s="14">
        <f t="shared" si="50"/>
        <v>101313425.79637961</v>
      </c>
      <c r="E63" s="14">
        <f t="shared" si="50"/>
        <v>1114694.0974632567</v>
      </c>
      <c r="F63" s="14">
        <f t="shared" si="50"/>
        <v>15686030.060072595</v>
      </c>
      <c r="G63" s="14">
        <f t="shared" si="50"/>
        <v>0</v>
      </c>
      <c r="H63" s="15">
        <v>10125431.694168944</v>
      </c>
      <c r="I63" s="15">
        <v>17742834.583732866</v>
      </c>
      <c r="J63" s="14">
        <f t="shared" si="51"/>
        <v>11885069.041497713</v>
      </c>
      <c r="K63" s="14">
        <f t="shared" si="51"/>
        <v>9350445.6073083952</v>
      </c>
      <c r="L63" s="14">
        <f t="shared" si="51"/>
        <v>493272.01711642492</v>
      </c>
      <c r="M63" s="15">
        <f t="shared" si="52"/>
        <v>12094269.129643759</v>
      </c>
      <c r="N63" s="15"/>
      <c r="O63" s="15">
        <f t="shared" si="53"/>
        <v>35269079.680061489</v>
      </c>
      <c r="P63" s="15">
        <f t="shared" si="57"/>
        <v>270747631.06581306</v>
      </c>
      <c r="Q63" s="166">
        <f t="shared" ref="Q63:Y63" si="65">$B$56*Q9</f>
        <v>130226982.85195036</v>
      </c>
      <c r="R63" s="166">
        <f t="shared" si="65"/>
        <v>16931925.412212398</v>
      </c>
      <c r="S63" s="166">
        <f t="shared" si="65"/>
        <v>669290.81339256011</v>
      </c>
      <c r="T63" s="166">
        <f t="shared" si="65"/>
        <v>13395734.60958991</v>
      </c>
      <c r="U63" s="166">
        <f t="shared" si="65"/>
        <v>0</v>
      </c>
      <c r="V63" s="166">
        <f t="shared" si="65"/>
        <v>18927503.436736647</v>
      </c>
      <c r="W63" s="166">
        <f t="shared" si="65"/>
        <v>0</v>
      </c>
      <c r="X63" s="166">
        <f t="shared" si="65"/>
        <v>0</v>
      </c>
      <c r="Y63" s="166">
        <f t="shared" si="65"/>
        <v>0</v>
      </c>
      <c r="Z63" s="186">
        <f t="shared" si="59"/>
        <v>180151437.12388185</v>
      </c>
      <c r="AA63" s="167">
        <f t="shared" si="60"/>
        <v>472796235.530141</v>
      </c>
      <c r="AB63" s="167">
        <f>'Collections and ACP'!K77</f>
        <v>411704590.86891198</v>
      </c>
      <c r="AC63" s="167">
        <f t="shared" si="55"/>
        <v>884500826.39905298</v>
      </c>
      <c r="AD63" s="167">
        <f t="shared" si="61"/>
        <v>450899068.18969488</v>
      </c>
      <c r="AE63" s="16">
        <f t="shared" si="56"/>
        <v>433601758.2093581</v>
      </c>
      <c r="AF63" s="17"/>
    </row>
    <row r="64" spans="1:32" x14ac:dyDescent="0.25">
      <c r="A64" s="165" t="s">
        <v>23</v>
      </c>
      <c r="B64" s="14">
        <f t="shared" si="50"/>
        <v>0</v>
      </c>
      <c r="C64" s="14">
        <f t="shared" si="50"/>
        <v>48524891.03262978</v>
      </c>
      <c r="D64" s="14">
        <f t="shared" si="50"/>
        <v>90844033.89165692</v>
      </c>
      <c r="E64" s="14">
        <f t="shared" si="50"/>
        <v>1907170.2286064525</v>
      </c>
      <c r="F64" s="14">
        <f t="shared" si="50"/>
        <v>22007168.018180147</v>
      </c>
      <c r="G64" s="14">
        <f t="shared" si="50"/>
        <v>0</v>
      </c>
      <c r="H64" s="15">
        <v>8012431.7104763286</v>
      </c>
      <c r="I64" s="15">
        <v>17742834.583732866</v>
      </c>
      <c r="J64" s="14">
        <f t="shared" si="51"/>
        <v>36604524.198101699</v>
      </c>
      <c r="K64" s="14">
        <f t="shared" si="51"/>
        <v>38859959.792513542</v>
      </c>
      <c r="L64" s="14">
        <f t="shared" si="51"/>
        <v>1716718.8696248145</v>
      </c>
      <c r="M64" s="15">
        <f t="shared" si="52"/>
        <v>12058540.15424262</v>
      </c>
      <c r="N64" s="15"/>
      <c r="O64" s="15">
        <f t="shared" si="53"/>
        <v>35269079.680061489</v>
      </c>
      <c r="P64" s="15">
        <f t="shared" si="57"/>
        <v>313547352.15982676</v>
      </c>
      <c r="Q64" s="166">
        <f t="shared" ref="Q64:Y64" si="66">$B$56*Q10</f>
        <v>125017903.53787234</v>
      </c>
      <c r="R64" s="166">
        <f t="shared" si="66"/>
        <v>29229746.901269399</v>
      </c>
      <c r="S64" s="166">
        <f t="shared" si="66"/>
        <v>11881776.096764758</v>
      </c>
      <c r="T64" s="166">
        <f t="shared" si="66"/>
        <v>20035655.363534398</v>
      </c>
      <c r="U64" s="166">
        <f t="shared" si="66"/>
        <v>4577801.4543577731</v>
      </c>
      <c r="V64" s="166">
        <f t="shared" si="66"/>
        <v>32591749.535688877</v>
      </c>
      <c r="W64" s="166">
        <f t="shared" si="66"/>
        <v>0</v>
      </c>
      <c r="X64" s="166">
        <f t="shared" si="66"/>
        <v>0</v>
      </c>
      <c r="Y64" s="166">
        <f t="shared" si="66"/>
        <v>0</v>
      </c>
      <c r="Z64" s="186">
        <f t="shared" si="59"/>
        <v>223334632.88948753</v>
      </c>
      <c r="AA64" s="167">
        <f t="shared" si="60"/>
        <v>433601758.2093581</v>
      </c>
      <c r="AB64" s="167">
        <f>'Collections and ACP'!K78</f>
        <v>417008628.43646163</v>
      </c>
      <c r="AC64" s="167">
        <f t="shared" si="55"/>
        <v>850610386.64581966</v>
      </c>
      <c r="AD64" s="167">
        <f t="shared" si="61"/>
        <v>536881985.04931426</v>
      </c>
      <c r="AE64" s="16">
        <f t="shared" si="56"/>
        <v>313728401.5965054</v>
      </c>
      <c r="AF64" s="17"/>
    </row>
    <row r="65" spans="1:32" x14ac:dyDescent="0.25">
      <c r="A65" s="165" t="s">
        <v>24</v>
      </c>
      <c r="B65" s="14">
        <f t="shared" si="50"/>
        <v>0</v>
      </c>
      <c r="C65" s="14">
        <f t="shared" si="50"/>
        <v>45160146.632062085</v>
      </c>
      <c r="D65" s="14">
        <f t="shared" si="50"/>
        <v>76645842.661810234</v>
      </c>
      <c r="E65" s="14">
        <f t="shared" si="50"/>
        <v>1863328.3431052703</v>
      </c>
      <c r="F65" s="14">
        <f t="shared" si="50"/>
        <v>21609384.376891181</v>
      </c>
      <c r="G65" s="14">
        <f t="shared" si="50"/>
        <v>0</v>
      </c>
      <c r="H65" s="15">
        <v>4480482.7749063233</v>
      </c>
      <c r="I65" s="15">
        <v>17742834.583732866</v>
      </c>
      <c r="J65" s="14">
        <f t="shared" si="51"/>
        <v>61191770.261701062</v>
      </c>
      <c r="K65" s="14">
        <f t="shared" si="51"/>
        <v>86033165.79066956</v>
      </c>
      <c r="L65" s="14">
        <f t="shared" si="51"/>
        <v>5378671.6937733395</v>
      </c>
      <c r="M65" s="15">
        <f t="shared" si="52"/>
        <v>12206206.758551866</v>
      </c>
      <c r="N65" s="15">
        <v>10000000</v>
      </c>
      <c r="O65" s="15">
        <f t="shared" si="53"/>
        <v>35269079.680061489</v>
      </c>
      <c r="P65" s="15">
        <f t="shared" si="57"/>
        <v>377580913.55726528</v>
      </c>
      <c r="Q65" s="166">
        <f t="shared" ref="Q65:Y65" si="67">$B$56*Q11</f>
        <v>120017187.39635745</v>
      </c>
      <c r="R65" s="166">
        <f t="shared" si="67"/>
        <v>41035655.530764125</v>
      </c>
      <c r="S65" s="166">
        <f t="shared" si="67"/>
        <v>22589565.684222527</v>
      </c>
      <c r="T65" s="166">
        <f t="shared" si="67"/>
        <v>26374100.536629468</v>
      </c>
      <c r="U65" s="166">
        <f t="shared" si="67"/>
        <v>8718168.5475213602</v>
      </c>
      <c r="V65" s="166">
        <f t="shared" si="67"/>
        <v>45709425.790683016</v>
      </c>
      <c r="W65" s="166">
        <f t="shared" si="67"/>
        <v>0</v>
      </c>
      <c r="X65" s="166">
        <f t="shared" si="67"/>
        <v>0</v>
      </c>
      <c r="Y65" s="166">
        <f t="shared" si="67"/>
        <v>0</v>
      </c>
      <c r="Z65" s="186">
        <f t="shared" si="59"/>
        <v>264444103.48617792</v>
      </c>
      <c r="AA65" s="167">
        <f t="shared" si="60"/>
        <v>313728401.5965054</v>
      </c>
      <c r="AB65" s="167">
        <f>'Collections and ACP'!K79</f>
        <v>425299070.68350238</v>
      </c>
      <c r="AC65" s="167">
        <f t="shared" si="55"/>
        <v>739027472.28000784</v>
      </c>
      <c r="AD65" s="167">
        <f t="shared" si="61"/>
        <v>642025017.0434432</v>
      </c>
      <c r="AE65" s="16">
        <f t="shared" si="56"/>
        <v>97002455.236564636</v>
      </c>
      <c r="AF65" s="17"/>
    </row>
    <row r="66" spans="1:32" x14ac:dyDescent="0.25">
      <c r="A66" s="165" t="s">
        <v>25</v>
      </c>
      <c r="B66" s="14">
        <f t="shared" si="50"/>
        <v>0</v>
      </c>
      <c r="C66" s="14">
        <f t="shared" si="50"/>
        <v>34668896.736369118</v>
      </c>
      <c r="D66" s="14">
        <f t="shared" si="50"/>
        <v>74435675.170098007</v>
      </c>
      <c r="E66" s="14">
        <f t="shared" si="50"/>
        <v>1857554.0188418911</v>
      </c>
      <c r="F66" s="14">
        <f t="shared" si="50"/>
        <v>21609384.376891181</v>
      </c>
      <c r="G66" s="14">
        <f t="shared" si="50"/>
        <v>0</v>
      </c>
      <c r="H66" s="15">
        <v>4478132.259204451</v>
      </c>
      <c r="I66" s="15">
        <v>17742834.583732866</v>
      </c>
      <c r="J66" s="14">
        <f t="shared" si="51"/>
        <v>72422909.700934678</v>
      </c>
      <c r="K66" s="14">
        <f t="shared" si="51"/>
        <v>98018017.549752131</v>
      </c>
      <c r="L66" s="14">
        <f t="shared" si="51"/>
        <v>5326529.1569030425</v>
      </c>
      <c r="M66" s="15">
        <f t="shared" si="52"/>
        <v>12443355.047663786</v>
      </c>
      <c r="N66" s="15"/>
      <c r="O66" s="15">
        <f t="shared" si="53"/>
        <v>35269079.680061489</v>
      </c>
      <c r="P66" s="15">
        <f t="shared" si="57"/>
        <v>378272368.28045261</v>
      </c>
      <c r="Q66" s="166">
        <f t="shared" ref="Q66:Y66" si="68">$B$56*Q12</f>
        <v>115216499.90050314</v>
      </c>
      <c r="R66" s="166">
        <f t="shared" si="68"/>
        <v>52369327.815079056</v>
      </c>
      <c r="S66" s="166">
        <f t="shared" si="68"/>
        <v>32813128.385025345</v>
      </c>
      <c r="T66" s="166">
        <f t="shared" si="68"/>
        <v>32423308.545862544</v>
      </c>
      <c r="U66" s="166">
        <f t="shared" si="68"/>
        <v>12692920.956958402</v>
      </c>
      <c r="V66" s="166">
        <f t="shared" si="68"/>
        <v>58302394.995477393</v>
      </c>
      <c r="W66" s="166">
        <f t="shared" si="68"/>
        <v>55661745.525072269</v>
      </c>
      <c r="X66" s="166">
        <f t="shared" si="68"/>
        <v>13468860.847500227</v>
      </c>
      <c r="Y66" s="166">
        <f t="shared" si="68"/>
        <v>3006366.3376440015</v>
      </c>
      <c r="Z66" s="186">
        <f t="shared" si="59"/>
        <v>375954553.30912238</v>
      </c>
      <c r="AA66" s="167">
        <f t="shared" si="60"/>
        <v>97002455.236564636</v>
      </c>
      <c r="AB66" s="167">
        <f>'Collections and ACP'!K80</f>
        <v>437682125.33016396</v>
      </c>
      <c r="AC66" s="167">
        <f>AA66+AB66</f>
        <v>534684580.56672859</v>
      </c>
      <c r="AD66" s="167">
        <f t="shared" si="61"/>
        <v>754226921.58957505</v>
      </c>
      <c r="AE66" s="16">
        <f t="shared" si="56"/>
        <v>-219542341.02284646</v>
      </c>
      <c r="AF66" s="17"/>
    </row>
    <row r="67" spans="1:32" x14ac:dyDescent="0.25">
      <c r="A67" s="165" t="s">
        <v>26</v>
      </c>
      <c r="B67" s="14">
        <f t="shared" si="50"/>
        <v>0</v>
      </c>
      <c r="C67" s="14">
        <f t="shared" si="50"/>
        <v>33826554.916099332</v>
      </c>
      <c r="D67" s="14">
        <f t="shared" si="50"/>
        <v>74171401.839910522</v>
      </c>
      <c r="E67" s="14">
        <f t="shared" si="50"/>
        <v>1851905.8591303434</v>
      </c>
      <c r="F67" s="14">
        <f t="shared" si="50"/>
        <v>21609384.376891181</v>
      </c>
      <c r="G67" s="14">
        <f t="shared" si="50"/>
        <v>0</v>
      </c>
      <c r="H67" s="15">
        <v>4338008.6485485407</v>
      </c>
      <c r="I67" s="15">
        <v>17742834.583732866</v>
      </c>
      <c r="J67" s="14">
        <f t="shared" si="51"/>
        <v>74324506.306336001</v>
      </c>
      <c r="K67" s="14">
        <f t="shared" si="51"/>
        <v>100329828.73257522</v>
      </c>
      <c r="L67" s="14">
        <f t="shared" si="51"/>
        <v>5380155.4435461322</v>
      </c>
      <c r="M67" s="15">
        <f t="shared" si="52"/>
        <v>12784184.691343697</v>
      </c>
      <c r="N67" s="15"/>
      <c r="O67" s="15">
        <f t="shared" si="53"/>
        <v>35269079.680061489</v>
      </c>
      <c r="P67" s="15">
        <f t="shared" si="57"/>
        <v>381627845.07817531</v>
      </c>
      <c r="Q67" s="166">
        <f t="shared" ref="Q67:Y67" si="69">$B$56*Q13</f>
        <v>110607839.90448302</v>
      </c>
      <c r="R67" s="166">
        <f t="shared" si="69"/>
        <v>63249653.208021395</v>
      </c>
      <c r="S67" s="166">
        <f t="shared" si="69"/>
        <v>42572112.851155192</v>
      </c>
      <c r="T67" s="166">
        <f t="shared" si="69"/>
        <v>38195027.374572814</v>
      </c>
      <c r="U67" s="166">
        <f t="shared" si="69"/>
        <v>16508683.270017965</v>
      </c>
      <c r="V67" s="166">
        <f t="shared" si="69"/>
        <v>70391645.432079986</v>
      </c>
      <c r="W67" s="166">
        <f t="shared" si="69"/>
        <v>104508196.26113516</v>
      </c>
      <c r="X67" s="166">
        <f t="shared" si="69"/>
        <v>43355721.435445659</v>
      </c>
      <c r="Y67" s="166">
        <f t="shared" si="69"/>
        <v>5970205.9875468258</v>
      </c>
      <c r="Z67" s="186">
        <f t="shared" si="59"/>
        <v>495359085.72445798</v>
      </c>
      <c r="AA67" s="167">
        <f t="shared" si="60"/>
        <v>-219542341.02284646</v>
      </c>
      <c r="AB67" s="167">
        <f>'Collections and ACP'!K81</f>
        <v>455035503.02977359</v>
      </c>
      <c r="AC67" s="167">
        <f t="shared" si="55"/>
        <v>235493162.00692713</v>
      </c>
      <c r="AD67" s="167">
        <f t="shared" si="61"/>
        <v>876986930.80263329</v>
      </c>
      <c r="AE67" s="16">
        <f t="shared" si="56"/>
        <v>-641493768.79570615</v>
      </c>
      <c r="AF67" s="17"/>
    </row>
    <row r="68" spans="1:32" x14ac:dyDescent="0.25">
      <c r="A68" s="165" t="s">
        <v>27</v>
      </c>
      <c r="B68" s="14">
        <f t="shared" ref="B68:G77" si="70">B14*$B$56</f>
        <v>0</v>
      </c>
      <c r="C68" s="14">
        <f t="shared" si="70"/>
        <v>31771786.94664821</v>
      </c>
      <c r="D68" s="14">
        <f t="shared" si="70"/>
        <v>73909168.050062791</v>
      </c>
      <c r="E68" s="14">
        <f t="shared" si="70"/>
        <v>1846200.4083257637</v>
      </c>
      <c r="F68" s="14">
        <f t="shared" si="70"/>
        <v>21609384.376891181</v>
      </c>
      <c r="G68" s="14">
        <f t="shared" si="70"/>
        <v>0</v>
      </c>
      <c r="H68" s="15">
        <v>4303453.6786395097</v>
      </c>
      <c r="I68" s="15">
        <v>17742834.583732866</v>
      </c>
      <c r="J68" s="14">
        <f t="shared" si="51"/>
        <v>74500125.252492771</v>
      </c>
      <c r="K68" s="14">
        <f t="shared" si="51"/>
        <v>100083085.8971274</v>
      </c>
      <c r="L68" s="14">
        <f t="shared" si="51"/>
        <v>5360629.7921290621</v>
      </c>
      <c r="M68" s="15">
        <f t="shared" si="52"/>
        <v>13251499.270093089</v>
      </c>
      <c r="N68" s="15">
        <v>10000000</v>
      </c>
      <c r="O68" s="15">
        <f t="shared" si="53"/>
        <v>35269079.680061489</v>
      </c>
      <c r="P68" s="15">
        <f t="shared" si="57"/>
        <v>389647247.93620408</v>
      </c>
      <c r="Q68" s="166">
        <f t="shared" ref="Q68:Y68" si="71">$B$56*Q14</f>
        <v>106183526.3083037</v>
      </c>
      <c r="R68" s="166">
        <f t="shared" si="71"/>
        <v>73694765.585246041</v>
      </c>
      <c r="S68" s="166">
        <f t="shared" si="71"/>
        <v>51885380.390632182</v>
      </c>
      <c r="T68" s="166">
        <f t="shared" si="71"/>
        <v>43700534.194281951</v>
      </c>
      <c r="U68" s="166">
        <f t="shared" si="71"/>
        <v>20171815.090555143</v>
      </c>
      <c r="V68" s="166">
        <f t="shared" si="71"/>
        <v>81997325.851218477</v>
      </c>
      <c r="W68" s="166">
        <f t="shared" si="71"/>
        <v>155546245.91523406</v>
      </c>
      <c r="X68" s="166">
        <f t="shared" si="71"/>
        <v>75092629.192998558</v>
      </c>
      <c r="Y68" s="166">
        <f t="shared" si="71"/>
        <v>9064364.8919645213</v>
      </c>
      <c r="Z68" s="186">
        <f t="shared" si="59"/>
        <v>617336587.42043459</v>
      </c>
      <c r="AA68" s="167">
        <f t="shared" si="60"/>
        <v>-641493768.79570615</v>
      </c>
      <c r="AB68" s="167">
        <f>'Collections and ACP'!K82</f>
        <v>478453040.13332313</v>
      </c>
      <c r="AC68" s="167">
        <f t="shared" si="55"/>
        <v>-163040728.66238302</v>
      </c>
      <c r="AD68" s="167">
        <f t="shared" si="61"/>
        <v>1006983835.3566387</v>
      </c>
      <c r="AE68" s="16">
        <f t="shared" si="56"/>
        <v>-1170024564.0190217</v>
      </c>
      <c r="AF68" s="17"/>
    </row>
    <row r="69" spans="1:32" x14ac:dyDescent="0.25">
      <c r="A69" s="165" t="s">
        <v>28</v>
      </c>
      <c r="B69" s="14">
        <f t="shared" si="70"/>
        <v>0</v>
      </c>
      <c r="C69" s="14">
        <f t="shared" si="70"/>
        <v>0</v>
      </c>
      <c r="D69" s="14">
        <f t="shared" si="70"/>
        <v>73647741.851601556</v>
      </c>
      <c r="E69" s="14">
        <f t="shared" si="70"/>
        <v>1840523.8781665217</v>
      </c>
      <c r="F69" s="14">
        <f t="shared" si="70"/>
        <v>0</v>
      </c>
      <c r="G69" s="14">
        <f t="shared" si="70"/>
        <v>0</v>
      </c>
      <c r="H69" s="15">
        <v>4261079.6921323007</v>
      </c>
      <c r="I69" s="15">
        <v>17742834.583732866</v>
      </c>
      <c r="J69" s="14">
        <f t="shared" si="51"/>
        <v>76695310.698836163</v>
      </c>
      <c r="K69" s="14">
        <f t="shared" si="51"/>
        <v>102752993.47133382</v>
      </c>
      <c r="L69" s="14">
        <f t="shared" si="51"/>
        <v>5425552.6233714018</v>
      </c>
      <c r="M69" s="15">
        <f t="shared" si="52"/>
        <v>13782263.834839748</v>
      </c>
      <c r="N69" s="15"/>
      <c r="O69" s="15">
        <f t="shared" si="53"/>
        <v>35269079.680061489</v>
      </c>
      <c r="P69" s="15">
        <f t="shared" si="57"/>
        <v>331417380.31407583</v>
      </c>
      <c r="Q69" s="166">
        <f t="shared" ref="Q69:Y69" si="72">$B$56*Q15</f>
        <v>101936185.25597154</v>
      </c>
      <c r="R69" s="166">
        <f t="shared" si="72"/>
        <v>80387247.981645122</v>
      </c>
      <c r="S69" s="166">
        <f t="shared" si="72"/>
        <v>60771036.468262479</v>
      </c>
      <c r="T69" s="166">
        <f t="shared" si="72"/>
        <v>48950654.201629251</v>
      </c>
      <c r="U69" s="166">
        <f t="shared" si="72"/>
        <v>23688421.638270836</v>
      </c>
      <c r="V69" s="166">
        <f t="shared" si="72"/>
        <v>89319164.424050122</v>
      </c>
      <c r="W69" s="166">
        <f t="shared" si="72"/>
        <v>212574790.73999086</v>
      </c>
      <c r="X69" s="166">
        <f t="shared" si="72"/>
        <v>95498006.996854633</v>
      </c>
      <c r="Y69" s="166">
        <f t="shared" si="72"/>
        <v>9031119.9717818797</v>
      </c>
      <c r="Z69" s="186">
        <f t="shared" si="59"/>
        <v>722156627.67845666</v>
      </c>
      <c r="AA69" s="167">
        <f t="shared" si="60"/>
        <v>-1170024564.0190217</v>
      </c>
      <c r="AB69" s="167">
        <f>'Collections and ACP'!K83</f>
        <v>503530411.48671359</v>
      </c>
      <c r="AC69" s="167">
        <f t="shared" si="55"/>
        <v>-666494152.5323081</v>
      </c>
      <c r="AD69" s="167">
        <f t="shared" si="61"/>
        <v>1053574007.9925325</v>
      </c>
      <c r="AE69" s="16">
        <f t="shared" si="56"/>
        <v>-1720068160.5248406</v>
      </c>
      <c r="AF69" s="17"/>
    </row>
    <row r="70" spans="1:32" x14ac:dyDescent="0.25">
      <c r="A70" s="165" t="s">
        <v>29</v>
      </c>
      <c r="B70" s="14">
        <f t="shared" si="70"/>
        <v>0</v>
      </c>
      <c r="C70" s="14">
        <f t="shared" si="70"/>
        <v>0</v>
      </c>
      <c r="D70" s="14">
        <f t="shared" si="70"/>
        <v>73387514.519696802</v>
      </c>
      <c r="E70" s="14">
        <f t="shared" si="70"/>
        <v>1771083.1938126192</v>
      </c>
      <c r="F70" s="14">
        <f t="shared" si="70"/>
        <v>0</v>
      </c>
      <c r="G70" s="14">
        <f t="shared" si="70"/>
        <v>0</v>
      </c>
      <c r="H70" s="15">
        <v>4261079.6921323007</v>
      </c>
      <c r="I70" s="330">
        <v>17742834.583732866</v>
      </c>
      <c r="J70" s="14">
        <f t="shared" si="51"/>
        <v>77008552.625473008</v>
      </c>
      <c r="K70" s="14">
        <f t="shared" si="51"/>
        <v>102689355.71166018</v>
      </c>
      <c r="L70" s="14">
        <f t="shared" si="51"/>
        <v>5411448.2522851592</v>
      </c>
      <c r="M70" s="15">
        <f t="shared" si="52"/>
        <v>14327083.127846966</v>
      </c>
      <c r="N70" s="15"/>
      <c r="O70" s="15">
        <f t="shared" si="53"/>
        <v>35269079.680061489</v>
      </c>
      <c r="P70" s="15">
        <f t="shared" si="57"/>
        <v>331868031.38670146</v>
      </c>
      <c r="Q70" s="166">
        <f t="shared" ref="Q70:Y70" si="73">$B$56*Q16</f>
        <v>97858737.845732674</v>
      </c>
      <c r="R70" s="166">
        <f t="shared" si="73"/>
        <v>77171758.062379301</v>
      </c>
      <c r="S70" s="166">
        <f t="shared" si="73"/>
        <v>69246460.946321309</v>
      </c>
      <c r="T70" s="166">
        <f t="shared" si="73"/>
        <v>53955778.701807074</v>
      </c>
      <c r="U70" s="166">
        <f t="shared" si="73"/>
        <v>27064363.924077902</v>
      </c>
      <c r="V70" s="166">
        <f t="shared" si="73"/>
        <v>85746397.847088113</v>
      </c>
      <c r="W70" s="166">
        <f t="shared" si="73"/>
        <v>266316453.27789757</v>
      </c>
      <c r="X70" s="166">
        <f t="shared" si="73"/>
        <v>118982656.833758</v>
      </c>
      <c r="Y70" s="166">
        <f t="shared" si="73"/>
        <v>15303719.242400415</v>
      </c>
      <c r="Z70" s="186">
        <f t="shared" si="59"/>
        <v>811646326.68146241</v>
      </c>
      <c r="AA70" s="167">
        <f t="shared" si="60"/>
        <v>-1720068160.5248406</v>
      </c>
      <c r="AB70" s="167">
        <f>'Collections and ACP'!K84</f>
        <v>529266308.84324557</v>
      </c>
      <c r="AC70" s="167">
        <f t="shared" si="55"/>
        <v>-1190801851.6815951</v>
      </c>
      <c r="AD70" s="167">
        <f>P70+Z70</f>
        <v>1143514358.0681639</v>
      </c>
      <c r="AE70" s="16">
        <f t="shared" si="56"/>
        <v>-2334316209.7497587</v>
      </c>
      <c r="AF70" s="17"/>
    </row>
    <row r="71" spans="1:32" x14ac:dyDescent="0.25">
      <c r="A71" s="165" t="s">
        <v>30</v>
      </c>
      <c r="B71" s="14">
        <f t="shared" si="70"/>
        <v>0</v>
      </c>
      <c r="C71" s="14">
        <f t="shared" si="70"/>
        <v>0</v>
      </c>
      <c r="D71" s="14">
        <f t="shared" si="70"/>
        <v>51478551.151848644</v>
      </c>
      <c r="E71" s="14">
        <f t="shared" si="70"/>
        <v>1118593.5174508437</v>
      </c>
      <c r="F71" s="14">
        <f t="shared" si="70"/>
        <v>0</v>
      </c>
      <c r="G71" s="14">
        <f t="shared" si="70"/>
        <v>0</v>
      </c>
      <c r="H71" s="15">
        <v>4261079.6921323007</v>
      </c>
      <c r="I71" s="330">
        <v>16579537.677595582</v>
      </c>
      <c r="J71" s="14">
        <f t="shared" si="51"/>
        <v>73022521.491938025</v>
      </c>
      <c r="K71" s="14">
        <f t="shared" si="51"/>
        <v>96476640.071734026</v>
      </c>
      <c r="L71" s="14">
        <f t="shared" si="51"/>
        <v>5219495.8182813786</v>
      </c>
      <c r="M71" s="15">
        <f t="shared" si="52"/>
        <v>14812922.808446828</v>
      </c>
      <c r="N71" s="15"/>
      <c r="O71" s="15">
        <f t="shared" si="53"/>
        <v>35269079.680061489</v>
      </c>
      <c r="P71" s="15">
        <f t="shared" si="57"/>
        <v>298238421.9094891</v>
      </c>
      <c r="Q71" s="166">
        <f t="shared" ref="Q71:Y71" si="74">$B$56*Q17</f>
        <v>46972194.165951684</v>
      </c>
      <c r="R71" s="166">
        <f t="shared" si="74"/>
        <v>69180484.64420338</v>
      </c>
      <c r="S71" s="166">
        <f t="shared" si="74"/>
        <v>77328337.115573809</v>
      </c>
      <c r="T71" s="166">
        <f t="shared" si="74"/>
        <v>56205941.138467312</v>
      </c>
      <c r="U71" s="166">
        <f t="shared" si="74"/>
        <v>25981789.367114779</v>
      </c>
      <c r="V71" s="166">
        <f t="shared" si="74"/>
        <v>76867205.160225987</v>
      </c>
      <c r="W71" s="166">
        <f t="shared" si="74"/>
        <v>295694106.11290234</v>
      </c>
      <c r="X71" s="166">
        <f t="shared" si="74"/>
        <v>134831810.91011515</v>
      </c>
      <c r="Y71" s="166">
        <f t="shared" si="74"/>
        <v>18361680.557407696</v>
      </c>
      <c r="Z71" s="186">
        <f t="shared" si="59"/>
        <v>801423549.17196214</v>
      </c>
      <c r="AA71" s="167">
        <f t="shared" si="60"/>
        <v>-2334316209.7497587</v>
      </c>
      <c r="AB71" s="167">
        <f>'Collections and ACP'!K85</f>
        <v>552232462.66566396</v>
      </c>
      <c r="AC71" s="167">
        <f t="shared" si="55"/>
        <v>-1782083747.0840948</v>
      </c>
      <c r="AD71" s="167">
        <f t="shared" si="61"/>
        <v>1099661971.0814512</v>
      </c>
      <c r="AE71" s="16">
        <f t="shared" si="56"/>
        <v>-2881745718.1655459</v>
      </c>
      <c r="AF71" s="17"/>
    </row>
    <row r="72" spans="1:32" x14ac:dyDescent="0.25">
      <c r="A72" s="165" t="s">
        <v>31</v>
      </c>
      <c r="B72" s="14">
        <f t="shared" si="70"/>
        <v>0</v>
      </c>
      <c r="C72" s="14">
        <f t="shared" si="70"/>
        <v>0</v>
      </c>
      <c r="D72" s="14">
        <f t="shared" si="70"/>
        <v>51220992.483073153</v>
      </c>
      <c r="E72" s="14">
        <f t="shared" si="70"/>
        <v>1112869.8113706214</v>
      </c>
      <c r="F72" s="14">
        <f t="shared" si="70"/>
        <v>0</v>
      </c>
      <c r="G72" s="14">
        <f t="shared" si="70"/>
        <v>0</v>
      </c>
      <c r="H72" s="15">
        <v>4261079.6921323007</v>
      </c>
      <c r="I72" s="330">
        <v>16579537.677595582</v>
      </c>
      <c r="J72" s="14">
        <f t="shared" si="51"/>
        <v>69078031.586597249</v>
      </c>
      <c r="K72" s="14">
        <f t="shared" si="51"/>
        <v>90382583.454967812</v>
      </c>
      <c r="L72" s="14">
        <f t="shared" si="51"/>
        <v>5031037.5185103193</v>
      </c>
      <c r="M72" s="15">
        <f t="shared" si="52"/>
        <v>15263664.016884193</v>
      </c>
      <c r="N72" s="15"/>
      <c r="O72" s="15">
        <f t="shared" si="53"/>
        <v>35269079.680061489</v>
      </c>
      <c r="P72" s="15">
        <f t="shared" si="57"/>
        <v>288198875.92119265</v>
      </c>
      <c r="Q72" s="166">
        <f t="shared" ref="Q72:Y72" si="75">$B$56*Q18</f>
        <v>45093306.399313614</v>
      </c>
      <c r="R72" s="166">
        <f t="shared" si="75"/>
        <v>61781329.001403421</v>
      </c>
      <c r="S72" s="166">
        <f t="shared" si="75"/>
        <v>80987187.497508317</v>
      </c>
      <c r="T72" s="166">
        <f t="shared" si="75"/>
        <v>58344055.109737463</v>
      </c>
      <c r="U72" s="166">
        <f t="shared" si="75"/>
        <v>23291328.660514824</v>
      </c>
      <c r="V72" s="166">
        <f t="shared" si="75"/>
        <v>68645921.112670466</v>
      </c>
      <c r="W72" s="166">
        <f t="shared" si="75"/>
        <v>318834579.65773684</v>
      </c>
      <c r="X72" s="166">
        <f t="shared" si="75"/>
        <v>142469243.54945317</v>
      </c>
      <c r="Y72" s="166">
        <f t="shared" si="75"/>
        <v>20732210.656551454</v>
      </c>
      <c r="Z72" s="186">
        <f t="shared" si="59"/>
        <v>820179161.64488959</v>
      </c>
      <c r="AA72" s="167">
        <f t="shared" si="60"/>
        <v>-2881745718.1655459</v>
      </c>
      <c r="AB72" s="167">
        <f>'Collections and ACP'!K86</f>
        <v>573524300.04609513</v>
      </c>
      <c r="AC72" s="167">
        <f t="shared" si="55"/>
        <v>-2308221418.1194506</v>
      </c>
      <c r="AD72" s="167">
        <f t="shared" si="61"/>
        <v>1108378037.5660822</v>
      </c>
      <c r="AE72" s="16">
        <f t="shared" si="56"/>
        <v>-3416599455.6855326</v>
      </c>
      <c r="AF72" s="17"/>
    </row>
    <row r="73" spans="1:32" x14ac:dyDescent="0.25">
      <c r="A73" s="165" t="s">
        <v>32</v>
      </c>
      <c r="B73" s="14">
        <f t="shared" si="70"/>
        <v>0</v>
      </c>
      <c r="C73" s="14">
        <f t="shared" si="70"/>
        <v>0</v>
      </c>
      <c r="D73" s="14">
        <f t="shared" si="70"/>
        <v>50965128.147939309</v>
      </c>
      <c r="E73" s="14">
        <f t="shared" si="70"/>
        <v>1107327.7057816719</v>
      </c>
      <c r="F73" s="14">
        <f t="shared" si="70"/>
        <v>0</v>
      </c>
      <c r="G73" s="14">
        <f t="shared" si="70"/>
        <v>0</v>
      </c>
      <c r="H73" s="15">
        <v>4261079.6921323007</v>
      </c>
      <c r="I73" s="330">
        <v>14154527.435004909</v>
      </c>
      <c r="J73" s="14">
        <f t="shared" si="51"/>
        <v>76822965.839774266</v>
      </c>
      <c r="K73" s="14">
        <f t="shared" si="51"/>
        <v>100893997.22627775</v>
      </c>
      <c r="L73" s="14">
        <f t="shared" si="51"/>
        <v>5323080.8894321155</v>
      </c>
      <c r="M73" s="15">
        <f t="shared" si="52"/>
        <v>15614007.825200178</v>
      </c>
      <c r="N73" s="15"/>
      <c r="O73" s="15">
        <f t="shared" si="53"/>
        <v>35269079.680061489</v>
      </c>
      <c r="P73" s="15">
        <f t="shared" si="57"/>
        <v>304411194.44160402</v>
      </c>
      <c r="Q73" s="166">
        <f t="shared" ref="Q73:Y73" si="76">$B$56*Q19</f>
        <v>43289574.143341072</v>
      </c>
      <c r="R73" s="166">
        <f t="shared" si="76"/>
        <v>54678139.584315456</v>
      </c>
      <c r="S73" s="166">
        <f t="shared" si="76"/>
        <v>84465923.944832653</v>
      </c>
      <c r="T73" s="166">
        <f t="shared" si="76"/>
        <v>60374712.764072761</v>
      </c>
      <c r="U73" s="166">
        <f t="shared" si="76"/>
        <v>20800219.111729711</v>
      </c>
      <c r="V73" s="166">
        <f t="shared" si="76"/>
        <v>60753488.42701719</v>
      </c>
      <c r="W73" s="166">
        <f t="shared" si="76"/>
        <v>323993847.70018524</v>
      </c>
      <c r="X73" s="166">
        <f t="shared" si="76"/>
        <v>148566002.66282353</v>
      </c>
      <c r="Y73" s="166">
        <f t="shared" si="76"/>
        <v>22917051.741642803</v>
      </c>
      <c r="Z73" s="186">
        <f t="shared" si="59"/>
        <v>819838960.07996047</v>
      </c>
      <c r="AA73" s="167">
        <f t="shared" si="60"/>
        <v>-3416599455.6855326</v>
      </c>
      <c r="AB73" s="167">
        <f>'Collections and ACP'!K87</f>
        <v>590076086.93336165</v>
      </c>
      <c r="AC73" s="167">
        <f t="shared" si="55"/>
        <v>-2826523368.752171</v>
      </c>
      <c r="AD73" s="167">
        <f t="shared" si="61"/>
        <v>1124250154.5215645</v>
      </c>
      <c r="AE73" s="16">
        <f t="shared" si="56"/>
        <v>-3950773523.2737355</v>
      </c>
      <c r="AF73" s="17"/>
    </row>
    <row r="74" spans="1:32" x14ac:dyDescent="0.25">
      <c r="A74" s="165" t="s">
        <v>33</v>
      </c>
      <c r="B74" s="14">
        <f t="shared" si="70"/>
        <v>0</v>
      </c>
      <c r="C74" s="14">
        <f t="shared" si="70"/>
        <v>0</v>
      </c>
      <c r="D74" s="14">
        <f t="shared" si="70"/>
        <v>50710377.264704794</v>
      </c>
      <c r="E74" s="14">
        <f t="shared" si="70"/>
        <v>1101824.5725257688</v>
      </c>
      <c r="F74" s="14">
        <f t="shared" si="70"/>
        <v>0</v>
      </c>
      <c r="G74" s="14">
        <f t="shared" si="70"/>
        <v>0</v>
      </c>
      <c r="H74" s="15">
        <v>4261079.6921323007</v>
      </c>
      <c r="I74" s="330">
        <v>5985841.4555589436</v>
      </c>
      <c r="J74" s="14">
        <f t="shared" si="51"/>
        <v>80266366.285666883</v>
      </c>
      <c r="K74" s="14">
        <f t="shared" si="51"/>
        <v>105239454.58103904</v>
      </c>
      <c r="L74" s="14">
        <f t="shared" si="51"/>
        <v>5436786.9407920036</v>
      </c>
      <c r="M74" s="15">
        <f t="shared" si="52"/>
        <v>15870601.13696084</v>
      </c>
      <c r="N74" s="15"/>
      <c r="O74" s="15">
        <f t="shared" si="53"/>
        <v>35269079.680061489</v>
      </c>
      <c r="P74" s="15">
        <f t="shared" si="57"/>
        <v>304141411.60944211</v>
      </c>
      <c r="Q74" s="166">
        <f t="shared" ref="Q74:Y74" si="77">$B$56*Q20</f>
        <v>41557991.177607425</v>
      </c>
      <c r="R74" s="166">
        <f t="shared" si="77"/>
        <v>47859077.743911035</v>
      </c>
      <c r="S74" s="166">
        <f t="shared" si="77"/>
        <v>87771919.814527899</v>
      </c>
      <c r="T74" s="166">
        <f t="shared" si="77"/>
        <v>62302322.01294104</v>
      </c>
      <c r="U74" s="166">
        <f t="shared" si="77"/>
        <v>18408753.944896009</v>
      </c>
      <c r="V74" s="166">
        <f t="shared" si="77"/>
        <v>53176753.048790045</v>
      </c>
      <c r="W74" s="166">
        <f t="shared" si="77"/>
        <v>327168295.79988879</v>
      </c>
      <c r="X74" s="166">
        <f t="shared" si="77"/>
        <v>180054860.71232563</v>
      </c>
      <c r="Y74" s="166">
        <f t="shared" si="77"/>
        <v>27299590.125418488</v>
      </c>
      <c r="Z74" s="186">
        <f t="shared" si="59"/>
        <v>845599564.38030636</v>
      </c>
      <c r="AA74" s="167">
        <f t="shared" si="60"/>
        <v>-3950773523.2737355</v>
      </c>
      <c r="AB74" s="167">
        <f>'Collections and ACP'!K88</f>
        <v>602191907.46073031</v>
      </c>
      <c r="AC74" s="167">
        <f t="shared" si="55"/>
        <v>-3348581615.8130054</v>
      </c>
      <c r="AD74" s="167">
        <f t="shared" si="61"/>
        <v>1149740975.9897485</v>
      </c>
      <c r="AE74" s="16">
        <f t="shared" si="56"/>
        <v>-4498322591.8027534</v>
      </c>
      <c r="AF74" s="17"/>
    </row>
    <row r="75" spans="1:32" x14ac:dyDescent="0.25">
      <c r="A75" s="165" t="s">
        <v>34</v>
      </c>
      <c r="B75" s="14">
        <f t="shared" si="70"/>
        <v>0</v>
      </c>
      <c r="C75" s="14">
        <f t="shared" si="70"/>
        <v>0</v>
      </c>
      <c r="D75" s="14">
        <f t="shared" si="70"/>
        <v>50456700.952736132</v>
      </c>
      <c r="E75" s="14">
        <f t="shared" si="70"/>
        <v>1096148.5502412741</v>
      </c>
      <c r="F75" s="14">
        <f t="shared" si="70"/>
        <v>0</v>
      </c>
      <c r="G75" s="14">
        <f t="shared" si="70"/>
        <v>0</v>
      </c>
      <c r="H75" s="15">
        <v>4261079.6921323007</v>
      </c>
      <c r="I75" s="330">
        <v>1849558.8</v>
      </c>
      <c r="J75" s="14">
        <f t="shared" si="51"/>
        <v>81215006.602487341</v>
      </c>
      <c r="K75" s="14">
        <f t="shared" si="51"/>
        <v>106042708.38363539</v>
      </c>
      <c r="L75" s="14">
        <f t="shared" si="51"/>
        <v>5448067.6050864048</v>
      </c>
      <c r="M75" s="15">
        <f t="shared" si="52"/>
        <v>15979496.241990419</v>
      </c>
      <c r="N75" s="15"/>
      <c r="O75" s="15">
        <f t="shared" si="53"/>
        <v>35269079.680061489</v>
      </c>
      <c r="P75" s="15">
        <f t="shared" si="57"/>
        <v>301617846.50837076</v>
      </c>
      <c r="Q75" s="166">
        <f t="shared" ref="Q75:Y75" si="78">$B$56*Q21</f>
        <v>39895671.530503131</v>
      </c>
      <c r="R75" s="166">
        <f t="shared" si="78"/>
        <v>41312778.377122775</v>
      </c>
      <c r="S75" s="166">
        <f t="shared" si="78"/>
        <v>90912252.685297906</v>
      </c>
      <c r="T75" s="166">
        <f t="shared" si="78"/>
        <v>64131113.903057426</v>
      </c>
      <c r="U75" s="166">
        <f t="shared" si="78"/>
        <v>16112947.384735653</v>
      </c>
      <c r="V75" s="166">
        <f t="shared" si="78"/>
        <v>45903087.085691974</v>
      </c>
      <c r="W75" s="166">
        <f t="shared" si="78"/>
        <v>383915688.67736256</v>
      </c>
      <c r="X75" s="166">
        <f t="shared" si="78"/>
        <v>203699377.79491493</v>
      </c>
      <c r="Y75" s="166">
        <f t="shared" si="78"/>
        <v>31037112.632701583</v>
      </c>
      <c r="Z75" s="186">
        <f t="shared" si="59"/>
        <v>916920030.07138801</v>
      </c>
      <c r="AA75" s="167">
        <f t="shared" si="60"/>
        <v>-4498322591.8027534</v>
      </c>
      <c r="AB75" s="167">
        <f>'Collections and ACP'!K89</f>
        <v>607345810.89830565</v>
      </c>
      <c r="AC75" s="167">
        <f t="shared" si="55"/>
        <v>-3890976780.9044476</v>
      </c>
      <c r="AD75" s="167">
        <f t="shared" si="61"/>
        <v>1218537876.5797586</v>
      </c>
      <c r="AE75" s="16">
        <f t="shared" si="56"/>
        <v>-5109514657.4842062</v>
      </c>
      <c r="AF75" s="17"/>
    </row>
    <row r="76" spans="1:32" x14ac:dyDescent="0.25">
      <c r="A76" s="165" t="s">
        <v>35</v>
      </c>
      <c r="B76" s="14">
        <f t="shared" si="70"/>
        <v>0</v>
      </c>
      <c r="C76" s="14">
        <f t="shared" si="70"/>
        <v>0</v>
      </c>
      <c r="D76" s="14">
        <f t="shared" si="70"/>
        <v>50204306.178046741</v>
      </c>
      <c r="E76" s="14">
        <f t="shared" si="70"/>
        <v>1090766.9824492121</v>
      </c>
      <c r="F76" s="14">
        <f t="shared" si="70"/>
        <v>0</v>
      </c>
      <c r="G76" s="14">
        <f t="shared" si="70"/>
        <v>0</v>
      </c>
      <c r="H76" s="15">
        <v>4261079.6921323007</v>
      </c>
      <c r="I76" s="15">
        <v>1849558.8</v>
      </c>
      <c r="J76" s="14">
        <f t="shared" si="51"/>
        <v>83734532.188565806</v>
      </c>
      <c r="K76" s="14">
        <f t="shared" si="51"/>
        <v>109025773.80643122</v>
      </c>
      <c r="L76" s="14">
        <f t="shared" si="51"/>
        <v>5522475.8865832193</v>
      </c>
      <c r="M76" s="15">
        <f t="shared" si="52"/>
        <v>16083844.874162452</v>
      </c>
      <c r="N76" s="15"/>
      <c r="O76" s="15">
        <f t="shared" si="53"/>
        <v>35269079.680061489</v>
      </c>
      <c r="P76" s="15">
        <f t="shared" si="57"/>
        <v>307041418.08843243</v>
      </c>
      <c r="Q76" s="166">
        <f t="shared" ref="Q76:Y76" si="79">$B$56*Q22</f>
        <v>38299844.669283003</v>
      </c>
      <c r="R76" s="166">
        <f t="shared" si="79"/>
        <v>35028330.985006049</v>
      </c>
      <c r="S76" s="166">
        <f t="shared" si="79"/>
        <v>93893716.192920327</v>
      </c>
      <c r="T76" s="166">
        <f t="shared" si="79"/>
        <v>65865149.693715982</v>
      </c>
      <c r="U76" s="166">
        <f t="shared" si="79"/>
        <v>13908973.086981712</v>
      </c>
      <c r="V76" s="166">
        <f t="shared" si="79"/>
        <v>38920367.761117831</v>
      </c>
      <c r="W76" s="166">
        <f t="shared" si="79"/>
        <v>423205887.8033638</v>
      </c>
      <c r="X76" s="166">
        <f t="shared" si="79"/>
        <v>221869458.37742496</v>
      </c>
      <c r="Y76" s="166">
        <f t="shared" si="79"/>
        <v>34291768.973070972</v>
      </c>
      <c r="Z76" s="186">
        <f t="shared" si="59"/>
        <v>965283497.54288471</v>
      </c>
      <c r="AA76" s="167">
        <f t="shared" si="60"/>
        <v>-5109514657.4842062</v>
      </c>
      <c r="AB76" s="167">
        <f>'Collections and ACP'!K90</f>
        <v>612268562.02908874</v>
      </c>
      <c r="AC76" s="167">
        <f t="shared" si="55"/>
        <v>-4497246095.4551172</v>
      </c>
      <c r="AD76" s="167">
        <f t="shared" si="61"/>
        <v>1272324915.6313171</v>
      </c>
      <c r="AE76" s="16">
        <f t="shared" si="56"/>
        <v>-5769571011.0864344</v>
      </c>
      <c r="AF76" s="17"/>
    </row>
    <row r="77" spans="1:32" x14ac:dyDescent="0.25">
      <c r="A77" s="165" t="s">
        <v>36</v>
      </c>
      <c r="B77" s="14">
        <f t="shared" si="70"/>
        <v>0</v>
      </c>
      <c r="C77" s="14">
        <f t="shared" si="70"/>
        <v>0</v>
      </c>
      <c r="D77" s="14">
        <f t="shared" si="70"/>
        <v>49953381.129391953</v>
      </c>
      <c r="E77" s="14">
        <f t="shared" si="70"/>
        <v>1085206.1137098728</v>
      </c>
      <c r="F77" s="14">
        <f t="shared" si="70"/>
        <v>0</v>
      </c>
      <c r="G77" s="14">
        <f t="shared" si="70"/>
        <v>0</v>
      </c>
      <c r="H77" s="15">
        <v>4261079.6921323007</v>
      </c>
      <c r="I77" s="15">
        <v>1849558.8</v>
      </c>
      <c r="J77" s="14">
        <f t="shared" si="51"/>
        <v>86046094.730592325</v>
      </c>
      <c r="K77" s="14">
        <f t="shared" si="51"/>
        <v>111687819.44632198</v>
      </c>
      <c r="L77" s="14">
        <f t="shared" si="51"/>
        <v>5587655.7006177818</v>
      </c>
      <c r="M77" s="15">
        <f t="shared" si="52"/>
        <v>16150905.379345262</v>
      </c>
      <c r="N77" s="15"/>
      <c r="O77" s="15">
        <f t="shared" si="53"/>
        <v>35269079.680061489</v>
      </c>
      <c r="P77" s="15">
        <f t="shared" si="57"/>
        <v>311890780.6721729</v>
      </c>
      <c r="Q77" s="166">
        <f t="shared" ref="Q77:Y77" si="80">$B$56*Q23</f>
        <v>36767850.882511683</v>
      </c>
      <c r="R77" s="166">
        <f t="shared" si="80"/>
        <v>28995261.488573983</v>
      </c>
      <c r="S77" s="166">
        <f t="shared" si="80"/>
        <v>96722831.392162681</v>
      </c>
      <c r="T77" s="166">
        <f t="shared" si="80"/>
        <v>67508327.651014283</v>
      </c>
      <c r="U77" s="166">
        <f t="shared" si="80"/>
        <v>11793157.761137933</v>
      </c>
      <c r="V77" s="166">
        <f t="shared" si="80"/>
        <v>32216957.209526651</v>
      </c>
      <c r="W77" s="166">
        <f t="shared" si="80"/>
        <v>451120720.56947142</v>
      </c>
      <c r="X77" s="166">
        <f t="shared" si="80"/>
        <v>244854732.98966035</v>
      </c>
      <c r="Y77" s="166">
        <f t="shared" si="80"/>
        <v>37997551.846262634</v>
      </c>
      <c r="Z77" s="186">
        <f t="shared" si="59"/>
        <v>1007977391.7903216</v>
      </c>
      <c r="AA77" s="167">
        <f t="shared" si="60"/>
        <v>-5769571011.0864344</v>
      </c>
      <c r="AB77" s="167">
        <f>'Collections and ACP'!K91</f>
        <v>615433686.9408288</v>
      </c>
      <c r="AC77" s="167">
        <f t="shared" si="55"/>
        <v>-5154137324.1456051</v>
      </c>
      <c r="AD77" s="167">
        <f t="shared" si="61"/>
        <v>1319868172.4624944</v>
      </c>
      <c r="AE77" s="16">
        <f t="shared" si="56"/>
        <v>-6474005496.608099</v>
      </c>
      <c r="AF77" s="17"/>
    </row>
    <row r="78" spans="1:32" x14ac:dyDescent="0.25">
      <c r="A78" s="165" t="s">
        <v>37</v>
      </c>
      <c r="B78" s="14">
        <f t="shared" ref="B78:G81" si="81">B24*$B$56</f>
        <v>0</v>
      </c>
      <c r="C78" s="14">
        <f t="shared" si="81"/>
        <v>0</v>
      </c>
      <c r="D78" s="14">
        <f t="shared" si="81"/>
        <v>49703219.472913034</v>
      </c>
      <c r="E78" s="14">
        <f t="shared" si="81"/>
        <v>1079939.0787271641</v>
      </c>
      <c r="F78" s="14">
        <f t="shared" si="81"/>
        <v>0</v>
      </c>
      <c r="G78" s="14">
        <f t="shared" si="81"/>
        <v>0</v>
      </c>
      <c r="H78" s="15">
        <v>4261079.6921323007</v>
      </c>
      <c r="I78" s="15"/>
      <c r="J78" s="14">
        <f t="shared" si="51"/>
        <v>86945795.010486424</v>
      </c>
      <c r="K78" s="14">
        <f t="shared" si="51"/>
        <v>112371426.91808061</v>
      </c>
      <c r="L78" s="14">
        <f t="shared" si="51"/>
        <v>5595653.1734137591</v>
      </c>
      <c r="M78" s="15">
        <f t="shared" si="52"/>
        <v>16234881.691947561</v>
      </c>
      <c r="N78" s="15"/>
      <c r="O78" s="15">
        <f t="shared" si="53"/>
        <v>35269079.680061489</v>
      </c>
      <c r="P78" s="15">
        <f t="shared" si="57"/>
        <v>311461074.71776235</v>
      </c>
      <c r="Q78" s="166">
        <f t="shared" ref="Q78:Y78" si="82">$B$56*Q24</f>
        <v>35297136.847211212</v>
      </c>
      <c r="R78" s="166">
        <f t="shared" si="82"/>
        <v>27835451.029031027</v>
      </c>
      <c r="S78" s="166">
        <f t="shared" si="82"/>
        <v>99405857.664200544</v>
      </c>
      <c r="T78" s="166">
        <f t="shared" si="82"/>
        <v>69064389.570295438</v>
      </c>
      <c r="U78" s="166">
        <f t="shared" si="82"/>
        <v>9761975.0483279005</v>
      </c>
      <c r="V78" s="166">
        <f t="shared" si="82"/>
        <v>30928278.921145588</v>
      </c>
      <c r="W78" s="166">
        <f t="shared" si="82"/>
        <v>488324235.79273498</v>
      </c>
      <c r="X78" s="166">
        <f t="shared" si="82"/>
        <v>268078835.54195014</v>
      </c>
      <c r="Y78" s="166">
        <f t="shared" si="82"/>
        <v>41737319.513818376</v>
      </c>
      <c r="Z78" s="186">
        <f t="shared" si="59"/>
        <v>1070433479.9287152</v>
      </c>
      <c r="AA78" s="167">
        <f t="shared" si="60"/>
        <v>-6474005496.608099</v>
      </c>
      <c r="AB78" s="167">
        <f>'Collections and ACP'!K92</f>
        <v>619392078.31491768</v>
      </c>
      <c r="AC78" s="167">
        <f t="shared" si="55"/>
        <v>-5854613418.2931814</v>
      </c>
      <c r="AD78" s="167">
        <f t="shared" si="61"/>
        <v>1381894554.6464777</v>
      </c>
      <c r="AE78" s="16">
        <f t="shared" si="56"/>
        <v>-7236507972.9396591</v>
      </c>
      <c r="AF78" s="17"/>
    </row>
    <row r="79" spans="1:32" x14ac:dyDescent="0.25">
      <c r="A79" s="165" t="s">
        <v>38</v>
      </c>
      <c r="B79" s="14">
        <f t="shared" si="81"/>
        <v>0</v>
      </c>
      <c r="C79" s="14">
        <f t="shared" si="81"/>
        <v>0</v>
      </c>
      <c r="D79" s="14">
        <f t="shared" si="81"/>
        <v>49455144.38456469</v>
      </c>
      <c r="E79" s="14">
        <f t="shared" si="81"/>
        <v>1074595.1077740411</v>
      </c>
      <c r="F79" s="14">
        <f t="shared" si="81"/>
        <v>0</v>
      </c>
      <c r="G79" s="14">
        <f t="shared" si="81"/>
        <v>0</v>
      </c>
      <c r="H79" s="15">
        <v>4261079.6921323007</v>
      </c>
      <c r="I79" s="18"/>
      <c r="J79" s="14">
        <f t="shared" si="51"/>
        <v>88403411.711341098</v>
      </c>
      <c r="K79" s="14">
        <f t="shared" si="51"/>
        <v>113811765.09602307</v>
      </c>
      <c r="L79" s="14">
        <f t="shared" si="51"/>
        <v>5625603.8086037822</v>
      </c>
      <c r="M79" s="15">
        <f t="shared" si="52"/>
        <v>16298822.523909323</v>
      </c>
      <c r="N79" s="15"/>
      <c r="O79" s="15">
        <f t="shared" si="53"/>
        <v>35269079.680061489</v>
      </c>
      <c r="P79" s="15">
        <f t="shared" si="57"/>
        <v>314199502.00440979</v>
      </c>
      <c r="Q79" s="166">
        <f t="shared" ref="Q79:Y79" si="83">$B$56*Q25</f>
        <v>0</v>
      </c>
      <c r="R79" s="166">
        <f t="shared" si="83"/>
        <v>23184047.70350964</v>
      </c>
      <c r="S79" s="166">
        <f t="shared" si="83"/>
        <v>101948803.18771829</v>
      </c>
      <c r="T79" s="166">
        <f t="shared" si="83"/>
        <v>68719067.622443974</v>
      </c>
      <c r="U79" s="166">
        <f t="shared" si="83"/>
        <v>9371496.0463947821</v>
      </c>
      <c r="V79" s="166">
        <f t="shared" si="83"/>
        <v>25760053.003899604</v>
      </c>
      <c r="W79" s="166">
        <f t="shared" si="83"/>
        <v>525682427.62367898</v>
      </c>
      <c r="X79" s="166">
        <f t="shared" si="83"/>
        <v>287488440.50936723</v>
      </c>
      <c r="Y79" s="166">
        <f t="shared" si="83"/>
        <v>45118982.770391949</v>
      </c>
      <c r="Z79" s="186">
        <f t="shared" si="59"/>
        <v>1087273318.4674046</v>
      </c>
      <c r="AA79" s="167">
        <f t="shared" si="60"/>
        <v>-7236507972.9396591</v>
      </c>
      <c r="AB79" s="167">
        <f>'Collections and ACP'!K93</f>
        <v>622421978.37170565</v>
      </c>
      <c r="AC79" s="167">
        <f t="shared" si="55"/>
        <v>-6614085994.5679531</v>
      </c>
      <c r="AD79" s="167">
        <f t="shared" si="61"/>
        <v>1401472820.4718144</v>
      </c>
      <c r="AE79" s="16">
        <f t="shared" si="56"/>
        <v>-8015558815.0397673</v>
      </c>
      <c r="AF79" s="17"/>
    </row>
    <row r="80" spans="1:32" x14ac:dyDescent="0.25">
      <c r="A80" s="165" t="s">
        <v>39</v>
      </c>
      <c r="B80" s="14">
        <f t="shared" si="81"/>
        <v>0</v>
      </c>
      <c r="C80" s="14">
        <f t="shared" si="81"/>
        <v>0</v>
      </c>
      <c r="D80" s="14">
        <f t="shared" si="81"/>
        <v>49207826.001374699</v>
      </c>
      <c r="E80" s="14">
        <f t="shared" si="81"/>
        <v>1069168.691820258</v>
      </c>
      <c r="F80" s="14">
        <f t="shared" si="81"/>
        <v>0</v>
      </c>
      <c r="G80" s="14">
        <f t="shared" si="81"/>
        <v>0</v>
      </c>
      <c r="H80" s="15">
        <v>4261079.6921323007</v>
      </c>
      <c r="I80" s="18"/>
      <c r="J80" s="14">
        <f t="shared" si="51"/>
        <v>90371237.931018651</v>
      </c>
      <c r="K80" s="14">
        <f t="shared" si="51"/>
        <v>115932214.81449305</v>
      </c>
      <c r="L80" s="14">
        <f t="shared" si="51"/>
        <v>-4097808.9909231807</v>
      </c>
      <c r="M80" s="15">
        <f t="shared" si="52"/>
        <v>16364626.041409755</v>
      </c>
      <c r="N80" s="15"/>
      <c r="O80" s="15">
        <f t="shared" si="53"/>
        <v>35269079.680061489</v>
      </c>
      <c r="P80" s="15">
        <f t="shared" si="57"/>
        <v>308377423.86138701</v>
      </c>
      <c r="Q80" s="166">
        <f t="shared" ref="Q80:Y80" si="84">$B$56*Q26</f>
        <v>0</v>
      </c>
      <c r="R80" s="166">
        <f t="shared" si="84"/>
        <v>18915255.249029115</v>
      </c>
      <c r="S80" s="166">
        <f t="shared" si="84"/>
        <v>101439059.17177972</v>
      </c>
      <c r="T80" s="166">
        <f t="shared" si="84"/>
        <v>68375472.284331739</v>
      </c>
      <c r="U80" s="166">
        <f t="shared" si="84"/>
        <v>7805485.5718438849</v>
      </c>
      <c r="V80" s="166">
        <f t="shared" si="84"/>
        <v>21016950.276699021</v>
      </c>
      <c r="W80" s="166">
        <f t="shared" si="84"/>
        <v>555646873.27077699</v>
      </c>
      <c r="X80" s="166">
        <f t="shared" si="84"/>
        <v>309079444.84127527</v>
      </c>
      <c r="Y80" s="166">
        <f t="shared" si="84"/>
        <v>48711115.323292576</v>
      </c>
      <c r="Z80" s="186">
        <f t="shared" si="59"/>
        <v>1130989655.9890282</v>
      </c>
      <c r="AA80" s="167">
        <f t="shared" si="60"/>
        <v>-8015558815.0397673</v>
      </c>
      <c r="AB80" s="167">
        <f>'Collections and ACP'!K94</f>
        <v>625523367.38364875</v>
      </c>
      <c r="AC80" s="167">
        <f t="shared" si="55"/>
        <v>-7390035447.6561184</v>
      </c>
      <c r="AD80" s="167">
        <f t="shared" si="61"/>
        <v>1439367079.8504152</v>
      </c>
      <c r="AE80" s="16">
        <f t="shared" si="56"/>
        <v>-8829402527.5065346</v>
      </c>
    </row>
    <row r="81" spans="1:31" x14ac:dyDescent="0.25">
      <c r="A81" s="165" t="s">
        <v>158</v>
      </c>
      <c r="B81" s="14">
        <f t="shared" si="81"/>
        <v>0</v>
      </c>
      <c r="C81" s="14">
        <f t="shared" si="81"/>
        <v>0</v>
      </c>
      <c r="D81" s="14">
        <f t="shared" si="81"/>
        <v>40493240.123478971</v>
      </c>
      <c r="E81" s="14">
        <f t="shared" si="81"/>
        <v>1063750.6205307276</v>
      </c>
      <c r="F81" s="14">
        <f t="shared" si="81"/>
        <v>0</v>
      </c>
      <c r="G81" s="14">
        <f t="shared" si="81"/>
        <v>0</v>
      </c>
      <c r="H81" s="15">
        <v>4261079.6921323007</v>
      </c>
      <c r="I81" s="18"/>
      <c r="J81" s="14">
        <f t="shared" si="51"/>
        <v>0</v>
      </c>
      <c r="K81" s="14">
        <f t="shared" si="51"/>
        <v>0</v>
      </c>
      <c r="L81" s="14">
        <f t="shared" si="51"/>
        <v>0</v>
      </c>
      <c r="M81" s="15">
        <f t="shared" si="52"/>
        <v>16364626.041409755</v>
      </c>
      <c r="N81" s="15"/>
      <c r="O81" s="15">
        <f t="shared" si="53"/>
        <v>35269079.680061489</v>
      </c>
      <c r="P81" s="15">
        <f t="shared" si="57"/>
        <v>97451776.157613248</v>
      </c>
      <c r="Q81" s="166">
        <f t="shared" ref="Q81:Y81" si="85">$B$56*Q27</f>
        <v>0</v>
      </c>
      <c r="R81" s="166">
        <f t="shared" si="85"/>
        <v>0</v>
      </c>
      <c r="S81" s="166">
        <f t="shared" si="85"/>
        <v>0</v>
      </c>
      <c r="T81" s="166">
        <f t="shared" si="85"/>
        <v>0</v>
      </c>
      <c r="U81" s="166">
        <f t="shared" si="85"/>
        <v>0</v>
      </c>
      <c r="V81" s="166">
        <f t="shared" si="85"/>
        <v>0</v>
      </c>
      <c r="W81" s="166">
        <f t="shared" si="85"/>
        <v>589672801.86611581</v>
      </c>
      <c r="X81" s="166">
        <f t="shared" si="85"/>
        <v>333082693.24121934</v>
      </c>
      <c r="Y81" s="166">
        <f t="shared" si="85"/>
        <v>52532423.663204134</v>
      </c>
      <c r="Z81" s="186">
        <f t="shared" si="59"/>
        <v>975287918.77053928</v>
      </c>
      <c r="AA81" s="167">
        <f t="shared" si="60"/>
        <v>-8829402527.5065346</v>
      </c>
      <c r="AB81" s="167">
        <f>AB80</f>
        <v>625523367.38364875</v>
      </c>
      <c r="AC81" s="167">
        <f t="shared" si="55"/>
        <v>-8203879160.1228857</v>
      </c>
      <c r="AD81" s="167">
        <f t="shared" si="61"/>
        <v>1072739694.9281526</v>
      </c>
      <c r="AE81" s="16">
        <f t="shared" si="56"/>
        <v>-9276618855.0510387</v>
      </c>
    </row>
    <row r="83" spans="1:31" x14ac:dyDescent="0.25">
      <c r="A83" s="168" t="s">
        <v>213</v>
      </c>
      <c r="B83" s="20">
        <v>5.0041044571267233E-3</v>
      </c>
    </row>
    <row r="84" spans="1:31" ht="60" x14ac:dyDescent="0.25">
      <c r="A84" s="164" t="s">
        <v>1</v>
      </c>
      <c r="B84" s="164" t="s">
        <v>184</v>
      </c>
      <c r="C84" s="164" t="s">
        <v>185</v>
      </c>
      <c r="D84" s="164" t="s">
        <v>214</v>
      </c>
      <c r="E84" s="164" t="s">
        <v>144</v>
      </c>
      <c r="F84" s="164" t="s">
        <v>215</v>
      </c>
      <c r="G84" s="164" t="s">
        <v>216</v>
      </c>
      <c r="H84" s="164" t="s">
        <v>217</v>
      </c>
      <c r="I84" s="13" t="s">
        <v>218</v>
      </c>
      <c r="J84" s="13" t="s">
        <v>219</v>
      </c>
      <c r="K84" s="13" t="s">
        <v>220</v>
      </c>
      <c r="L84" s="13" t="s">
        <v>221</v>
      </c>
      <c r="M84" s="164" t="s">
        <v>222</v>
      </c>
      <c r="N84" s="164" t="s">
        <v>223</v>
      </c>
      <c r="O84" s="164" t="s">
        <v>202</v>
      </c>
      <c r="P84" s="13" t="s">
        <v>200</v>
      </c>
      <c r="Q84" s="188" t="s">
        <v>184</v>
      </c>
      <c r="R84" s="188" t="s">
        <v>185</v>
      </c>
      <c r="S84" s="188" t="s">
        <v>139</v>
      </c>
      <c r="T84" s="188" t="s">
        <v>144</v>
      </c>
      <c r="U84" s="188" t="s">
        <v>148</v>
      </c>
      <c r="V84" s="188" t="s">
        <v>151</v>
      </c>
      <c r="W84" s="188" t="s">
        <v>81</v>
      </c>
      <c r="X84" s="188" t="s">
        <v>82</v>
      </c>
      <c r="Y84" s="188" t="s">
        <v>77</v>
      </c>
      <c r="Z84" s="188" t="s">
        <v>224</v>
      </c>
      <c r="AA84" s="13" t="s">
        <v>225</v>
      </c>
      <c r="AB84" s="13" t="s">
        <v>226</v>
      </c>
      <c r="AC84" s="13" t="s">
        <v>227</v>
      </c>
      <c r="AD84" s="164" t="s">
        <v>165</v>
      </c>
      <c r="AE84" s="164" t="s">
        <v>228</v>
      </c>
    </row>
    <row r="85" spans="1:31" x14ac:dyDescent="0.25">
      <c r="A85" s="165" t="s">
        <v>16</v>
      </c>
      <c r="B85" s="15">
        <f t="shared" ref="B85:G94" si="86">B4*$B$83</f>
        <v>690319.91640080279</v>
      </c>
      <c r="C85" s="15">
        <f t="shared" si="86"/>
        <v>243307.53699944253</v>
      </c>
      <c r="D85" s="15">
        <f t="shared" si="86"/>
        <v>150068.37670110795</v>
      </c>
      <c r="E85" s="15">
        <f t="shared" si="86"/>
        <v>0</v>
      </c>
      <c r="F85" s="15">
        <f t="shared" si="86"/>
        <v>0</v>
      </c>
      <c r="G85" s="15">
        <f t="shared" si="86"/>
        <v>0</v>
      </c>
      <c r="H85" s="15"/>
      <c r="I85" s="15">
        <v>9408.9599999999991</v>
      </c>
      <c r="J85" s="15">
        <f t="shared" ref="J85:L108" si="87">J4*$B$83</f>
        <v>0</v>
      </c>
      <c r="K85" s="15">
        <f t="shared" si="87"/>
        <v>0</v>
      </c>
      <c r="L85" s="15">
        <f t="shared" si="87"/>
        <v>0</v>
      </c>
      <c r="M85" s="15">
        <f t="shared" ref="M85:M108" si="88">$B$83*M4</f>
        <v>33813.134254762168</v>
      </c>
      <c r="N85" s="15"/>
      <c r="O85" s="15">
        <f t="shared" ref="O85:O108" si="89">$B$83*O4</f>
        <v>56355.223757936954</v>
      </c>
      <c r="P85" s="15">
        <f t="shared" ref="P85:P108" si="90">SUM(B85:O85)</f>
        <v>1183273.1481140521</v>
      </c>
      <c r="Q85" s="166">
        <f t="shared" ref="Q85:Y85" si="91">$B$83*Q4</f>
        <v>0</v>
      </c>
      <c r="R85" s="166">
        <f t="shared" si="91"/>
        <v>0</v>
      </c>
      <c r="S85" s="166">
        <f t="shared" si="91"/>
        <v>0</v>
      </c>
      <c r="T85" s="166">
        <f t="shared" si="91"/>
        <v>0</v>
      </c>
      <c r="U85" s="166">
        <f t="shared" si="91"/>
        <v>0</v>
      </c>
      <c r="V85" s="166">
        <f t="shared" si="91"/>
        <v>0</v>
      </c>
      <c r="W85" s="166">
        <f t="shared" si="91"/>
        <v>0</v>
      </c>
      <c r="X85" s="166">
        <f t="shared" si="91"/>
        <v>0</v>
      </c>
      <c r="Y85" s="166">
        <f t="shared" si="91"/>
        <v>0</v>
      </c>
      <c r="Z85" s="186">
        <f t="shared" ref="Z85:Z108" si="92">SUM(Q85:Y85)</f>
        <v>0</v>
      </c>
      <c r="AA85" s="167">
        <f>'Collections and ACP'!D149++'Collections and ACP'!D141</f>
        <v>1406204.2258068149</v>
      </c>
      <c r="AB85" s="167">
        <f>'Collections and ACP'!K105</f>
        <v>585306.97492689674</v>
      </c>
      <c r="AC85" s="167">
        <f t="shared" ref="AC85:AC105" si="93">AA85+AB85</f>
        <v>1991511.2007337115</v>
      </c>
      <c r="AD85" s="167">
        <f t="shared" ref="AD85:AD104" si="94">P85+Z85</f>
        <v>1183273.1481140521</v>
      </c>
      <c r="AE85" s="16">
        <f t="shared" ref="AE85:AE104" si="95">AC85-AD85</f>
        <v>808238.05261965934</v>
      </c>
    </row>
    <row r="86" spans="1:31" x14ac:dyDescent="0.25">
      <c r="A86" s="165" t="s">
        <v>17</v>
      </c>
      <c r="B86" s="15">
        <f t="shared" si="86"/>
        <v>310019.74551137746</v>
      </c>
      <c r="C86" s="15">
        <f t="shared" si="86"/>
        <v>303739.73293129483</v>
      </c>
      <c r="D86" s="15">
        <f t="shared" si="86"/>
        <v>421307.12338471645</v>
      </c>
      <c r="E86" s="15">
        <f t="shared" si="86"/>
        <v>0</v>
      </c>
      <c r="F86" s="15">
        <f t="shared" si="86"/>
        <v>0</v>
      </c>
      <c r="G86" s="15">
        <f t="shared" si="86"/>
        <v>0</v>
      </c>
      <c r="H86" s="15"/>
      <c r="I86" s="15">
        <v>55160.941677111034</v>
      </c>
      <c r="J86" s="15">
        <f t="shared" si="87"/>
        <v>0</v>
      </c>
      <c r="K86" s="15">
        <f t="shared" si="87"/>
        <v>0</v>
      </c>
      <c r="L86" s="15">
        <f t="shared" si="87"/>
        <v>0</v>
      </c>
      <c r="M86" s="15">
        <f t="shared" si="88"/>
        <v>69767.900357761828</v>
      </c>
      <c r="N86" s="15"/>
      <c r="O86" s="15">
        <f t="shared" si="89"/>
        <v>250205.22285633616</v>
      </c>
      <c r="P86" s="15">
        <f t="shared" si="90"/>
        <v>1410200.666718598</v>
      </c>
      <c r="Q86" s="166">
        <f t="shared" ref="Q86:Y86" si="96">$B$83*Q5</f>
        <v>0</v>
      </c>
      <c r="R86" s="166">
        <f t="shared" si="96"/>
        <v>0</v>
      </c>
      <c r="S86" s="166">
        <f t="shared" si="96"/>
        <v>0</v>
      </c>
      <c r="T86" s="166">
        <f t="shared" si="96"/>
        <v>0</v>
      </c>
      <c r="U86" s="166">
        <f t="shared" si="96"/>
        <v>0</v>
      </c>
      <c r="V86" s="166">
        <f t="shared" si="96"/>
        <v>0</v>
      </c>
      <c r="W86" s="166">
        <f t="shared" si="96"/>
        <v>0</v>
      </c>
      <c r="X86" s="166">
        <f t="shared" si="96"/>
        <v>0</v>
      </c>
      <c r="Y86" s="166">
        <f t="shared" si="96"/>
        <v>0</v>
      </c>
      <c r="Z86" s="186">
        <f t="shared" si="92"/>
        <v>0</v>
      </c>
      <c r="AA86" s="167">
        <f t="shared" ref="AA86:AA106" si="97">AE85</f>
        <v>808238.05261965934</v>
      </c>
      <c r="AB86" s="167">
        <f>'Collections and ACP'!K106</f>
        <v>1153433.5221666666</v>
      </c>
      <c r="AC86" s="167">
        <f t="shared" si="93"/>
        <v>1961671.5747863259</v>
      </c>
      <c r="AD86" s="167">
        <f t="shared" si="94"/>
        <v>1410200.666718598</v>
      </c>
      <c r="AE86" s="16">
        <f t="shared" si="95"/>
        <v>551470.90806772793</v>
      </c>
    </row>
    <row r="87" spans="1:31" x14ac:dyDescent="0.25">
      <c r="A87" s="165" t="s">
        <v>18</v>
      </c>
      <c r="B87" s="15">
        <f t="shared" si="86"/>
        <v>444215.82641794294</v>
      </c>
      <c r="C87" s="15">
        <f t="shared" si="86"/>
        <v>327108.90479940118</v>
      </c>
      <c r="D87" s="15">
        <f t="shared" si="86"/>
        <v>511105.07714310836</v>
      </c>
      <c r="E87" s="15">
        <f t="shared" si="86"/>
        <v>0</v>
      </c>
      <c r="F87" s="15">
        <f t="shared" si="86"/>
        <v>0</v>
      </c>
      <c r="G87" s="15">
        <f t="shared" si="86"/>
        <v>0</v>
      </c>
      <c r="H87" s="15"/>
      <c r="I87" s="15">
        <v>74567.941677111041</v>
      </c>
      <c r="J87" s="15">
        <f t="shared" si="87"/>
        <v>0</v>
      </c>
      <c r="K87" s="15">
        <f t="shared" si="87"/>
        <v>0</v>
      </c>
      <c r="L87" s="15">
        <f t="shared" si="87"/>
        <v>0</v>
      </c>
      <c r="M87" s="15">
        <f t="shared" si="88"/>
        <v>88191.78550485264</v>
      </c>
      <c r="N87" s="15"/>
      <c r="O87" s="15">
        <f t="shared" si="89"/>
        <v>250205.22285633616</v>
      </c>
      <c r="P87" s="15">
        <f t="shared" si="90"/>
        <v>1695394.7583987522</v>
      </c>
      <c r="Q87" s="166">
        <f t="shared" ref="Q87:Y87" si="98">$B$83*Q6</f>
        <v>0</v>
      </c>
      <c r="R87" s="166">
        <f t="shared" si="98"/>
        <v>0</v>
      </c>
      <c r="S87" s="166">
        <f t="shared" si="98"/>
        <v>0</v>
      </c>
      <c r="T87" s="166">
        <f t="shared" si="98"/>
        <v>0</v>
      </c>
      <c r="U87" s="166">
        <f t="shared" si="98"/>
        <v>0</v>
      </c>
      <c r="V87" s="166">
        <f t="shared" si="98"/>
        <v>0</v>
      </c>
      <c r="W87" s="166">
        <f t="shared" si="98"/>
        <v>0</v>
      </c>
      <c r="X87" s="166">
        <f t="shared" si="98"/>
        <v>0</v>
      </c>
      <c r="Y87" s="166">
        <f t="shared" si="98"/>
        <v>0</v>
      </c>
      <c r="Z87" s="186">
        <f t="shared" si="92"/>
        <v>0</v>
      </c>
      <c r="AA87" s="167">
        <f t="shared" si="97"/>
        <v>551470.90806772793</v>
      </c>
      <c r="AB87" s="167">
        <f>'Collections and ACP'!K107</f>
        <v>1392648.2258068149</v>
      </c>
      <c r="AC87" s="167">
        <f t="shared" si="93"/>
        <v>1944119.1338745428</v>
      </c>
      <c r="AD87" s="167">
        <f t="shared" si="94"/>
        <v>1695394.7583987522</v>
      </c>
      <c r="AE87" s="16">
        <f t="shared" si="95"/>
        <v>248724.37547579058</v>
      </c>
    </row>
    <row r="88" spans="1:31" x14ac:dyDescent="0.25">
      <c r="A88" s="165" t="s">
        <v>19</v>
      </c>
      <c r="B88" s="15">
        <f t="shared" si="86"/>
        <v>1357776.3207348287</v>
      </c>
      <c r="C88" s="15">
        <f t="shared" si="86"/>
        <v>416950.2531508244</v>
      </c>
      <c r="D88" s="15">
        <f t="shared" si="86"/>
        <v>591314.94372870971</v>
      </c>
      <c r="E88" s="15">
        <f t="shared" si="86"/>
        <v>0</v>
      </c>
      <c r="F88" s="15">
        <f t="shared" si="86"/>
        <v>0</v>
      </c>
      <c r="G88" s="15">
        <f t="shared" si="86"/>
        <v>0</v>
      </c>
      <c r="H88" s="15"/>
      <c r="I88" s="15">
        <v>74566.48252909616</v>
      </c>
      <c r="J88" s="15">
        <f t="shared" si="87"/>
        <v>0</v>
      </c>
      <c r="K88" s="15">
        <f t="shared" si="87"/>
        <v>0</v>
      </c>
      <c r="L88" s="15">
        <f t="shared" si="87"/>
        <v>0</v>
      </c>
      <c r="M88" s="15">
        <f t="shared" si="88"/>
        <v>86684.335504653951</v>
      </c>
      <c r="N88" s="15"/>
      <c r="O88" s="15">
        <f t="shared" si="89"/>
        <v>250205.22285633616</v>
      </c>
      <c r="P88" s="15">
        <f t="shared" si="90"/>
        <v>2777497.5585044492</v>
      </c>
      <c r="Q88" s="166">
        <f t="shared" ref="Q88:Y88" si="99">$B$83*Q7</f>
        <v>0</v>
      </c>
      <c r="R88" s="166">
        <f t="shared" si="99"/>
        <v>0</v>
      </c>
      <c r="S88" s="166">
        <f t="shared" si="99"/>
        <v>0</v>
      </c>
      <c r="T88" s="166">
        <f t="shared" si="99"/>
        <v>0</v>
      </c>
      <c r="U88" s="166">
        <f t="shared" si="99"/>
        <v>0</v>
      </c>
      <c r="V88" s="166">
        <f t="shared" si="99"/>
        <v>0</v>
      </c>
      <c r="W88" s="166">
        <f t="shared" si="99"/>
        <v>0</v>
      </c>
      <c r="X88" s="166">
        <f t="shared" si="99"/>
        <v>0</v>
      </c>
      <c r="Y88" s="166">
        <f t="shared" si="99"/>
        <v>0</v>
      </c>
      <c r="Z88" s="186">
        <f t="shared" si="92"/>
        <v>0</v>
      </c>
      <c r="AA88" s="167">
        <f t="shared" si="97"/>
        <v>248724.37547579058</v>
      </c>
      <c r="AB88" s="167">
        <f>'Collections and ACP'!K108</f>
        <v>1383224.4391287609</v>
      </c>
      <c r="AC88" s="167">
        <f t="shared" si="93"/>
        <v>1631948.8146045515</v>
      </c>
      <c r="AD88" s="167">
        <f t="shared" si="94"/>
        <v>2777497.5585044492</v>
      </c>
      <c r="AE88" s="16">
        <f t="shared" si="95"/>
        <v>-1145548.7438998977</v>
      </c>
    </row>
    <row r="89" spans="1:31" x14ac:dyDescent="0.25">
      <c r="A89" s="165" t="s">
        <v>21</v>
      </c>
      <c r="B89" s="15">
        <f t="shared" si="86"/>
        <v>795136.70402880572</v>
      </c>
      <c r="C89" s="15">
        <f t="shared" si="86"/>
        <v>470741.14861772605</v>
      </c>
      <c r="D89" s="15">
        <f t="shared" si="86"/>
        <v>694824.11782840884</v>
      </c>
      <c r="E89" s="15">
        <f t="shared" si="86"/>
        <v>550.12772472556344</v>
      </c>
      <c r="F89" s="15">
        <f t="shared" si="86"/>
        <v>4391.3361384512473</v>
      </c>
      <c r="G89" s="15">
        <f t="shared" si="86"/>
        <v>0</v>
      </c>
      <c r="H89" s="15"/>
      <c r="I89" s="15">
        <v>74566.48252909616</v>
      </c>
      <c r="J89" s="15">
        <f t="shared" si="87"/>
        <v>0</v>
      </c>
      <c r="K89" s="15">
        <f t="shared" si="87"/>
        <v>0</v>
      </c>
      <c r="L89" s="15">
        <f t="shared" si="87"/>
        <v>221.8078117195133</v>
      </c>
      <c r="M89" s="15">
        <f t="shared" si="88"/>
        <v>86062.687962671989</v>
      </c>
      <c r="N89" s="15"/>
      <c r="O89" s="15">
        <f t="shared" si="89"/>
        <v>250205.22285633616</v>
      </c>
      <c r="P89" s="15">
        <f t="shared" si="90"/>
        <v>2376699.6354979416</v>
      </c>
      <c r="Q89" s="166">
        <f t="shared" ref="Q89:Y89" si="100">$B$83*Q8</f>
        <v>114598.19560968933</v>
      </c>
      <c r="R89" s="166">
        <f t="shared" si="100"/>
        <v>25049.492952743858</v>
      </c>
      <c r="S89" s="166">
        <f t="shared" si="100"/>
        <v>0</v>
      </c>
      <c r="T89" s="166">
        <f t="shared" si="100"/>
        <v>0</v>
      </c>
      <c r="U89" s="166">
        <f t="shared" si="100"/>
        <v>0</v>
      </c>
      <c r="V89" s="166">
        <f t="shared" si="100"/>
        <v>28690.979529250802</v>
      </c>
      <c r="W89" s="166">
        <f t="shared" si="100"/>
        <v>0</v>
      </c>
      <c r="X89" s="166">
        <f t="shared" si="100"/>
        <v>0</v>
      </c>
      <c r="Y89" s="166">
        <f t="shared" si="100"/>
        <v>0</v>
      </c>
      <c r="Z89" s="186">
        <f t="shared" si="92"/>
        <v>168338.66809168397</v>
      </c>
      <c r="AA89" s="167">
        <f t="shared" si="97"/>
        <v>-1145548.7438998977</v>
      </c>
      <c r="AB89" s="167">
        <f>'Collections and ACP'!K109</f>
        <v>1387044.2350979969</v>
      </c>
      <c r="AC89" s="167">
        <f t="shared" si="93"/>
        <v>241495.49119809922</v>
      </c>
      <c r="AD89" s="167">
        <f t="shared" si="94"/>
        <v>2545038.3035896257</v>
      </c>
      <c r="AE89" s="16">
        <f t="shared" si="95"/>
        <v>-2303542.8123915265</v>
      </c>
    </row>
    <row r="90" spans="1:31" x14ac:dyDescent="0.25">
      <c r="A90" s="165" t="s">
        <v>22</v>
      </c>
      <c r="B90" s="15">
        <f t="shared" si="86"/>
        <v>0</v>
      </c>
      <c r="C90" s="15">
        <f t="shared" si="86"/>
        <v>394954.8826995269</v>
      </c>
      <c r="D90" s="15">
        <f t="shared" si="86"/>
        <v>718735.74557865656</v>
      </c>
      <c r="E90" s="15">
        <f t="shared" si="86"/>
        <v>7907.8413046912383</v>
      </c>
      <c r="F90" s="15">
        <f t="shared" si="86"/>
        <v>111279.53103722182</v>
      </c>
      <c r="G90" s="15">
        <f t="shared" si="86"/>
        <v>0</v>
      </c>
      <c r="H90" s="15"/>
      <c r="I90" s="15">
        <v>87687.244415682479</v>
      </c>
      <c r="J90" s="15">
        <f t="shared" si="87"/>
        <v>84314.826901252804</v>
      </c>
      <c r="K90" s="15">
        <f t="shared" si="87"/>
        <v>66333.750361658647</v>
      </c>
      <c r="L90" s="15">
        <f t="shared" si="87"/>
        <v>3499.3608024646478</v>
      </c>
      <c r="M90" s="15">
        <f t="shared" si="88"/>
        <v>85798.930120020304</v>
      </c>
      <c r="N90" s="15"/>
      <c r="O90" s="15">
        <f t="shared" si="89"/>
        <v>250205.22285633616</v>
      </c>
      <c r="P90" s="15">
        <f t="shared" si="90"/>
        <v>1810717.3360775118</v>
      </c>
      <c r="Q90" s="166">
        <f t="shared" ref="Q90:Y90" si="101">$B$83*Q9</f>
        <v>923853.74276723119</v>
      </c>
      <c r="R90" s="166">
        <f t="shared" si="101"/>
        <v>120118.13774501298</v>
      </c>
      <c r="S90" s="166">
        <f t="shared" si="101"/>
        <v>4748.069942274492</v>
      </c>
      <c r="T90" s="166">
        <f t="shared" si="101"/>
        <v>95031.761353602051</v>
      </c>
      <c r="U90" s="166">
        <f t="shared" si="101"/>
        <v>0</v>
      </c>
      <c r="V90" s="166">
        <f t="shared" si="101"/>
        <v>134275.12876611884</v>
      </c>
      <c r="W90" s="166">
        <f t="shared" si="101"/>
        <v>0</v>
      </c>
      <c r="X90" s="166">
        <f t="shared" si="101"/>
        <v>0</v>
      </c>
      <c r="Y90" s="166">
        <f t="shared" si="101"/>
        <v>0</v>
      </c>
      <c r="Z90" s="186">
        <f t="shared" si="92"/>
        <v>1278026.8405742396</v>
      </c>
      <c r="AA90" s="167">
        <f t="shared" si="97"/>
        <v>-2303542.8123915265</v>
      </c>
      <c r="AB90" s="167">
        <f>'Collections and ACP'!K110</f>
        <v>1312222.1708038514</v>
      </c>
      <c r="AC90" s="167">
        <f t="shared" si="93"/>
        <v>-991320.64158767508</v>
      </c>
      <c r="AD90" s="167">
        <f t="shared" si="94"/>
        <v>3088744.1766517516</v>
      </c>
      <c r="AE90" s="16">
        <f t="shared" si="95"/>
        <v>-4080064.8182394267</v>
      </c>
    </row>
    <row r="91" spans="1:31" x14ac:dyDescent="0.25">
      <c r="A91" s="165" t="s">
        <v>23</v>
      </c>
      <c r="B91" s="15">
        <f t="shared" si="86"/>
        <v>0</v>
      </c>
      <c r="C91" s="15">
        <f t="shared" si="86"/>
        <v>344244.3433465116</v>
      </c>
      <c r="D91" s="15">
        <f t="shared" si="86"/>
        <v>644463.98803766433</v>
      </c>
      <c r="E91" s="15">
        <f t="shared" si="86"/>
        <v>13529.810145378171</v>
      </c>
      <c r="F91" s="15">
        <f t="shared" si="86"/>
        <v>156122.8256698304</v>
      </c>
      <c r="G91" s="15">
        <f t="shared" si="86"/>
        <v>0</v>
      </c>
      <c r="H91" s="15"/>
      <c r="I91" s="15">
        <v>87687.244415682479</v>
      </c>
      <c r="J91" s="15">
        <f t="shared" si="87"/>
        <v>259679.10752470812</v>
      </c>
      <c r="K91" s="15">
        <f t="shared" si="87"/>
        <v>275679.57509168447</v>
      </c>
      <c r="L91" s="15">
        <f t="shared" si="87"/>
        <v>12178.713798392071</v>
      </c>
      <c r="M91" s="15">
        <f t="shared" si="88"/>
        <v>85545.462313835247</v>
      </c>
      <c r="N91" s="15"/>
      <c r="O91" s="15">
        <f t="shared" si="89"/>
        <v>250205.22285633616</v>
      </c>
      <c r="P91" s="15">
        <f t="shared" si="90"/>
        <v>2129336.293200023</v>
      </c>
      <c r="Q91" s="166">
        <f t="shared" ref="Q91:Y91" si="102">$B$83*Q10</f>
        <v>886899.59305654198</v>
      </c>
      <c r="R91" s="166">
        <f t="shared" si="102"/>
        <v>207361.10507586857</v>
      </c>
      <c r="S91" s="166">
        <f t="shared" si="102"/>
        <v>84291.466156423718</v>
      </c>
      <c r="T91" s="166">
        <f t="shared" si="102"/>
        <v>142136.55873022007</v>
      </c>
      <c r="U91" s="166">
        <f t="shared" si="102"/>
        <v>32475.7505290722</v>
      </c>
      <c r="V91" s="166">
        <f t="shared" si="102"/>
        <v>231211.7591337362</v>
      </c>
      <c r="W91" s="166">
        <f t="shared" si="102"/>
        <v>0</v>
      </c>
      <c r="X91" s="166">
        <f t="shared" si="102"/>
        <v>0</v>
      </c>
      <c r="Y91" s="166">
        <f t="shared" si="102"/>
        <v>0</v>
      </c>
      <c r="Z91" s="186">
        <f t="shared" si="92"/>
        <v>1584376.232681863</v>
      </c>
      <c r="AA91" s="167">
        <f t="shared" si="97"/>
        <v>-4080064.8182394267</v>
      </c>
      <c r="AB91" s="167">
        <f>'Collections and ACP'!K111</f>
        <v>1273673.3802245473</v>
      </c>
      <c r="AC91" s="167">
        <f t="shared" si="93"/>
        <v>-2806391.4380148794</v>
      </c>
      <c r="AD91" s="167">
        <f t="shared" si="94"/>
        <v>3713712.525881886</v>
      </c>
      <c r="AE91" s="16">
        <f t="shared" si="95"/>
        <v>-6520103.9638967654</v>
      </c>
    </row>
    <row r="92" spans="1:31" x14ac:dyDescent="0.25">
      <c r="A92" s="165" t="s">
        <v>24</v>
      </c>
      <c r="B92" s="15">
        <f t="shared" si="86"/>
        <v>0</v>
      </c>
      <c r="C92" s="15">
        <f t="shared" si="86"/>
        <v>320374.23870426929</v>
      </c>
      <c r="D92" s="15">
        <f t="shared" si="86"/>
        <v>543739.45445055829</v>
      </c>
      <c r="E92" s="15">
        <f t="shared" si="86"/>
        <v>13218.787889289459</v>
      </c>
      <c r="F92" s="15">
        <f t="shared" si="86"/>
        <v>153300.87665612885</v>
      </c>
      <c r="G92" s="15">
        <f t="shared" si="86"/>
        <v>0</v>
      </c>
      <c r="H92" s="15"/>
      <c r="I92" s="15">
        <v>87687.244415682479</v>
      </c>
      <c r="J92" s="15">
        <f t="shared" si="87"/>
        <v>434105.47295789106</v>
      </c>
      <c r="K92" s="15">
        <f t="shared" si="87"/>
        <v>610334.82061228156</v>
      </c>
      <c r="L92" s="15">
        <f t="shared" si="87"/>
        <v>38157.268690297715</v>
      </c>
      <c r="M92" s="15">
        <f t="shared" si="88"/>
        <v>86593.035881810167</v>
      </c>
      <c r="N92" s="15"/>
      <c r="O92" s="15">
        <f t="shared" si="89"/>
        <v>250205.22285633616</v>
      </c>
      <c r="P92" s="15">
        <f t="shared" si="90"/>
        <v>2537716.4231145456</v>
      </c>
      <c r="Q92" s="166">
        <f t="shared" ref="Q92:Y92" si="103">$B$83*Q11</f>
        <v>851423.60933428025</v>
      </c>
      <c r="R92" s="166">
        <f t="shared" si="103"/>
        <v>291114.35371348995</v>
      </c>
      <c r="S92" s="166">
        <f t="shared" si="103"/>
        <v>160254.45992694778</v>
      </c>
      <c r="T92" s="166">
        <f t="shared" si="103"/>
        <v>187102.63387261957</v>
      </c>
      <c r="U92" s="166">
        <f t="shared" si="103"/>
        <v>61848.262674255289</v>
      </c>
      <c r="V92" s="166">
        <f t="shared" si="103"/>
        <v>324270.92428664886</v>
      </c>
      <c r="W92" s="166">
        <f t="shared" si="103"/>
        <v>0</v>
      </c>
      <c r="X92" s="166">
        <f t="shared" si="103"/>
        <v>0</v>
      </c>
      <c r="Y92" s="166">
        <f t="shared" si="103"/>
        <v>0</v>
      </c>
      <c r="Z92" s="186">
        <f t="shared" si="92"/>
        <v>1876014.2438082418</v>
      </c>
      <c r="AA92" s="167">
        <f t="shared" si="97"/>
        <v>-6520103.9638967654</v>
      </c>
      <c r="AB92" s="167">
        <f>'Collections and ACP'!K112</f>
        <v>1214610.0352039661</v>
      </c>
      <c r="AC92" s="167">
        <f t="shared" si="93"/>
        <v>-5305493.9286927991</v>
      </c>
      <c r="AD92" s="167">
        <f t="shared" si="94"/>
        <v>4413730.6669227872</v>
      </c>
      <c r="AE92" s="16">
        <f t="shared" si="95"/>
        <v>-9719224.5956155863</v>
      </c>
    </row>
    <row r="93" spans="1:31" x14ac:dyDescent="0.25">
      <c r="A93" s="165" t="s">
        <v>25</v>
      </c>
      <c r="B93" s="15">
        <f t="shared" si="86"/>
        <v>0</v>
      </c>
      <c r="C93" s="15">
        <f t="shared" si="86"/>
        <v>245947.41662653492</v>
      </c>
      <c r="D93" s="15">
        <f t="shared" si="86"/>
        <v>528060.12698213255</v>
      </c>
      <c r="E93" s="15">
        <f t="shared" si="86"/>
        <v>13177.823789792974</v>
      </c>
      <c r="F93" s="15">
        <f t="shared" si="86"/>
        <v>153300.87665612885</v>
      </c>
      <c r="G93" s="15">
        <f t="shared" si="86"/>
        <v>0</v>
      </c>
      <c r="H93" s="15"/>
      <c r="I93" s="15">
        <v>87687.244415682479</v>
      </c>
      <c r="J93" s="15">
        <f t="shared" si="87"/>
        <v>513781.20512372494</v>
      </c>
      <c r="K93" s="15">
        <f t="shared" si="87"/>
        <v>695357.52413852746</v>
      </c>
      <c r="L93" s="15">
        <f t="shared" si="87"/>
        <v>37787.360113825758</v>
      </c>
      <c r="M93" s="15">
        <f t="shared" si="88"/>
        <v>88275.408687267598</v>
      </c>
      <c r="N93" s="15"/>
      <c r="O93" s="15">
        <f t="shared" si="89"/>
        <v>250205.22285633616</v>
      </c>
      <c r="P93" s="15">
        <f t="shared" si="90"/>
        <v>2613580.2093899534</v>
      </c>
      <c r="Q93" s="166">
        <f t="shared" ref="Q93:Y93" si="104">$B$83*Q12</f>
        <v>817366.66496090905</v>
      </c>
      <c r="R93" s="166">
        <f t="shared" si="104"/>
        <v>371517.47240560647</v>
      </c>
      <c r="S93" s="166">
        <f t="shared" si="104"/>
        <v>232782.26068456695</v>
      </c>
      <c r="T93" s="166">
        <f t="shared" si="104"/>
        <v>230016.80832186498</v>
      </c>
      <c r="U93" s="166">
        <f t="shared" si="104"/>
        <v>90045.874333631044</v>
      </c>
      <c r="V93" s="166">
        <f t="shared" si="104"/>
        <v>413607.722833445</v>
      </c>
      <c r="W93" s="166">
        <f t="shared" si="104"/>
        <v>394874.47843859071</v>
      </c>
      <c r="X93" s="166">
        <f t="shared" si="104"/>
        <v>95550.532096104289</v>
      </c>
      <c r="Y93" s="166">
        <f t="shared" si="104"/>
        <v>21327.70592035741</v>
      </c>
      <c r="Z93" s="186">
        <f t="shared" si="92"/>
        <v>2667089.5199950757</v>
      </c>
      <c r="AA93" s="167">
        <f t="shared" si="97"/>
        <v>-9719224.5956155863</v>
      </c>
      <c r="AB93" s="167">
        <f>'Collections and ACP'!K113</f>
        <v>1224977.5477121535</v>
      </c>
      <c r="AC93" s="167">
        <f t="shared" si="93"/>
        <v>-8494247.0479034334</v>
      </c>
      <c r="AD93" s="167">
        <f t="shared" si="94"/>
        <v>5280669.7293850295</v>
      </c>
      <c r="AE93" s="16">
        <f t="shared" si="95"/>
        <v>-13774916.777288463</v>
      </c>
    </row>
    <row r="94" spans="1:31" x14ac:dyDescent="0.25">
      <c r="A94" s="165" t="s">
        <v>26</v>
      </c>
      <c r="B94" s="15">
        <f t="shared" si="86"/>
        <v>0</v>
      </c>
      <c r="C94" s="15">
        <f t="shared" si="86"/>
        <v>239971.6915785984</v>
      </c>
      <c r="D94" s="15">
        <f t="shared" si="86"/>
        <v>526185.32423495664</v>
      </c>
      <c r="E94" s="15">
        <f t="shared" si="86"/>
        <v>13137.754724419689</v>
      </c>
      <c r="F94" s="15">
        <f t="shared" si="86"/>
        <v>153300.87665612885</v>
      </c>
      <c r="G94" s="15">
        <f t="shared" si="86"/>
        <v>0</v>
      </c>
      <c r="H94" s="15"/>
      <c r="I94" s="15">
        <v>87687.244415682479</v>
      </c>
      <c r="J94" s="15">
        <f t="shared" si="87"/>
        <v>527271.474979172</v>
      </c>
      <c r="K94" s="15">
        <f t="shared" si="87"/>
        <v>711757.9303143376</v>
      </c>
      <c r="L94" s="15">
        <f t="shared" si="87"/>
        <v>38167.794679235682</v>
      </c>
      <c r="M94" s="15">
        <f t="shared" si="88"/>
        <v>90693.315752792405</v>
      </c>
      <c r="N94" s="15"/>
      <c r="O94" s="15">
        <f t="shared" si="89"/>
        <v>250205.22285633616</v>
      </c>
      <c r="P94" s="15">
        <f t="shared" si="90"/>
        <v>2638378.6301916596</v>
      </c>
      <c r="Q94" s="166">
        <f t="shared" ref="Q94:Y94" si="105">$B$83*Q13</f>
        <v>784671.99836247263</v>
      </c>
      <c r="R94" s="166">
        <f t="shared" si="105"/>
        <v>448704.4663500383</v>
      </c>
      <c r="S94" s="166">
        <f t="shared" si="105"/>
        <v>302014.25951610785</v>
      </c>
      <c r="T94" s="166">
        <f t="shared" si="105"/>
        <v>270962.42439411988</v>
      </c>
      <c r="U94" s="166">
        <f t="shared" si="105"/>
        <v>117115.58152663178</v>
      </c>
      <c r="V94" s="166">
        <f t="shared" si="105"/>
        <v>499371.04943836929</v>
      </c>
      <c r="W94" s="166">
        <f t="shared" si="105"/>
        <v>741400.0244132668</v>
      </c>
      <c r="X94" s="166">
        <f t="shared" si="105"/>
        <v>307573.32037743717</v>
      </c>
      <c r="Y94" s="166">
        <f t="shared" si="105"/>
        <v>42353.719835135256</v>
      </c>
      <c r="Z94" s="186">
        <f t="shared" si="92"/>
        <v>3514166.8442135789</v>
      </c>
      <c r="AA94" s="167">
        <f t="shared" si="97"/>
        <v>-13774916.777288463</v>
      </c>
      <c r="AB94" s="167">
        <f>'Collections and ACP'!K114</f>
        <v>1218229.6914816252</v>
      </c>
      <c r="AC94" s="167">
        <f t="shared" si="93"/>
        <v>-12556687.085806837</v>
      </c>
      <c r="AD94" s="167">
        <f t="shared" si="94"/>
        <v>6152545.4744052384</v>
      </c>
      <c r="AE94" s="16">
        <f t="shared" si="95"/>
        <v>-18709232.560212076</v>
      </c>
    </row>
    <row r="95" spans="1:31" x14ac:dyDescent="0.25">
      <c r="A95" s="165" t="s">
        <v>27</v>
      </c>
      <c r="B95" s="15">
        <f t="shared" ref="B95:G104" si="106">B14*$B$83</f>
        <v>0</v>
      </c>
      <c r="C95" s="15">
        <f t="shared" si="106"/>
        <v>225394.79639510368</v>
      </c>
      <c r="D95" s="15">
        <f t="shared" si="106"/>
        <v>524324.99035540817</v>
      </c>
      <c r="E95" s="15">
        <f t="shared" si="106"/>
        <v>13097.279225682398</v>
      </c>
      <c r="F95" s="15">
        <f t="shared" si="106"/>
        <v>153300.87665612885</v>
      </c>
      <c r="G95" s="15">
        <f t="shared" si="106"/>
        <v>0</v>
      </c>
      <c r="H95" s="15"/>
      <c r="I95" s="15">
        <v>87687.244415682479</v>
      </c>
      <c r="J95" s="15">
        <f t="shared" si="87"/>
        <v>528517.34750999929</v>
      </c>
      <c r="K95" s="15">
        <f t="shared" si="87"/>
        <v>710007.49206385133</v>
      </c>
      <c r="L95" s="15">
        <f t="shared" si="87"/>
        <v>38029.276180637455</v>
      </c>
      <c r="M95" s="15">
        <f t="shared" si="88"/>
        <v>94008.529798088479</v>
      </c>
      <c r="N95" s="15"/>
      <c r="O95" s="15">
        <f t="shared" si="89"/>
        <v>250205.22285633616</v>
      </c>
      <c r="P95" s="15">
        <f t="shared" si="90"/>
        <v>2624573.0554569187</v>
      </c>
      <c r="Q95" s="166">
        <f t="shared" ref="Q95:Y95" si="107">$B$83*Q14</f>
        <v>753285.11842797382</v>
      </c>
      <c r="R95" s="166">
        <f t="shared" si="107"/>
        <v>522803.98053669295</v>
      </c>
      <c r="S95" s="166">
        <f t="shared" si="107"/>
        <v>368084.26194809255</v>
      </c>
      <c r="T95" s="166">
        <f t="shared" si="107"/>
        <v>310019.48438145895</v>
      </c>
      <c r="U95" s="166">
        <f t="shared" si="107"/>
        <v>143102.50043191246</v>
      </c>
      <c r="V95" s="166">
        <f t="shared" si="107"/>
        <v>581703.84297909657</v>
      </c>
      <c r="W95" s="166">
        <f t="shared" si="107"/>
        <v>1103473.1690401668</v>
      </c>
      <c r="X95" s="166">
        <f t="shared" si="107"/>
        <v>532720.67750392924</v>
      </c>
      <c r="Y95" s="166">
        <f t="shared" si="107"/>
        <v>64304.242084526624</v>
      </c>
      <c r="Z95" s="186">
        <f t="shared" si="92"/>
        <v>4379497.27733385</v>
      </c>
      <c r="AA95" s="167">
        <f t="shared" si="97"/>
        <v>-18709232.560212076</v>
      </c>
      <c r="AB95" s="167">
        <f>'Collections and ACP'!K115</f>
        <v>1227073.0474739352</v>
      </c>
      <c r="AC95" s="167">
        <f t="shared" si="93"/>
        <v>-17482159.512738142</v>
      </c>
      <c r="AD95" s="167">
        <f t="shared" si="94"/>
        <v>7004070.3327907687</v>
      </c>
      <c r="AE95" s="16">
        <f t="shared" si="95"/>
        <v>-24486229.845528912</v>
      </c>
    </row>
    <row r="96" spans="1:31" x14ac:dyDescent="0.25">
      <c r="A96" s="165" t="s">
        <v>28</v>
      </c>
      <c r="B96" s="15">
        <f t="shared" si="106"/>
        <v>0</v>
      </c>
      <c r="C96" s="15">
        <f t="shared" si="106"/>
        <v>0</v>
      </c>
      <c r="D96" s="15">
        <f t="shared" si="106"/>
        <v>522470.38567505253</v>
      </c>
      <c r="E96" s="15">
        <f t="shared" si="106"/>
        <v>13057.008895227849</v>
      </c>
      <c r="F96" s="15">
        <f t="shared" si="106"/>
        <v>0</v>
      </c>
      <c r="G96" s="15">
        <f t="shared" si="106"/>
        <v>0</v>
      </c>
      <c r="H96" s="15"/>
      <c r="I96" s="15">
        <v>87687.244415682479</v>
      </c>
      <c r="J96" s="15">
        <f t="shared" si="87"/>
        <v>544090.38964196725</v>
      </c>
      <c r="K96" s="15">
        <f t="shared" si="87"/>
        <v>728948.29873275303</v>
      </c>
      <c r="L96" s="15">
        <f t="shared" si="87"/>
        <v>38489.85047423427</v>
      </c>
      <c r="M96" s="15">
        <f t="shared" si="88"/>
        <v>97773.869506733026</v>
      </c>
      <c r="N96" s="15"/>
      <c r="O96" s="15">
        <f t="shared" si="89"/>
        <v>250205.22285633616</v>
      </c>
      <c r="P96" s="15">
        <f t="shared" si="90"/>
        <v>2282722.2701979866</v>
      </c>
      <c r="Q96" s="166">
        <f t="shared" ref="Q96:Y96" si="108">$B$83*Q15</f>
        <v>723153.71369085473</v>
      </c>
      <c r="R96" s="166">
        <f t="shared" si="108"/>
        <v>570281.65970051219</v>
      </c>
      <c r="S96" s="166">
        <f t="shared" si="108"/>
        <v>431120.71141873463</v>
      </c>
      <c r="T96" s="166">
        <f t="shared" si="108"/>
        <v>347264.78418448888</v>
      </c>
      <c r="U96" s="166">
        <f t="shared" si="108"/>
        <v>168049.94258098194</v>
      </c>
      <c r="V96" s="166">
        <f t="shared" si="108"/>
        <v>633646.28855612467</v>
      </c>
      <c r="W96" s="166">
        <f t="shared" si="108"/>
        <v>1508043.9686325749</v>
      </c>
      <c r="X96" s="166">
        <f t="shared" si="108"/>
        <v>677480.11401873664</v>
      </c>
      <c r="Y96" s="166">
        <f t="shared" si="108"/>
        <v>64068.396614823549</v>
      </c>
      <c r="Z96" s="186">
        <f t="shared" si="92"/>
        <v>5123109.579397832</v>
      </c>
      <c r="AA96" s="167">
        <f t="shared" si="97"/>
        <v>-24486229.845528912</v>
      </c>
      <c r="AB96" s="167">
        <f>'Collections and ACP'!K116</f>
        <v>1231377.0861178637</v>
      </c>
      <c r="AC96" s="167">
        <f t="shared" si="93"/>
        <v>-23254852.759411048</v>
      </c>
      <c r="AD96" s="167">
        <f t="shared" si="94"/>
        <v>7405831.8495958187</v>
      </c>
      <c r="AE96" s="16">
        <f t="shared" si="95"/>
        <v>-30660684.609006867</v>
      </c>
    </row>
    <row r="97" spans="1:31" x14ac:dyDescent="0.25">
      <c r="A97" s="165" t="s">
        <v>29</v>
      </c>
      <c r="B97" s="15">
        <f t="shared" si="106"/>
        <v>0</v>
      </c>
      <c r="C97" s="15">
        <f t="shared" si="106"/>
        <v>0</v>
      </c>
      <c r="D97" s="15">
        <f t="shared" si="106"/>
        <v>520624.28597063222</v>
      </c>
      <c r="E97" s="15">
        <f t="shared" si="106"/>
        <v>12564.384135475844</v>
      </c>
      <c r="F97" s="15">
        <f t="shared" si="106"/>
        <v>0</v>
      </c>
      <c r="G97" s="15">
        <f t="shared" si="106"/>
        <v>0</v>
      </c>
      <c r="H97" s="15"/>
      <c r="I97" s="15">
        <v>87687.244415682479</v>
      </c>
      <c r="J97" s="15">
        <f t="shared" si="87"/>
        <v>546312.58445887442</v>
      </c>
      <c r="K97" s="15">
        <f t="shared" si="87"/>
        <v>728496.84096902178</v>
      </c>
      <c r="L97" s="15">
        <f t="shared" si="87"/>
        <v>38389.791517695157</v>
      </c>
      <c r="M97" s="15">
        <f t="shared" si="88"/>
        <v>101638.91599674297</v>
      </c>
      <c r="N97" s="15"/>
      <c r="O97" s="15">
        <f t="shared" si="89"/>
        <v>250205.22285633616</v>
      </c>
      <c r="P97" s="15">
        <f t="shared" si="90"/>
        <v>2285919.2703204611</v>
      </c>
      <c r="Q97" s="166">
        <f t="shared" ref="Q97:Y97" si="109">$B$83*Q16</f>
        <v>694227.56514322048</v>
      </c>
      <c r="R97" s="166">
        <f t="shared" si="109"/>
        <v>547470.39331249171</v>
      </c>
      <c r="S97" s="166">
        <f t="shared" si="109"/>
        <v>491246.90381080832</v>
      </c>
      <c r="T97" s="166">
        <f t="shared" si="109"/>
        <v>382772.04159950622</v>
      </c>
      <c r="U97" s="166">
        <f t="shared" si="109"/>
        <v>191999.48704408866</v>
      </c>
      <c r="V97" s="166">
        <f t="shared" si="109"/>
        <v>608300.43701387965</v>
      </c>
      <c r="W97" s="166">
        <f t="shared" si="109"/>
        <v>1889297.0314837892</v>
      </c>
      <c r="X97" s="166">
        <f t="shared" si="109"/>
        <v>844084.46262801625</v>
      </c>
      <c r="Y97" s="166">
        <f t="shared" si="109"/>
        <v>108567.34902953159</v>
      </c>
      <c r="Z97" s="186">
        <f t="shared" si="92"/>
        <v>5757965.6710653314</v>
      </c>
      <c r="AA97" s="167">
        <f t="shared" si="97"/>
        <v>-30660684.609006867</v>
      </c>
      <c r="AB97" s="167">
        <f>'Collections and ACP'!K117</f>
        <v>1241321.7886675443</v>
      </c>
      <c r="AC97" s="167">
        <f t="shared" si="93"/>
        <v>-29419362.820339322</v>
      </c>
      <c r="AD97" s="167">
        <f t="shared" si="94"/>
        <v>8043884.9413857926</v>
      </c>
      <c r="AE97" s="16">
        <f t="shared" si="95"/>
        <v>-37463247.761725113</v>
      </c>
    </row>
    <row r="98" spans="1:31" x14ac:dyDescent="0.25">
      <c r="A98" s="165" t="s">
        <v>30</v>
      </c>
      <c r="B98" s="15">
        <f t="shared" si="106"/>
        <v>0</v>
      </c>
      <c r="C98" s="15">
        <f t="shared" si="106"/>
        <v>0</v>
      </c>
      <c r="D98" s="15">
        <f t="shared" si="106"/>
        <v>365198.14183161402</v>
      </c>
      <c r="E98" s="15">
        <f t="shared" si="106"/>
        <v>7935.5044945406798</v>
      </c>
      <c r="F98" s="15">
        <f t="shared" si="106"/>
        <v>0</v>
      </c>
      <c r="G98" s="15">
        <f t="shared" si="106"/>
        <v>0</v>
      </c>
      <c r="H98" s="15"/>
      <c r="I98" s="15">
        <v>82229.638799741282</v>
      </c>
      <c r="J98" s="15">
        <f t="shared" si="87"/>
        <v>518034.95949316747</v>
      </c>
      <c r="K98" s="15">
        <f t="shared" si="87"/>
        <v>684422.71384884231</v>
      </c>
      <c r="L98" s="15">
        <f t="shared" si="87"/>
        <v>37028.046273322267</v>
      </c>
      <c r="M98" s="15">
        <f t="shared" si="88"/>
        <v>105085.55046125552</v>
      </c>
      <c r="N98" s="15"/>
      <c r="O98" s="15">
        <f t="shared" si="89"/>
        <v>250205.22285633616</v>
      </c>
      <c r="P98" s="15">
        <f t="shared" si="90"/>
        <v>2050139.7780588199</v>
      </c>
      <c r="Q98" s="166">
        <f t="shared" ref="Q98:Y98" si="110">$B$83*Q17</f>
        <v>333229.23126874585</v>
      </c>
      <c r="R98" s="166">
        <f t="shared" si="110"/>
        <v>490778.85600450326</v>
      </c>
      <c r="S98" s="166">
        <f t="shared" si="110"/>
        <v>548581.19340295484</v>
      </c>
      <c r="T98" s="166">
        <f t="shared" si="110"/>
        <v>398735.10043275985</v>
      </c>
      <c r="U98" s="166">
        <f t="shared" si="110"/>
        <v>184319.50756232507</v>
      </c>
      <c r="V98" s="166">
        <f t="shared" si="110"/>
        <v>545309.84000500361</v>
      </c>
      <c r="W98" s="166">
        <f t="shared" si="110"/>
        <v>2097707.407973818</v>
      </c>
      <c r="X98" s="166">
        <f t="shared" si="110"/>
        <v>956521.22490625537</v>
      </c>
      <c r="Y98" s="166">
        <f t="shared" si="110"/>
        <v>130261.07904029771</v>
      </c>
      <c r="Z98" s="186">
        <f t="shared" si="92"/>
        <v>5685443.4405966634</v>
      </c>
      <c r="AA98" s="167">
        <f t="shared" si="97"/>
        <v>-37463247.761725113</v>
      </c>
      <c r="AB98" s="167">
        <f>'Collections and ACP'!K118</f>
        <v>1233884.4495014769</v>
      </c>
      <c r="AC98" s="167">
        <f t="shared" si="93"/>
        <v>-36229363.312223636</v>
      </c>
      <c r="AD98" s="167">
        <f t="shared" si="94"/>
        <v>7735583.2186554838</v>
      </c>
      <c r="AE98" s="16">
        <f t="shared" si="95"/>
        <v>-43964946.530879118</v>
      </c>
    </row>
    <row r="99" spans="1:31" x14ac:dyDescent="0.25">
      <c r="A99" s="165" t="s">
        <v>31</v>
      </c>
      <c r="B99" s="15">
        <f t="shared" si="106"/>
        <v>0</v>
      </c>
      <c r="C99" s="15">
        <f t="shared" si="106"/>
        <v>0</v>
      </c>
      <c r="D99" s="15">
        <f t="shared" si="106"/>
        <v>363370.97410554532</v>
      </c>
      <c r="E99" s="15">
        <f t="shared" si="106"/>
        <v>7894.8994895800388</v>
      </c>
      <c r="F99" s="15">
        <f t="shared" si="106"/>
        <v>0</v>
      </c>
      <c r="G99" s="15">
        <f t="shared" si="106"/>
        <v>0</v>
      </c>
      <c r="H99" s="15"/>
      <c r="I99" s="15">
        <v>69108.876913154963</v>
      </c>
      <c r="J99" s="15">
        <f t="shared" si="87"/>
        <v>490052.03550498374</v>
      </c>
      <c r="K99" s="15">
        <f t="shared" si="87"/>
        <v>641190.37527554214</v>
      </c>
      <c r="L99" s="15">
        <f t="shared" si="87"/>
        <v>35691.089048436101</v>
      </c>
      <c r="M99" s="15">
        <f t="shared" si="88"/>
        <v>108283.1900234628</v>
      </c>
      <c r="N99" s="15"/>
      <c r="O99" s="15">
        <f t="shared" si="89"/>
        <v>250205.22285633616</v>
      </c>
      <c r="P99" s="15">
        <f t="shared" si="90"/>
        <v>1965796.6632170412</v>
      </c>
      <c r="Q99" s="166">
        <f t="shared" ref="Q99:Y99" si="111">$B$83*Q18</f>
        <v>319900.06201799598</v>
      </c>
      <c r="R99" s="166">
        <f t="shared" si="111"/>
        <v>438287.90916525037</v>
      </c>
      <c r="S99" s="166">
        <f t="shared" si="111"/>
        <v>574537.73900931643</v>
      </c>
      <c r="T99" s="166">
        <f t="shared" si="111"/>
        <v>413903.26721019705</v>
      </c>
      <c r="U99" s="166">
        <f t="shared" si="111"/>
        <v>165232.89325915638</v>
      </c>
      <c r="V99" s="166">
        <f t="shared" si="111"/>
        <v>486986.5657391671</v>
      </c>
      <c r="W99" s="166">
        <f t="shared" si="111"/>
        <v>2261870.1077893064</v>
      </c>
      <c r="X99" s="166">
        <f t="shared" si="111"/>
        <v>1010702.5518053558</v>
      </c>
      <c r="Y99" s="166">
        <f t="shared" si="111"/>
        <v>147078.04781646971</v>
      </c>
      <c r="Z99" s="186">
        <f t="shared" si="92"/>
        <v>5818499.143812215</v>
      </c>
      <c r="AA99" s="167">
        <f t="shared" si="97"/>
        <v>-43964946.530879118</v>
      </c>
      <c r="AB99" s="167">
        <f>'Collections and ACP'!K119</f>
        <v>1242159.07115083</v>
      </c>
      <c r="AC99" s="167">
        <f t="shared" si="93"/>
        <v>-42722787.459728286</v>
      </c>
      <c r="AD99" s="167">
        <f t="shared" si="94"/>
        <v>7784295.8070292566</v>
      </c>
      <c r="AE99" s="16">
        <f t="shared" si="95"/>
        <v>-50507083.26675754</v>
      </c>
    </row>
    <row r="100" spans="1:31" x14ac:dyDescent="0.25">
      <c r="A100" s="165" t="s">
        <v>32</v>
      </c>
      <c r="B100" s="15">
        <f t="shared" si="106"/>
        <v>0</v>
      </c>
      <c r="C100" s="15">
        <f t="shared" si="106"/>
        <v>0</v>
      </c>
      <c r="D100" s="15">
        <f t="shared" si="106"/>
        <v>361555.82628842373</v>
      </c>
      <c r="E100" s="15">
        <f t="shared" si="106"/>
        <v>7855.5827913118837</v>
      </c>
      <c r="F100" s="15">
        <f t="shared" si="106"/>
        <v>0</v>
      </c>
      <c r="G100" s="15">
        <f t="shared" si="106"/>
        <v>0</v>
      </c>
      <c r="H100" s="15"/>
      <c r="I100" s="15">
        <v>70854.510095077974</v>
      </c>
      <c r="J100" s="15">
        <f t="shared" si="87"/>
        <v>544995.99827357649</v>
      </c>
      <c r="K100" s="15">
        <f t="shared" si="87"/>
        <v>715760.24352964852</v>
      </c>
      <c r="L100" s="15">
        <f t="shared" si="87"/>
        <v>37762.897481433363</v>
      </c>
      <c r="M100" s="15">
        <f t="shared" si="88"/>
        <v>110768.59229171631</v>
      </c>
      <c r="N100" s="15"/>
      <c r="O100" s="15">
        <f t="shared" si="89"/>
        <v>250205.22285633616</v>
      </c>
      <c r="P100" s="15">
        <f t="shared" si="90"/>
        <v>2099758.8736075242</v>
      </c>
      <c r="Q100" s="166">
        <f t="shared" ref="Q100:Y100" si="112">$B$83*Q19</f>
        <v>307104.05953727616</v>
      </c>
      <c r="R100" s="166">
        <f t="shared" si="112"/>
        <v>387896.60019956762</v>
      </c>
      <c r="S100" s="166">
        <f t="shared" si="112"/>
        <v>599216.52382471098</v>
      </c>
      <c r="T100" s="166">
        <f t="shared" si="112"/>
        <v>428309.11946256302</v>
      </c>
      <c r="U100" s="166">
        <f t="shared" si="112"/>
        <v>147560.51208370749</v>
      </c>
      <c r="V100" s="166">
        <f t="shared" si="112"/>
        <v>430996.2224439641</v>
      </c>
      <c r="W100" s="166">
        <f t="shared" si="112"/>
        <v>2298470.8873403003</v>
      </c>
      <c r="X100" s="166">
        <f t="shared" si="112"/>
        <v>1053954.0623777907</v>
      </c>
      <c r="Y100" s="166">
        <f t="shared" si="112"/>
        <v>162577.70518093451</v>
      </c>
      <c r="Z100" s="186">
        <f t="shared" si="92"/>
        <v>5816085.6924508158</v>
      </c>
      <c r="AA100" s="167">
        <f t="shared" si="97"/>
        <v>-50507083.26675754</v>
      </c>
      <c r="AB100" s="167">
        <f>'Collections and ACP'!K120</f>
        <v>1246130.1591457073</v>
      </c>
      <c r="AC100" s="167">
        <f t="shared" si="93"/>
        <v>-49260953.107611835</v>
      </c>
      <c r="AD100" s="167">
        <f t="shared" si="94"/>
        <v>7915844.5660583396</v>
      </c>
      <c r="AE100" s="16">
        <f t="shared" si="95"/>
        <v>-57176797.673670173</v>
      </c>
    </row>
    <row r="101" spans="1:31" x14ac:dyDescent="0.25">
      <c r="A101" s="165" t="s">
        <v>33</v>
      </c>
      <c r="B101" s="15">
        <f t="shared" si="106"/>
        <v>0</v>
      </c>
      <c r="C101" s="15">
        <f t="shared" si="106"/>
        <v>0</v>
      </c>
      <c r="D101" s="15">
        <f t="shared" si="106"/>
        <v>359748.57750022877</v>
      </c>
      <c r="E101" s="15">
        <f t="shared" si="106"/>
        <v>7816.5425698149857</v>
      </c>
      <c r="F101" s="15">
        <f t="shared" si="106"/>
        <v>0</v>
      </c>
      <c r="G101" s="15">
        <f t="shared" si="106"/>
        <v>0</v>
      </c>
      <c r="H101" s="15"/>
      <c r="I101" s="15">
        <v>32526.302738571369</v>
      </c>
      <c r="J101" s="15">
        <f t="shared" si="87"/>
        <v>569424.10311111854</v>
      </c>
      <c r="K101" s="15">
        <f t="shared" si="87"/>
        <v>746587.70304159622</v>
      </c>
      <c r="L101" s="15">
        <f t="shared" si="87"/>
        <v>38569.548751574053</v>
      </c>
      <c r="M101" s="15">
        <f t="shared" si="88"/>
        <v>112588.9116007233</v>
      </c>
      <c r="N101" s="15"/>
      <c r="O101" s="15">
        <f t="shared" si="89"/>
        <v>250205.22285633616</v>
      </c>
      <c r="P101" s="15">
        <f t="shared" si="90"/>
        <v>2117466.9121699636</v>
      </c>
      <c r="Q101" s="166">
        <f t="shared" ref="Q101:Y101" si="113">$B$83*Q20</f>
        <v>294819.89715578512</v>
      </c>
      <c r="R101" s="166">
        <f t="shared" si="113"/>
        <v>339520.94359251234</v>
      </c>
      <c r="S101" s="166">
        <f t="shared" si="113"/>
        <v>622669.85577561101</v>
      </c>
      <c r="T101" s="166">
        <f t="shared" si="113"/>
        <v>441983.92771013052</v>
      </c>
      <c r="U101" s="166">
        <f t="shared" si="113"/>
        <v>130595.02615527657</v>
      </c>
      <c r="V101" s="166">
        <f t="shared" si="113"/>
        <v>377245.49288056925</v>
      </c>
      <c r="W101" s="166">
        <f t="shared" si="113"/>
        <v>2320990.9956458542</v>
      </c>
      <c r="X101" s="166">
        <f t="shared" si="113"/>
        <v>1277341.7100634552</v>
      </c>
      <c r="Y101" s="166">
        <f t="shared" si="113"/>
        <v>193668.22421165765</v>
      </c>
      <c r="Z101" s="186">
        <f t="shared" si="92"/>
        <v>5998836.0731908511</v>
      </c>
      <c r="AA101" s="167">
        <f t="shared" si="97"/>
        <v>-57176797.673670173</v>
      </c>
      <c r="AB101" s="167">
        <f>'Collections and ACP'!K121</f>
        <v>1255817.9660040534</v>
      </c>
      <c r="AC101" s="167">
        <f t="shared" si="93"/>
        <v>-55920979.707666121</v>
      </c>
      <c r="AD101" s="167">
        <f t="shared" si="94"/>
        <v>8116302.9853608143</v>
      </c>
      <c r="AE101" s="16">
        <f t="shared" si="95"/>
        <v>-64037282.693026938</v>
      </c>
    </row>
    <row r="102" spans="1:31" x14ac:dyDescent="0.25">
      <c r="A102" s="165" t="s">
        <v>34</v>
      </c>
      <c r="B102" s="15">
        <f t="shared" si="106"/>
        <v>0</v>
      </c>
      <c r="C102" s="15">
        <f t="shared" si="106"/>
        <v>0</v>
      </c>
      <c r="D102" s="15">
        <f t="shared" si="106"/>
        <v>357948.95191472274</v>
      </c>
      <c r="E102" s="15">
        <f t="shared" si="106"/>
        <v>7776.2758423156465</v>
      </c>
      <c r="F102" s="15">
        <f t="shared" si="106"/>
        <v>0</v>
      </c>
      <c r="G102" s="15">
        <f t="shared" si="106"/>
        <v>0</v>
      </c>
      <c r="H102" s="15"/>
      <c r="I102" s="15">
        <v>13100</v>
      </c>
      <c r="J102" s="15">
        <f t="shared" si="87"/>
        <v>576153.92889715265</v>
      </c>
      <c r="K102" s="15">
        <f t="shared" si="87"/>
        <v>752286.13063063356</v>
      </c>
      <c r="L102" s="15">
        <f t="shared" si="87"/>
        <v>38649.575822009458</v>
      </c>
      <c r="M102" s="15">
        <f t="shared" si="88"/>
        <v>113361.43314846566</v>
      </c>
      <c r="N102" s="15"/>
      <c r="O102" s="15">
        <f t="shared" si="89"/>
        <v>250205.22285633616</v>
      </c>
      <c r="P102" s="15">
        <f t="shared" si="90"/>
        <v>2109481.5191116356</v>
      </c>
      <c r="Q102" s="166">
        <f t="shared" ref="Q102:Y102" si="114">$B$83*Q21</f>
        <v>283027.10126955371</v>
      </c>
      <c r="R102" s="166">
        <f t="shared" si="114"/>
        <v>293080.31324973912</v>
      </c>
      <c r="S102" s="166">
        <f t="shared" si="114"/>
        <v>644947.94448395574</v>
      </c>
      <c r="T102" s="166">
        <f t="shared" si="114"/>
        <v>454957.70776266506</v>
      </c>
      <c r="U102" s="166">
        <f t="shared" si="114"/>
        <v>114308.15966398289</v>
      </c>
      <c r="V102" s="166">
        <f t="shared" si="114"/>
        <v>325644.79249971011</v>
      </c>
      <c r="W102" s="166">
        <f t="shared" si="114"/>
        <v>2723567.2525321706</v>
      </c>
      <c r="X102" s="166">
        <f t="shared" si="114"/>
        <v>1445080.1857947672</v>
      </c>
      <c r="Y102" s="166">
        <f t="shared" si="114"/>
        <v>220182.88408791184</v>
      </c>
      <c r="Z102" s="186">
        <f t="shared" si="92"/>
        <v>6504796.3413444562</v>
      </c>
      <c r="AA102" s="167">
        <f t="shared" si="97"/>
        <v>-64037282.693026938</v>
      </c>
      <c r="AB102" s="167">
        <f>'Collections and ACP'!K122</f>
        <v>1247833.9389248979</v>
      </c>
      <c r="AC102" s="167">
        <f t="shared" si="93"/>
        <v>-62789448.754102036</v>
      </c>
      <c r="AD102" s="167">
        <f t="shared" si="94"/>
        <v>8614277.8604560923</v>
      </c>
      <c r="AE102" s="16">
        <f t="shared" si="95"/>
        <v>-71403726.614558131</v>
      </c>
    </row>
    <row r="103" spans="1:31" x14ac:dyDescent="0.25">
      <c r="A103" s="165" t="s">
        <v>35</v>
      </c>
      <c r="B103" s="15">
        <f t="shared" si="106"/>
        <v>0</v>
      </c>
      <c r="C103" s="15">
        <f t="shared" si="106"/>
        <v>0</v>
      </c>
      <c r="D103" s="15">
        <f t="shared" si="106"/>
        <v>356158.41778619442</v>
      </c>
      <c r="E103" s="15">
        <f t="shared" si="106"/>
        <v>7738.0980281808888</v>
      </c>
      <c r="F103" s="15">
        <f t="shared" si="106"/>
        <v>0</v>
      </c>
      <c r="G103" s="15">
        <f t="shared" si="106"/>
        <v>0</v>
      </c>
      <c r="H103" s="15"/>
      <c r="I103" s="15">
        <v>13100</v>
      </c>
      <c r="J103" s="15">
        <f t="shared" si="87"/>
        <v>594027.89857471653</v>
      </c>
      <c r="K103" s="15">
        <f t="shared" si="87"/>
        <v>773448.53565158474</v>
      </c>
      <c r="L103" s="15">
        <f t="shared" si="87"/>
        <v>39177.441613324459</v>
      </c>
      <c r="M103" s="15">
        <f t="shared" si="88"/>
        <v>114101.70119640447</v>
      </c>
      <c r="N103" s="15"/>
      <c r="O103" s="15">
        <f t="shared" si="89"/>
        <v>250205.22285633616</v>
      </c>
      <c r="P103" s="15">
        <f t="shared" si="90"/>
        <v>2147957.3157067415</v>
      </c>
      <c r="Q103" s="166">
        <f t="shared" ref="Q103:Y103" si="115">$B$83*Q22</f>
        <v>271706.01721877157</v>
      </c>
      <c r="R103" s="166">
        <f t="shared" si="115"/>
        <v>248497.3081206769</v>
      </c>
      <c r="S103" s="166">
        <f t="shared" si="115"/>
        <v>666098.9852292696</v>
      </c>
      <c r="T103" s="166">
        <f t="shared" si="115"/>
        <v>467259.2709272934</v>
      </c>
      <c r="U103" s="166">
        <f t="shared" si="115"/>
        <v>98672.767832340964</v>
      </c>
      <c r="V103" s="166">
        <f t="shared" si="115"/>
        <v>276108.12013408542</v>
      </c>
      <c r="W103" s="166">
        <f t="shared" si="115"/>
        <v>3002299.0231813621</v>
      </c>
      <c r="X103" s="166">
        <f t="shared" si="115"/>
        <v>1573982.019999265</v>
      </c>
      <c r="Y103" s="166">
        <f t="shared" si="115"/>
        <v>243272.00414292916</v>
      </c>
      <c r="Z103" s="186">
        <f t="shared" si="92"/>
        <v>6847895.5167859932</v>
      </c>
      <c r="AA103" s="167">
        <f t="shared" si="97"/>
        <v>-71403726.614558131</v>
      </c>
      <c r="AB103" s="167">
        <f>'Collections and ACP'!K123</f>
        <v>1256155.2526464479</v>
      </c>
      <c r="AC103" s="167">
        <f t="shared" si="93"/>
        <v>-70147571.361911684</v>
      </c>
      <c r="AD103" s="167">
        <f t="shared" si="94"/>
        <v>8995852.8324927352</v>
      </c>
      <c r="AE103" s="16">
        <f t="shared" si="95"/>
        <v>-79143424.194404423</v>
      </c>
    </row>
    <row r="104" spans="1:31" x14ac:dyDescent="0.25">
      <c r="A104" s="165" t="s">
        <v>36</v>
      </c>
      <c r="B104" s="15">
        <f t="shared" si="106"/>
        <v>0</v>
      </c>
      <c r="C104" s="15">
        <f t="shared" si="106"/>
        <v>0</v>
      </c>
      <c r="D104" s="15">
        <f t="shared" si="106"/>
        <v>354378.31015967188</v>
      </c>
      <c r="E104" s="15">
        <f t="shared" si="106"/>
        <v>7698.6482207341751</v>
      </c>
      <c r="F104" s="15">
        <f t="shared" si="106"/>
        <v>0</v>
      </c>
      <c r="G104" s="15">
        <f t="shared" si="106"/>
        <v>0</v>
      </c>
      <c r="H104" s="15"/>
      <c r="I104" s="15">
        <v>13100</v>
      </c>
      <c r="J104" s="15">
        <f t="shared" si="87"/>
        <v>610426.54084779718</v>
      </c>
      <c r="K104" s="15">
        <f t="shared" si="87"/>
        <v>792333.56833813782</v>
      </c>
      <c r="L104" s="15">
        <f t="shared" si="87"/>
        <v>39639.838989275042</v>
      </c>
      <c r="M104" s="15">
        <f t="shared" si="88"/>
        <v>114577.44053512072</v>
      </c>
      <c r="N104" s="15"/>
      <c r="O104" s="15">
        <f t="shared" si="89"/>
        <v>250205.22285633616</v>
      </c>
      <c r="P104" s="15">
        <f t="shared" si="90"/>
        <v>2182359.5699470728</v>
      </c>
      <c r="Q104" s="166">
        <f t="shared" ref="Q104:Y104" si="116">$B$83*Q23</f>
        <v>260837.77653002067</v>
      </c>
      <c r="R104" s="166">
        <f t="shared" si="116"/>
        <v>205697.62319677707</v>
      </c>
      <c r="S104" s="166">
        <f t="shared" si="116"/>
        <v>686169.23955214757</v>
      </c>
      <c r="T104" s="166">
        <f t="shared" si="116"/>
        <v>478916.27220796095</v>
      </c>
      <c r="U104" s="166">
        <f t="shared" si="116"/>
        <v>83662.791673964719</v>
      </c>
      <c r="V104" s="166">
        <f t="shared" si="116"/>
        <v>228552.91466308566</v>
      </c>
      <c r="W104" s="166">
        <f t="shared" si="116"/>
        <v>3200331.8898339556</v>
      </c>
      <c r="X104" s="166">
        <f t="shared" si="116"/>
        <v>1737043.7105491222</v>
      </c>
      <c r="Y104" s="166">
        <f t="shared" si="116"/>
        <v>269561.49732095178</v>
      </c>
      <c r="Z104" s="186">
        <f t="shared" si="92"/>
        <v>7150773.7155279871</v>
      </c>
      <c r="AA104" s="167">
        <f t="shared" si="97"/>
        <v>-79143424.194404423</v>
      </c>
      <c r="AB104" s="167">
        <f>'Collections and ACP'!K124</f>
        <v>1260024.5321894798</v>
      </c>
      <c r="AC104" s="167">
        <f t="shared" si="93"/>
        <v>-77883399.66221495</v>
      </c>
      <c r="AD104" s="167">
        <f t="shared" si="94"/>
        <v>9333133.2854750603</v>
      </c>
      <c r="AE104" s="16">
        <f t="shared" si="95"/>
        <v>-87216532.94769001</v>
      </c>
    </row>
    <row r="105" spans="1:31" x14ac:dyDescent="0.25">
      <c r="A105" s="165" t="s">
        <v>37</v>
      </c>
      <c r="B105" s="15">
        <f t="shared" ref="B105:G108" si="117">B24*$B$83</f>
        <v>0</v>
      </c>
      <c r="C105" s="15">
        <f t="shared" si="117"/>
        <v>0</v>
      </c>
      <c r="D105" s="15">
        <f t="shared" si="117"/>
        <v>352603.61817515711</v>
      </c>
      <c r="E105" s="15">
        <f t="shared" si="117"/>
        <v>7661.2829230401221</v>
      </c>
      <c r="F105" s="15">
        <f t="shared" si="117"/>
        <v>0</v>
      </c>
      <c r="G105" s="15">
        <f t="shared" si="117"/>
        <v>0</v>
      </c>
      <c r="H105" s="15"/>
      <c r="I105" s="18"/>
      <c r="J105" s="15">
        <f t="shared" si="87"/>
        <v>616809.17717051564</v>
      </c>
      <c r="K105" s="15">
        <f t="shared" si="87"/>
        <v>797183.20324126573</v>
      </c>
      <c r="L105" s="15">
        <f t="shared" si="87"/>
        <v>39696.574506089106</v>
      </c>
      <c r="M105" s="15">
        <f t="shared" si="88"/>
        <v>115173.1836676298</v>
      </c>
      <c r="N105" s="15"/>
      <c r="O105" s="15">
        <f t="shared" si="89"/>
        <v>250205.22285633616</v>
      </c>
      <c r="P105" s="15">
        <f t="shared" si="90"/>
        <v>2179332.2625400336</v>
      </c>
      <c r="Q105" s="166">
        <f t="shared" ref="Q105:Y105" si="118">$B$83*Q24</f>
        <v>250404.26546881985</v>
      </c>
      <c r="R105" s="166">
        <f t="shared" si="118"/>
        <v>197469.718268906</v>
      </c>
      <c r="S105" s="166">
        <f t="shared" si="118"/>
        <v>705203.11263345019</v>
      </c>
      <c r="T105" s="166">
        <f t="shared" si="118"/>
        <v>489955.256576813</v>
      </c>
      <c r="U105" s="166">
        <f t="shared" si="118"/>
        <v>69253.214561923523</v>
      </c>
      <c r="V105" s="166">
        <f t="shared" si="118"/>
        <v>219410.79807656223</v>
      </c>
      <c r="W105" s="166">
        <f t="shared" si="118"/>
        <v>3464260.3479030812</v>
      </c>
      <c r="X105" s="166">
        <f t="shared" si="118"/>
        <v>1901799.6896516634</v>
      </c>
      <c r="Y105" s="166">
        <f t="shared" si="118"/>
        <v>296092.08476978407</v>
      </c>
      <c r="Z105" s="186">
        <f t="shared" si="92"/>
        <v>7593848.4879110046</v>
      </c>
      <c r="AA105" s="167">
        <f t="shared" si="97"/>
        <v>-87216532.94769001</v>
      </c>
      <c r="AB105" s="167">
        <f>'Collections and ACP'!K125</f>
        <v>1269996.4460987337</v>
      </c>
      <c r="AC105" s="167">
        <f t="shared" si="93"/>
        <v>-85946536.50159128</v>
      </c>
      <c r="AD105" s="167">
        <f>P105+Z105</f>
        <v>9773180.7504510377</v>
      </c>
      <c r="AE105" s="16">
        <f>AC105-AD105</f>
        <v>-95719717.252042323</v>
      </c>
    </row>
    <row r="106" spans="1:31" x14ac:dyDescent="0.25">
      <c r="A106" s="165" t="s">
        <v>38</v>
      </c>
      <c r="B106" s="15">
        <f t="shared" si="117"/>
        <v>0</v>
      </c>
      <c r="C106" s="15">
        <f t="shared" si="117"/>
        <v>0</v>
      </c>
      <c r="D106" s="15">
        <f t="shared" si="117"/>
        <v>350843.72868191375</v>
      </c>
      <c r="E106" s="15">
        <f t="shared" si="117"/>
        <v>7623.3718276729305</v>
      </c>
      <c r="F106" s="15">
        <f t="shared" si="117"/>
        <v>0</v>
      </c>
      <c r="G106" s="15">
        <f t="shared" si="117"/>
        <v>0</v>
      </c>
      <c r="H106" s="15"/>
      <c r="I106" s="18"/>
      <c r="J106" s="15">
        <f t="shared" si="87"/>
        <v>627149.77337503294</v>
      </c>
      <c r="K106" s="15">
        <f t="shared" si="87"/>
        <v>807401.22248275764</v>
      </c>
      <c r="L106" s="15">
        <f t="shared" si="87"/>
        <v>39909.049722918913</v>
      </c>
      <c r="M106" s="15">
        <f t="shared" si="88"/>
        <v>115626.79148092514</v>
      </c>
      <c r="N106" s="15"/>
      <c r="O106" s="15">
        <f t="shared" si="89"/>
        <v>250205.22285633616</v>
      </c>
      <c r="P106" s="15">
        <f t="shared" si="90"/>
        <v>2198759.1604275578</v>
      </c>
      <c r="Q106" s="166">
        <f t="shared" ref="Q106:Y106" si="119">$B$83*Q25</f>
        <v>0</v>
      </c>
      <c r="R106" s="166">
        <f t="shared" si="119"/>
        <v>164471.82276910619</v>
      </c>
      <c r="S106" s="166">
        <f t="shared" si="119"/>
        <v>723243.22757818375</v>
      </c>
      <c r="T106" s="166">
        <f t="shared" si="119"/>
        <v>487505.48029392905</v>
      </c>
      <c r="U106" s="166">
        <f t="shared" si="119"/>
        <v>66483.085979446565</v>
      </c>
      <c r="V106" s="166">
        <f t="shared" si="119"/>
        <v>182746.46974345137</v>
      </c>
      <c r="W106" s="166">
        <f t="shared" si="119"/>
        <v>3729286.1097705029</v>
      </c>
      <c r="X106" s="166">
        <f t="shared" si="119"/>
        <v>2039494.9337714433</v>
      </c>
      <c r="Y106" s="166">
        <f t="shared" si="119"/>
        <v>320082.21483304177</v>
      </c>
      <c r="Z106" s="186">
        <f t="shared" si="92"/>
        <v>7713313.3447391046</v>
      </c>
      <c r="AA106" s="167">
        <f t="shared" si="97"/>
        <v>-95719717.252042323</v>
      </c>
      <c r="AB106" s="167">
        <f>'Collections and ACP'!K126</f>
        <v>1261668.0956416496</v>
      </c>
      <c r="AC106" s="167">
        <f>AA106+AB106</f>
        <v>-94458049.156400681</v>
      </c>
      <c r="AD106" s="167">
        <f>P106+Z106</f>
        <v>9912072.5051666629</v>
      </c>
      <c r="AE106" s="16">
        <f>AC106-AD106</f>
        <v>-104370121.66156735</v>
      </c>
    </row>
    <row r="107" spans="1:31" x14ac:dyDescent="0.25">
      <c r="A107" s="165" t="s">
        <v>39</v>
      </c>
      <c r="B107" s="15">
        <f t="shared" si="117"/>
        <v>0</v>
      </c>
      <c r="C107" s="15">
        <f t="shared" si="117"/>
        <v>0</v>
      </c>
      <c r="D107" s="15">
        <f t="shared" si="117"/>
        <v>349089.20739176788</v>
      </c>
      <c r="E107" s="15">
        <f t="shared" si="117"/>
        <v>7584.8758525767889</v>
      </c>
      <c r="F107" s="15">
        <f t="shared" si="117"/>
        <v>0</v>
      </c>
      <c r="G107" s="15">
        <f t="shared" si="117"/>
        <v>0</v>
      </c>
      <c r="H107" s="15"/>
      <c r="I107" s="18"/>
      <c r="J107" s="15">
        <f t="shared" si="87"/>
        <v>641109.88807899854</v>
      </c>
      <c r="K107" s="15">
        <f t="shared" si="87"/>
        <v>822444.07585965958</v>
      </c>
      <c r="L107" s="15">
        <f t="shared" si="87"/>
        <v>-29070.597279470745</v>
      </c>
      <c r="M107" s="15">
        <f t="shared" si="88"/>
        <v>116093.61352193898</v>
      </c>
      <c r="N107" s="15"/>
      <c r="O107" s="15">
        <f t="shared" si="89"/>
        <v>250205.22285633616</v>
      </c>
      <c r="P107" s="15">
        <f t="shared" si="90"/>
        <v>2157456.2862818073</v>
      </c>
      <c r="Q107" s="166">
        <f t="shared" ref="Q107:Y107" si="120">$B$83*Q26</f>
        <v>0</v>
      </c>
      <c r="R107" s="166">
        <f t="shared" si="120"/>
        <v>134188.23790980081</v>
      </c>
      <c r="S107" s="166">
        <f t="shared" si="120"/>
        <v>719627.01144029305</v>
      </c>
      <c r="T107" s="166">
        <f t="shared" si="120"/>
        <v>485067.95289245929</v>
      </c>
      <c r="U107" s="166">
        <f t="shared" si="120"/>
        <v>55373.52476223476</v>
      </c>
      <c r="V107" s="166">
        <f t="shared" si="120"/>
        <v>149098.04212200094</v>
      </c>
      <c r="W107" s="166">
        <f t="shared" si="120"/>
        <v>3941859.3004777478</v>
      </c>
      <c r="X107" s="166">
        <f t="shared" si="120"/>
        <v>2192665.4190679784</v>
      </c>
      <c r="Y107" s="166">
        <f t="shared" si="120"/>
        <v>345565.4521071944</v>
      </c>
      <c r="Z107" s="186">
        <f t="shared" si="92"/>
        <v>8023444.9407797102</v>
      </c>
      <c r="AA107" s="167">
        <f t="shared" ref="AA107:AA108" si="121">AE106</f>
        <v>-104370121.66156735</v>
      </c>
      <c r="AB107" s="167">
        <f>'Collections and ACP'!K127</f>
        <v>1269873.384492947</v>
      </c>
      <c r="AC107" s="167">
        <f>AA107+AB107</f>
        <v>-103100248.2770744</v>
      </c>
      <c r="AD107" s="167">
        <f>P107+Z107</f>
        <v>10180901.227061518</v>
      </c>
      <c r="AE107" s="16">
        <f>AC107-AD107</f>
        <v>-113281149.50413591</v>
      </c>
    </row>
    <row r="108" spans="1:31" x14ac:dyDescent="0.25">
      <c r="A108" s="165" t="s">
        <v>158</v>
      </c>
      <c r="B108" s="15">
        <f t="shared" si="117"/>
        <v>0</v>
      </c>
      <c r="C108" s="15">
        <f t="shared" si="117"/>
        <v>0</v>
      </c>
      <c r="D108" s="15">
        <f t="shared" si="117"/>
        <v>287266.3608230711</v>
      </c>
      <c r="E108" s="15">
        <f t="shared" si="117"/>
        <v>7546.4390760363758</v>
      </c>
      <c r="F108" s="15">
        <f t="shared" si="117"/>
        <v>0</v>
      </c>
      <c r="G108" s="15">
        <f t="shared" si="117"/>
        <v>0</v>
      </c>
      <c r="H108" s="15"/>
      <c r="I108" s="18"/>
      <c r="J108" s="15">
        <f t="shared" si="87"/>
        <v>0</v>
      </c>
      <c r="K108" s="15">
        <f t="shared" si="87"/>
        <v>0</v>
      </c>
      <c r="L108" s="15">
        <f t="shared" si="87"/>
        <v>0</v>
      </c>
      <c r="M108" s="15">
        <f t="shared" si="88"/>
        <v>116093.61352193898</v>
      </c>
      <c r="N108" s="15"/>
      <c r="O108" s="15">
        <f t="shared" si="89"/>
        <v>250205.22285633616</v>
      </c>
      <c r="P108" s="15">
        <f t="shared" si="90"/>
        <v>661111.63627738261</v>
      </c>
      <c r="Q108" s="166">
        <f t="shared" ref="Q108:Y108" si="122">$B$83*Q27</f>
        <v>0</v>
      </c>
      <c r="R108" s="166">
        <f t="shared" si="122"/>
        <v>0</v>
      </c>
      <c r="S108" s="166">
        <f t="shared" si="122"/>
        <v>0</v>
      </c>
      <c r="T108" s="166">
        <f t="shared" si="122"/>
        <v>0</v>
      </c>
      <c r="U108" s="166">
        <f t="shared" si="122"/>
        <v>0</v>
      </c>
      <c r="V108" s="166">
        <f t="shared" si="122"/>
        <v>0</v>
      </c>
      <c r="W108" s="166">
        <f t="shared" si="122"/>
        <v>4183245.3849551212</v>
      </c>
      <c r="X108" s="166">
        <f t="shared" si="122"/>
        <v>2362948.7995719272</v>
      </c>
      <c r="Y108" s="166">
        <f t="shared" si="122"/>
        <v>372674.50381661172</v>
      </c>
      <c r="Z108" s="186">
        <f t="shared" si="92"/>
        <v>6918868.6883436609</v>
      </c>
      <c r="AA108" s="167">
        <f t="shared" si="121"/>
        <v>-113281149.50413591</v>
      </c>
      <c r="AB108" s="167">
        <f>'Collections and ACP'!K127</f>
        <v>1269873.384492947</v>
      </c>
      <c r="AC108" s="167">
        <f>AA108+AB108</f>
        <v>-112011276.11964296</v>
      </c>
      <c r="AD108" s="167">
        <f>P108+Z108</f>
        <v>7579980.3246210432</v>
      </c>
      <c r="AE108" s="16">
        <f>AC108-AD108</f>
        <v>-119591256.44426399</v>
      </c>
    </row>
  </sheetData>
  <printOptions horizontalCentered="1" verticalCentered="1"/>
  <pageMargins left="0.25" right="0.25" top="0.75" bottom="0.75" header="0.3" footer="0.3"/>
  <pageSetup scale="21" orientation="landscape" r:id="rId1"/>
  <headerFooter>
    <oddHeader>&amp;C&amp;A</oddHeader>
  </headerFooter>
  <customProperties>
    <customPr name="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22A5F-F494-4B41-82DB-AFED39B65ED8}">
  <dimension ref="B2:AL267"/>
  <sheetViews>
    <sheetView zoomScale="70" zoomScaleNormal="70" workbookViewId="0">
      <selection activeCell="Y116" sqref="Y116"/>
    </sheetView>
  </sheetViews>
  <sheetFormatPr defaultRowHeight="15" x14ac:dyDescent="0.25"/>
  <cols>
    <col min="1" max="1" width="8.5703125" customWidth="1"/>
    <col min="2" max="2" width="10.5703125" bestFit="1" customWidth="1"/>
    <col min="3" max="3" width="22.7109375" customWidth="1"/>
    <col min="4" max="4" width="21.5703125" bestFit="1" customWidth="1"/>
    <col min="5" max="5" width="22.5703125" bestFit="1" customWidth="1"/>
    <col min="6" max="6" width="22.42578125" bestFit="1" customWidth="1"/>
    <col min="7" max="7" width="22.5703125" bestFit="1" customWidth="1"/>
    <col min="8" max="8" width="21.5703125" bestFit="1" customWidth="1"/>
    <col min="9" max="9" width="22.5703125" bestFit="1" customWidth="1"/>
    <col min="10" max="10" width="26.85546875" bestFit="1" customWidth="1"/>
    <col min="11" max="11" width="18.5703125" customWidth="1"/>
    <col min="12" max="12" width="13.85546875" bestFit="1" customWidth="1"/>
    <col min="13" max="13" width="16.28515625" customWidth="1"/>
    <col min="14" max="15" width="13.85546875" bestFit="1" customWidth="1"/>
    <col min="16" max="22" width="15.140625" bestFit="1" customWidth="1"/>
    <col min="23" max="23" width="14.85546875" bestFit="1" customWidth="1"/>
    <col min="24" max="24" width="14.42578125" bestFit="1" customWidth="1"/>
    <col min="25" max="25" width="14.85546875" bestFit="1" customWidth="1"/>
    <col min="26" max="26" width="14.42578125" bestFit="1" customWidth="1"/>
    <col min="27" max="31" width="13.85546875" bestFit="1" customWidth="1"/>
    <col min="32" max="32" width="9.42578125" customWidth="1"/>
  </cols>
  <sheetData>
    <row r="2" spans="3:38" x14ac:dyDescent="0.25">
      <c r="C2" t="s">
        <v>231</v>
      </c>
    </row>
    <row r="4" spans="3:38" x14ac:dyDescent="0.25">
      <c r="C4" s="170" t="s">
        <v>1</v>
      </c>
      <c r="D4" s="170" t="s">
        <v>232</v>
      </c>
      <c r="E4" s="170" t="s">
        <v>233</v>
      </c>
      <c r="F4" s="170" t="s">
        <v>234</v>
      </c>
      <c r="G4" s="163"/>
      <c r="AJ4" t="s">
        <v>235</v>
      </c>
      <c r="AK4" t="s">
        <v>236</v>
      </c>
      <c r="AL4" t="s">
        <v>237</v>
      </c>
    </row>
    <row r="5" spans="3:38" x14ac:dyDescent="0.25">
      <c r="C5" s="171" t="s">
        <v>238</v>
      </c>
      <c r="D5" s="11">
        <f>'Total REC Deliveries'!T4</f>
        <v>2560409</v>
      </c>
      <c r="E5" s="11">
        <f>'Total REC Deliveries'!S4</f>
        <v>777880.89229999995</v>
      </c>
      <c r="F5" s="11">
        <f>D5+E5</f>
        <v>3338289.8922999999</v>
      </c>
      <c r="G5" s="163"/>
    </row>
    <row r="6" spans="3:38" x14ac:dyDescent="0.25">
      <c r="C6" s="171" t="s">
        <v>239</v>
      </c>
      <c r="D6" s="11">
        <f>'Total REC Deliveries'!T5</f>
        <v>3895928</v>
      </c>
      <c r="E6" s="11">
        <f>'Total REC Deliveries'!S5</f>
        <v>2089427.1079333334</v>
      </c>
      <c r="F6" s="11">
        <f t="shared" ref="F6:F27" si="0">D6+E6</f>
        <v>5985355.1079333331</v>
      </c>
      <c r="G6" s="163"/>
    </row>
    <row r="7" spans="3:38" x14ac:dyDescent="0.25">
      <c r="C7" s="171" t="s">
        <v>240</v>
      </c>
      <c r="D7" s="11">
        <f>'Total REC Deliveries'!T6</f>
        <v>3895928</v>
      </c>
      <c r="E7" s="11">
        <f>'Total REC Deliveries'!S6</f>
        <v>3340278.2002666667</v>
      </c>
      <c r="F7" s="11">
        <f t="shared" si="0"/>
        <v>7236206.2002666667</v>
      </c>
      <c r="G7" s="163"/>
      <c r="H7" s="163"/>
    </row>
    <row r="8" spans="3:38" x14ac:dyDescent="0.25">
      <c r="C8" s="171" t="s">
        <v>241</v>
      </c>
      <c r="D8" s="11">
        <f>'Total REC Deliveries'!T7</f>
        <v>3895928</v>
      </c>
      <c r="E8" s="11">
        <f>'Total REC Deliveries'!S7</f>
        <v>3851954.9221383333</v>
      </c>
      <c r="F8" s="11">
        <f t="shared" si="0"/>
        <v>7747882.9221383333</v>
      </c>
      <c r="G8" s="163"/>
      <c r="H8" s="163"/>
      <c r="I8" s="29"/>
      <c r="J8" s="29"/>
    </row>
    <row r="9" spans="3:38" x14ac:dyDescent="0.25">
      <c r="C9" s="171" t="s">
        <v>242</v>
      </c>
      <c r="D9" s="11">
        <f>'Total REC Deliveries'!T8</f>
        <v>3895928</v>
      </c>
      <c r="E9" s="11">
        <f>'Total REC Deliveries'!S8</f>
        <v>4707988.2654006416</v>
      </c>
      <c r="F9" s="11">
        <f t="shared" si="0"/>
        <v>8603916.2654006407</v>
      </c>
      <c r="G9" s="163"/>
      <c r="H9" s="163"/>
      <c r="I9" s="29"/>
      <c r="J9" s="29"/>
    </row>
    <row r="10" spans="3:38" x14ac:dyDescent="0.25">
      <c r="C10" s="171" t="s">
        <v>243</v>
      </c>
      <c r="D10" s="11">
        <f>'Total REC Deliveries'!T9</f>
        <v>3972152.1643835618</v>
      </c>
      <c r="E10" s="11">
        <f>'Total REC Deliveries'!S9</f>
        <v>7453972.0027685557</v>
      </c>
      <c r="F10" s="11">
        <f t="shared" si="0"/>
        <v>11426124.167152118</v>
      </c>
      <c r="G10" s="163"/>
      <c r="H10" s="163"/>
      <c r="I10" s="29"/>
      <c r="J10" s="29"/>
    </row>
    <row r="11" spans="3:38" x14ac:dyDescent="0.25">
      <c r="C11" s="171" t="s">
        <v>244</v>
      </c>
      <c r="D11" s="11">
        <f>'Total REC Deliveries'!T10</f>
        <v>4476202.3506164383</v>
      </c>
      <c r="E11" s="11">
        <f>'Total REC Deliveries'!S10</f>
        <v>8706884.1876140162</v>
      </c>
      <c r="F11" s="11">
        <f t="shared" si="0"/>
        <v>13183086.538230455</v>
      </c>
      <c r="G11" s="163"/>
    </row>
    <row r="12" spans="3:38" x14ac:dyDescent="0.25">
      <c r="C12" s="171" t="s">
        <v>245</v>
      </c>
      <c r="D12" s="11">
        <f>'Total REC Deliveries'!T11</f>
        <v>5706869.1273972597</v>
      </c>
      <c r="E12" s="11">
        <f>'Total REC Deliveries'!S11</f>
        <v>10261910.32880237</v>
      </c>
      <c r="F12" s="11">
        <f t="shared" si="0"/>
        <v>15968779.456199629</v>
      </c>
      <c r="G12" s="163"/>
    </row>
    <row r="13" spans="3:38" x14ac:dyDescent="0.25">
      <c r="C13" s="171" t="s">
        <v>246</v>
      </c>
      <c r="D13" s="11">
        <f>'Total REC Deliveries'!T12</f>
        <v>7001297.0554109588</v>
      </c>
      <c r="E13" s="11">
        <f>'Total REC Deliveries'!S12</f>
        <v>13059235.39021039</v>
      </c>
      <c r="F13" s="11">
        <f>D13+E13</f>
        <v>20060532.445621349</v>
      </c>
      <c r="G13" s="163"/>
    </row>
    <row r="14" spans="3:38" x14ac:dyDescent="0.25">
      <c r="C14" s="171" t="s">
        <v>247</v>
      </c>
      <c r="D14" s="11">
        <f>'Total REC Deliveries'!T13</f>
        <v>7567108.3650000002</v>
      </c>
      <c r="E14" s="11">
        <f>'Total REC Deliveries'!S13</f>
        <v>13697474.299461108</v>
      </c>
      <c r="F14" s="11">
        <f t="shared" si="0"/>
        <v>21264582.664461106</v>
      </c>
      <c r="G14" s="163"/>
    </row>
    <row r="15" spans="3:38" x14ac:dyDescent="0.25">
      <c r="C15" s="171" t="s">
        <v>248</v>
      </c>
      <c r="D15" s="11">
        <f>'Total REC Deliveries'!T14</f>
        <v>7567108.3650000002</v>
      </c>
      <c r="E15" s="11">
        <f>'Total REC Deliveries'!S14</f>
        <v>13643403.344848795</v>
      </c>
      <c r="F15" s="11">
        <f t="shared" si="0"/>
        <v>21210511.709848795</v>
      </c>
      <c r="G15" s="163"/>
    </row>
    <row r="16" spans="3:38" x14ac:dyDescent="0.25">
      <c r="C16" s="30" t="s">
        <v>249</v>
      </c>
      <c r="D16" s="11">
        <f>'Total REC Deliveries'!T15</f>
        <v>7567108.3650000002</v>
      </c>
      <c r="E16" s="11">
        <f>'Total REC Deliveries'!S15</f>
        <v>13588176.085997552</v>
      </c>
      <c r="F16" s="11">
        <f t="shared" si="0"/>
        <v>21155284.450997554</v>
      </c>
      <c r="G16" s="163"/>
    </row>
    <row r="17" spans="2:10" x14ac:dyDescent="0.25">
      <c r="C17" s="171" t="s">
        <v>250</v>
      </c>
      <c r="D17" s="11">
        <f>'Total REC Deliveries'!T16</f>
        <v>5736699.3650000002</v>
      </c>
      <c r="E17" s="11">
        <f>'Total REC Deliveries'!S16</f>
        <v>13501505.143440565</v>
      </c>
      <c r="F17" s="11">
        <f t="shared" si="0"/>
        <v>19238204.508440565</v>
      </c>
      <c r="G17" s="163"/>
    </row>
    <row r="18" spans="2:10" x14ac:dyDescent="0.25">
      <c r="C18" s="171" t="s">
        <v>251</v>
      </c>
      <c r="D18" s="11">
        <f>'Total REC Deliveries'!T17</f>
        <v>5306699.3650000002</v>
      </c>
      <c r="E18" s="11">
        <f>'Total REC Deliveries'!S17</f>
        <v>13445454.820596362</v>
      </c>
      <c r="F18" s="11">
        <f t="shared" si="0"/>
        <v>18752154.185596362</v>
      </c>
      <c r="G18" s="163"/>
    </row>
    <row r="19" spans="2:10" x14ac:dyDescent="0.25">
      <c r="C19" s="171" t="s">
        <v>252</v>
      </c>
      <c r="D19" s="11">
        <f>'Total REC Deliveries'!T18</f>
        <v>5306699.3650000002</v>
      </c>
      <c r="E19" s="11">
        <f>'Total REC Deliveries'!S18</f>
        <v>12752383.424366381</v>
      </c>
      <c r="F19" s="11">
        <f t="shared" si="0"/>
        <v>18059082.789366379</v>
      </c>
      <c r="G19" s="163"/>
    </row>
    <row r="20" spans="2:10" x14ac:dyDescent="0.25">
      <c r="C20" s="171" t="s">
        <v>253</v>
      </c>
      <c r="D20" s="11">
        <f>'Total REC Deliveries'!T19</f>
        <v>5006699.3650000002</v>
      </c>
      <c r="E20" s="11">
        <f>'Total REC Deliveries'!S19</f>
        <v>13224640.265117548</v>
      </c>
      <c r="F20" s="11">
        <f t="shared" si="0"/>
        <v>18231339.63011755</v>
      </c>
      <c r="G20" s="163"/>
    </row>
    <row r="21" spans="2:10" x14ac:dyDescent="0.25">
      <c r="C21" s="171" t="s">
        <v>254</v>
      </c>
      <c r="D21" s="11">
        <f>'Total REC Deliveries'!T20</f>
        <v>3671180.3649999998</v>
      </c>
      <c r="E21" s="11">
        <f>'Total REC Deliveries'!S20</f>
        <v>10320198.08206496</v>
      </c>
      <c r="F21" s="11">
        <f t="shared" si="0"/>
        <v>13991378.44706496</v>
      </c>
      <c r="G21" s="163"/>
    </row>
    <row r="22" spans="2:10" x14ac:dyDescent="0.25">
      <c r="C22" s="171" t="s">
        <v>255</v>
      </c>
      <c r="D22" s="11">
        <f>'Total REC Deliveries'!T21</f>
        <v>3671180.3649999998</v>
      </c>
      <c r="E22" s="11">
        <f>'Total REC Deliveries'!S21</f>
        <v>10082267.341654636</v>
      </c>
      <c r="F22" s="11">
        <f t="shared" si="0"/>
        <v>13753447.706654636</v>
      </c>
      <c r="G22" s="163"/>
    </row>
    <row r="23" spans="2:10" x14ac:dyDescent="0.25">
      <c r="C23" s="171" t="s">
        <v>256</v>
      </c>
      <c r="D23" s="11">
        <f>'Total REC Deliveries'!T22</f>
        <v>3671180.3649999998</v>
      </c>
      <c r="E23" s="11">
        <f>'Total REC Deliveries'!S22</f>
        <v>9676942.7899463624</v>
      </c>
      <c r="F23" s="11">
        <f t="shared" si="0"/>
        <v>13348123.154946363</v>
      </c>
      <c r="G23" s="163"/>
    </row>
    <row r="24" spans="2:10" x14ac:dyDescent="0.25">
      <c r="C24" s="171" t="s">
        <v>257</v>
      </c>
      <c r="D24" s="11">
        <f>'Total REC Deliveries'!T23</f>
        <v>3671180.3649999998</v>
      </c>
      <c r="E24" s="11">
        <f>'Total REC Deliveries'!S23</f>
        <v>9214600.7509966306</v>
      </c>
      <c r="F24" s="11">
        <f t="shared" si="0"/>
        <v>12885781.115996631</v>
      </c>
      <c r="G24" s="163"/>
    </row>
    <row r="25" spans="2:10" x14ac:dyDescent="0.25">
      <c r="C25" s="171" t="s">
        <v>258</v>
      </c>
      <c r="D25" s="11">
        <f>'Total REC Deliveries'!T24</f>
        <v>3671180.3649999998</v>
      </c>
      <c r="E25" s="11">
        <f>'Total REC Deliveries'!S24</f>
        <v>8161954.5522416467</v>
      </c>
      <c r="F25" s="11">
        <f t="shared" si="0"/>
        <v>11833134.917241646</v>
      </c>
      <c r="G25" s="163"/>
    </row>
    <row r="26" spans="2:10" x14ac:dyDescent="0.25">
      <c r="C26" s="171" t="s">
        <v>259</v>
      </c>
      <c r="D26" s="11">
        <f>'Total REC Deliveries'!T25</f>
        <v>3671180.3649999998</v>
      </c>
      <c r="E26" s="11">
        <f>'Total REC Deliveries'!S25</f>
        <v>7990225.5244804388</v>
      </c>
      <c r="F26" s="11">
        <f t="shared" si="0"/>
        <v>11661405.889480438</v>
      </c>
      <c r="G26" s="163"/>
    </row>
    <row r="27" spans="2:10" x14ac:dyDescent="0.25">
      <c r="C27" s="171" t="s">
        <v>260</v>
      </c>
      <c r="D27" s="11">
        <f>'Total REC Deliveries'!T26</f>
        <v>3671180.3649999998</v>
      </c>
      <c r="E27" s="11">
        <f>'Total REC Deliveries'!S26</f>
        <v>7950117.001858037</v>
      </c>
      <c r="F27" s="11">
        <f t="shared" si="0"/>
        <v>11621297.366858037</v>
      </c>
      <c r="G27" s="163"/>
    </row>
    <row r="28" spans="2:10" x14ac:dyDescent="0.25">
      <c r="G28" s="163"/>
    </row>
    <row r="29" spans="2:10" x14ac:dyDescent="0.25">
      <c r="B29" s="31" t="s">
        <v>261</v>
      </c>
      <c r="C29" t="s">
        <v>262</v>
      </c>
    </row>
    <row r="30" spans="2:10" x14ac:dyDescent="0.25">
      <c r="C30" s="170" t="s">
        <v>1</v>
      </c>
      <c r="D30" s="170" t="s">
        <v>263</v>
      </c>
      <c r="E30" s="170" t="s">
        <v>264</v>
      </c>
      <c r="F30" s="170" t="s">
        <v>265</v>
      </c>
      <c r="G30" s="170" t="s">
        <v>266</v>
      </c>
      <c r="H30" s="170" t="s">
        <v>232</v>
      </c>
      <c r="I30" s="170" t="s">
        <v>233</v>
      </c>
      <c r="J30" s="170" t="s">
        <v>234</v>
      </c>
    </row>
    <row r="31" spans="2:10" x14ac:dyDescent="0.25">
      <c r="C31" s="171" t="s">
        <v>238</v>
      </c>
      <c r="D31" s="11">
        <f t="shared" ref="D31:E46" si="1">D5</f>
        <v>2560409</v>
      </c>
      <c r="E31" s="11">
        <f>E5</f>
        <v>777880.89229999995</v>
      </c>
      <c r="F31" s="11">
        <f>'Total REC Deliveries'!AB3</f>
        <v>0</v>
      </c>
      <c r="G31" s="26">
        <f>'Total REC Deliveries'!V3+'Total REC Deliveries'!W3+'Total REC Deliveries'!X3+'Total REC Deliveries'!Y3+'Total REC Deliveries'!Z3+'Total REC Deliveries'!AA3+'Total REC Deliveries'!AC3+'Total REC Deliveries'!AD3+'Total REC Deliveries'!AE3+'Total REC Deliveries'!AF3</f>
        <v>0</v>
      </c>
      <c r="H31" s="26">
        <f>D31+G31</f>
        <v>2560409</v>
      </c>
      <c r="I31" s="26">
        <f>E31+G31</f>
        <v>777880.89229999995</v>
      </c>
      <c r="J31" s="26">
        <f t="shared" ref="J31:J53" si="2">H31+I31</f>
        <v>3338289.8922999999</v>
      </c>
    </row>
    <row r="32" spans="2:10" x14ac:dyDescent="0.25">
      <c r="C32" s="171" t="s">
        <v>239</v>
      </c>
      <c r="D32" s="11">
        <f t="shared" si="1"/>
        <v>3895928</v>
      </c>
      <c r="E32" s="11">
        <f t="shared" si="1"/>
        <v>2089427.1079333334</v>
      </c>
      <c r="F32" s="11">
        <f>'Total REC Deliveries'!AB4</f>
        <v>0</v>
      </c>
      <c r="G32" s="26">
        <f>'Total REC Deliveries'!V4+'Total REC Deliveries'!W4+'Total REC Deliveries'!X4+'Total REC Deliveries'!Y4+'Total REC Deliveries'!Z4+'Total REC Deliveries'!AA4+'Total REC Deliveries'!AC4+'Total REC Deliveries'!AD4+'Total REC Deliveries'!AE4+'Total REC Deliveries'!AF4</f>
        <v>0</v>
      </c>
      <c r="H32" s="26">
        <f t="shared" ref="H32:H53" si="3">D32+F32</f>
        <v>3895928</v>
      </c>
      <c r="I32" s="26">
        <f t="shared" ref="I32:I53" si="4">E32+G32</f>
        <v>2089427.1079333334</v>
      </c>
      <c r="J32" s="26">
        <f t="shared" si="2"/>
        <v>5985355.1079333331</v>
      </c>
    </row>
    <row r="33" spans="3:10" x14ac:dyDescent="0.25">
      <c r="C33" s="171" t="s">
        <v>240</v>
      </c>
      <c r="D33" s="11">
        <f t="shared" si="1"/>
        <v>3895928</v>
      </c>
      <c r="E33" s="11">
        <f t="shared" si="1"/>
        <v>3340278.2002666667</v>
      </c>
      <c r="F33" s="11">
        <f>'Total REC Deliveries'!AB5</f>
        <v>0</v>
      </c>
      <c r="G33" s="26">
        <f>'Total REC Deliveries'!V5+'Total REC Deliveries'!W5+'Total REC Deliveries'!X5+'Total REC Deliveries'!Y5+'Total REC Deliveries'!Z5+'Total REC Deliveries'!AA5+'Total REC Deliveries'!AC5+'Total REC Deliveries'!AD5+'Total REC Deliveries'!AE5+'Total REC Deliveries'!AF5</f>
        <v>0</v>
      </c>
      <c r="H33" s="26">
        <f t="shared" si="3"/>
        <v>3895928</v>
      </c>
      <c r="I33" s="26">
        <f t="shared" si="4"/>
        <v>3340278.2002666667</v>
      </c>
      <c r="J33" s="26">
        <f t="shared" si="2"/>
        <v>7236206.2002666667</v>
      </c>
    </row>
    <row r="34" spans="3:10" x14ac:dyDescent="0.25">
      <c r="C34" s="171" t="s">
        <v>241</v>
      </c>
      <c r="D34" s="11">
        <f t="shared" si="1"/>
        <v>3895928</v>
      </c>
      <c r="E34" s="11">
        <f t="shared" si="1"/>
        <v>3851954.9221383333</v>
      </c>
      <c r="F34" s="11">
        <f>'Total REC Deliveries'!AB6</f>
        <v>0</v>
      </c>
      <c r="G34" s="26">
        <f>'Total REC Deliveries'!V6+'Total REC Deliveries'!W6+'Total REC Deliveries'!X6+'Total REC Deliveries'!Y6+'Total REC Deliveries'!Z6+'Total REC Deliveries'!AA6+'Total REC Deliveries'!AC6+'Total REC Deliveries'!AD6+'Total REC Deliveries'!AE6+'Total REC Deliveries'!AF6</f>
        <v>0</v>
      </c>
      <c r="H34" s="26">
        <f t="shared" si="3"/>
        <v>3895928</v>
      </c>
      <c r="I34" s="26">
        <f t="shared" si="4"/>
        <v>3851954.9221383333</v>
      </c>
      <c r="J34" s="26">
        <f t="shared" si="2"/>
        <v>7747882.9221383333</v>
      </c>
    </row>
    <row r="35" spans="3:10" x14ac:dyDescent="0.25">
      <c r="C35" s="171" t="s">
        <v>242</v>
      </c>
      <c r="D35" s="11">
        <f t="shared" si="1"/>
        <v>3895928</v>
      </c>
      <c r="E35" s="11">
        <f t="shared" si="1"/>
        <v>4707988.2654006416</v>
      </c>
      <c r="F35" s="11">
        <f>'Total REC Deliveries'!AB7</f>
        <v>0</v>
      </c>
      <c r="G35" s="26">
        <f>'Total REC Deliveries'!V7+'Total REC Deliveries'!W7+'Total REC Deliveries'!X7+'Total REC Deliveries'!Y7+'Total REC Deliveries'!Z7+'Total REC Deliveries'!AA7+'Total REC Deliveries'!AC7+'Total REC Deliveries'!AD7+'Total REC Deliveries'!AE7+'Total REC Deliveries'!AF7</f>
        <v>47000</v>
      </c>
      <c r="H35" s="26">
        <f t="shared" si="3"/>
        <v>3895928</v>
      </c>
      <c r="I35" s="26">
        <f t="shared" si="4"/>
        <v>4754988.2654006416</v>
      </c>
      <c r="J35" s="26">
        <f t="shared" si="2"/>
        <v>8650916.2654006407</v>
      </c>
    </row>
    <row r="36" spans="3:10" x14ac:dyDescent="0.25">
      <c r="C36" s="171" t="s">
        <v>243</v>
      </c>
      <c r="D36" s="11">
        <f t="shared" si="1"/>
        <v>3972152.1643835618</v>
      </c>
      <c r="E36" s="11">
        <f t="shared" si="1"/>
        <v>7453972.0027685557</v>
      </c>
      <c r="F36" s="11">
        <f>'Total REC Deliveries'!AB8</f>
        <v>0</v>
      </c>
      <c r="G36" s="26">
        <f>'Total REC Deliveries'!V8+'Total REC Deliveries'!W8+'Total REC Deliveries'!X8+'Total REC Deliveries'!Y8+'Total REC Deliveries'!Z8+'Total REC Deliveries'!AA8+'Total REC Deliveries'!AC8+'Total REC Deliveries'!AD8+'Total REC Deliveries'!AE8+'Total REC Deliveries'!AF8</f>
        <v>472640</v>
      </c>
      <c r="H36" s="26">
        <f t="shared" si="3"/>
        <v>3972152.1643835618</v>
      </c>
      <c r="I36" s="26">
        <f t="shared" si="4"/>
        <v>7926612.0027685557</v>
      </c>
      <c r="J36" s="26">
        <f t="shared" si="2"/>
        <v>11898764.167152118</v>
      </c>
    </row>
    <row r="37" spans="3:10" x14ac:dyDescent="0.25">
      <c r="C37" s="171" t="s">
        <v>244</v>
      </c>
      <c r="D37" s="11">
        <f t="shared" si="1"/>
        <v>4476202.3506164383</v>
      </c>
      <c r="E37" s="11">
        <f t="shared" si="1"/>
        <v>8706884.1876140162</v>
      </c>
      <c r="F37" s="11">
        <f>'Total REC Deliveries'!AB9</f>
        <v>0</v>
      </c>
      <c r="G37" s="26">
        <f>'Total REC Deliveries'!V9+'Total REC Deliveries'!W9+'Total REC Deliveries'!X9+'Total REC Deliveries'!Y9+'Total REC Deliveries'!Z9+'Total REC Deliveries'!AA9+'Total REC Deliveries'!AC9+'Total REC Deliveries'!AD9+'Total REC Deliveries'!AE9+'Total REC Deliveries'!AF9</f>
        <v>917213.06926834304</v>
      </c>
      <c r="H37" s="26">
        <f t="shared" si="3"/>
        <v>4476202.3506164383</v>
      </c>
      <c r="I37" s="26">
        <f t="shared" si="4"/>
        <v>9624097.2568823583</v>
      </c>
      <c r="J37" s="26">
        <f t="shared" si="2"/>
        <v>14100299.607498797</v>
      </c>
    </row>
    <row r="38" spans="3:10" x14ac:dyDescent="0.25">
      <c r="C38" s="171" t="s">
        <v>245</v>
      </c>
      <c r="D38" s="11">
        <f t="shared" si="1"/>
        <v>5706869.1273972597</v>
      </c>
      <c r="E38" s="11">
        <f t="shared" si="1"/>
        <v>10261910.32880237</v>
      </c>
      <c r="F38" s="11">
        <f>'Total REC Deliveries'!AB10</f>
        <v>0</v>
      </c>
      <c r="G38" s="26">
        <f>'Total REC Deliveries'!V10+'Total REC Deliveries'!W10+'Total REC Deliveries'!X10+'Total REC Deliveries'!Y10+'Total REC Deliveries'!Z10+'Total REC Deliveries'!AA10+'Total REC Deliveries'!AC10+'Total REC Deliveries'!AD10+'Total REC Deliveries'!AE10+'Total REC Deliveries'!AF10</f>
        <v>1717151.3031365301</v>
      </c>
      <c r="H38" s="26">
        <f t="shared" si="3"/>
        <v>5706869.1273972597</v>
      </c>
      <c r="I38" s="26">
        <f t="shared" si="4"/>
        <v>11979061.631938899</v>
      </c>
      <c r="J38" s="26">
        <f t="shared" si="2"/>
        <v>17685930.759336159</v>
      </c>
    </row>
    <row r="39" spans="3:10" x14ac:dyDescent="0.25">
      <c r="C39" s="171" t="s">
        <v>246</v>
      </c>
      <c r="D39" s="11">
        <f t="shared" si="1"/>
        <v>7001297.0554109588</v>
      </c>
      <c r="E39" s="11">
        <f t="shared" si="1"/>
        <v>13059235.39021039</v>
      </c>
      <c r="F39" s="11">
        <f>'Total REC Deliveries'!AB11</f>
        <v>0</v>
      </c>
      <c r="G39" s="26">
        <f>'Total REC Deliveries'!V11+'Total REC Deliveries'!W11+'Total REC Deliveries'!X11+'Total REC Deliveries'!Y11+'Total REC Deliveries'!Z11+'Total REC Deliveries'!AA11+'Total REC Deliveries'!AC11+'Total REC Deliveries'!AD11+'Total REC Deliveries'!AE11+'Total REC Deliveries'!AF11</f>
        <v>2847830.113435376</v>
      </c>
      <c r="H39" s="26">
        <f t="shared" si="3"/>
        <v>7001297.0554109588</v>
      </c>
      <c r="I39" s="26">
        <f t="shared" si="4"/>
        <v>15907065.503645767</v>
      </c>
      <c r="J39" s="26">
        <f t="shared" si="2"/>
        <v>22908362.559056725</v>
      </c>
    </row>
    <row r="40" spans="3:10" x14ac:dyDescent="0.25">
      <c r="C40" s="171" t="s">
        <v>247</v>
      </c>
      <c r="D40" s="11">
        <f t="shared" si="1"/>
        <v>7567108.3650000002</v>
      </c>
      <c r="E40" s="11">
        <f t="shared" si="1"/>
        <v>13697474.299461108</v>
      </c>
      <c r="F40" s="11">
        <f>'Total REC Deliveries'!AB12</f>
        <v>2500000</v>
      </c>
      <c r="G40" s="26">
        <f>'Total REC Deliveries'!V12+'Total REC Deliveries'!W12+'Total REC Deliveries'!X12+'Total REC Deliveries'!Y12+'Total REC Deliveries'!Z12+'Total REC Deliveries'!AA12+'Total REC Deliveries'!AC12+'Total REC Deliveries'!AD12+'Total REC Deliveries'!AE12+'Total REC Deliveries'!AF12</f>
        <v>4724755.3546827286</v>
      </c>
      <c r="H40" s="26">
        <f t="shared" si="3"/>
        <v>10067108.365</v>
      </c>
      <c r="I40" s="26">
        <f t="shared" si="4"/>
        <v>18422229.654143836</v>
      </c>
      <c r="J40" s="26">
        <f t="shared" si="2"/>
        <v>28489338.019143835</v>
      </c>
    </row>
    <row r="41" spans="3:10" x14ac:dyDescent="0.25">
      <c r="C41" s="171" t="s">
        <v>248</v>
      </c>
      <c r="D41" s="11">
        <f t="shared" si="1"/>
        <v>7567108.3650000002</v>
      </c>
      <c r="E41" s="11">
        <f t="shared" si="1"/>
        <v>13643403.344848795</v>
      </c>
      <c r="F41" s="11">
        <f>'Total REC Deliveries'!AB13</f>
        <v>5000000</v>
      </c>
      <c r="G41" s="26">
        <f>'Total REC Deliveries'!V13+'Total REC Deliveries'!W13+'Total REC Deliveries'!X13+'Total REC Deliveries'!Y13+'Total REC Deliveries'!Z13+'Total REC Deliveries'!AA13+'Total REC Deliveries'!AC13+'Total REC Deliveries'!AD13+'Total REC Deliveries'!AE13+'Total REC Deliveries'!AF13</f>
        <v>7414260.4488591803</v>
      </c>
      <c r="H41" s="26">
        <f t="shared" si="3"/>
        <v>12567108.365</v>
      </c>
      <c r="I41" s="26">
        <f t="shared" si="4"/>
        <v>21057663.793707974</v>
      </c>
      <c r="J41" s="26">
        <f t="shared" si="2"/>
        <v>33624772.158707976</v>
      </c>
    </row>
    <row r="42" spans="3:10" x14ac:dyDescent="0.25">
      <c r="C42" s="30" t="s">
        <v>249</v>
      </c>
      <c r="D42" s="11">
        <f t="shared" si="1"/>
        <v>7567108.3650000002</v>
      </c>
      <c r="E42" s="11">
        <f t="shared" si="1"/>
        <v>13588176.085997552</v>
      </c>
      <c r="F42" s="11">
        <f>'Total REC Deliveries'!AB14</f>
        <v>7500000</v>
      </c>
      <c r="G42" s="26">
        <f>'Total REC Deliveries'!V14+'Total REC Deliveries'!W14+'Total REC Deliveries'!X14+'Total REC Deliveries'!Y14+'Total REC Deliveries'!Z14+'Total REC Deliveries'!AA14+'Total REC Deliveries'!AC14+'Total REC Deliveries'!AD14+'Total REC Deliveries'!AE14+'Total REC Deliveries'!AF14</f>
        <v>10090493.825835427</v>
      </c>
      <c r="H42" s="26">
        <f t="shared" si="3"/>
        <v>15067108.365</v>
      </c>
      <c r="I42" s="26">
        <f t="shared" si="4"/>
        <v>23678669.911832981</v>
      </c>
      <c r="J42" s="26">
        <f t="shared" si="2"/>
        <v>38745778.276832983</v>
      </c>
    </row>
    <row r="43" spans="3:10" x14ac:dyDescent="0.25">
      <c r="C43" s="171" t="s">
        <v>250</v>
      </c>
      <c r="D43" s="11">
        <f t="shared" si="1"/>
        <v>5736699.3650000002</v>
      </c>
      <c r="E43" s="11">
        <f t="shared" si="1"/>
        <v>13501505.143440565</v>
      </c>
      <c r="F43" s="11">
        <f>'Total REC Deliveries'!AB15</f>
        <v>10000000</v>
      </c>
      <c r="G43" s="26">
        <f>'Total REC Deliveries'!V15+'Total REC Deliveries'!W15+'Total REC Deliveries'!X15+'Total REC Deliveries'!Y15+'Total REC Deliveries'!Z15+'Total REC Deliveries'!AA15+'Total REC Deliveries'!AC15+'Total REC Deliveries'!AD15+'Total REC Deliveries'!AE15+'Total REC Deliveries'!AF15</f>
        <v>12253521.844197474</v>
      </c>
      <c r="H43" s="26">
        <f t="shared" si="3"/>
        <v>15736699.365</v>
      </c>
      <c r="I43" s="26">
        <f t="shared" si="4"/>
        <v>25755026.987638041</v>
      </c>
      <c r="J43" s="26">
        <f t="shared" si="2"/>
        <v>41491726.352638043</v>
      </c>
    </row>
    <row r="44" spans="3:10" x14ac:dyDescent="0.25">
      <c r="C44" s="171" t="s">
        <v>251</v>
      </c>
      <c r="D44" s="11">
        <f t="shared" si="1"/>
        <v>5306699.3650000002</v>
      </c>
      <c r="E44" s="11">
        <f t="shared" si="1"/>
        <v>13445454.820596362</v>
      </c>
      <c r="F44" s="11">
        <f>'Total REC Deliveries'!AB16</f>
        <v>12500000</v>
      </c>
      <c r="G44" s="26">
        <f>'Total REC Deliveries'!V16+'Total REC Deliveries'!W16+'Total REC Deliveries'!X16+'Total REC Deliveries'!Y16+'Total REC Deliveries'!Z16+'Total REC Deliveries'!AA16+'Total REC Deliveries'!AC16+'Total REC Deliveries'!AD16+'Total REC Deliveries'!AE16+'Total REC Deliveries'!AF16</f>
        <v>14405910.530738382</v>
      </c>
      <c r="H44" s="26">
        <f t="shared" si="3"/>
        <v>17806699.365000002</v>
      </c>
      <c r="I44" s="26">
        <f t="shared" si="4"/>
        <v>27851365.351334743</v>
      </c>
      <c r="J44" s="26">
        <f t="shared" si="2"/>
        <v>45658064.716334745</v>
      </c>
    </row>
    <row r="45" spans="3:10" x14ac:dyDescent="0.25">
      <c r="C45" s="171" t="s">
        <v>252</v>
      </c>
      <c r="D45" s="11">
        <f t="shared" si="1"/>
        <v>5306699.3650000002</v>
      </c>
      <c r="E45" s="11">
        <f t="shared" si="1"/>
        <v>12752383.424366381</v>
      </c>
      <c r="F45" s="11">
        <f>'Total REC Deliveries'!AB17</f>
        <v>13500000</v>
      </c>
      <c r="G45" s="26">
        <f>'Total REC Deliveries'!V17+'Total REC Deliveries'!W17+'Total REC Deliveries'!X17+'Total REC Deliveries'!Y17+'Total REC Deliveries'!Z17+'Total REC Deliveries'!AA17+'Total REC Deliveries'!AC17+'Total REC Deliveries'!AD17+'Total REC Deliveries'!AE17+'Total REC Deliveries'!AF17</f>
        <v>16297713.082117263</v>
      </c>
      <c r="H45" s="26">
        <f t="shared" si="3"/>
        <v>18806699.365000002</v>
      </c>
      <c r="I45" s="26">
        <f t="shared" si="4"/>
        <v>29050096.506483644</v>
      </c>
      <c r="J45" s="26">
        <f t="shared" si="2"/>
        <v>47856795.871483646</v>
      </c>
    </row>
    <row r="46" spans="3:10" x14ac:dyDescent="0.25">
      <c r="C46" s="171" t="s">
        <v>253</v>
      </c>
      <c r="D46" s="11">
        <f t="shared" si="1"/>
        <v>5006699.3650000002</v>
      </c>
      <c r="E46" s="11">
        <f t="shared" si="1"/>
        <v>13224640.265117548</v>
      </c>
      <c r="F46" s="11">
        <f>'Total REC Deliveries'!AB18</f>
        <v>14500000</v>
      </c>
      <c r="G46" s="26">
        <f>'Total REC Deliveries'!V18+'Total REC Deliveries'!W18+'Total REC Deliveries'!X18+'Total REC Deliveries'!Y18+'Total REC Deliveries'!Z18+'Total REC Deliveries'!AA18+'Total REC Deliveries'!AC18+'Total REC Deliveries'!AD18+'Total REC Deliveries'!AE18+'Total REC Deliveries'!AF18</f>
        <v>17819048.667402666</v>
      </c>
      <c r="H46" s="26">
        <f t="shared" si="3"/>
        <v>19506699.365000002</v>
      </c>
      <c r="I46" s="26">
        <f t="shared" si="4"/>
        <v>31043688.932520214</v>
      </c>
      <c r="J46" s="26">
        <f t="shared" si="2"/>
        <v>50550388.29752022</v>
      </c>
    </row>
    <row r="47" spans="3:10" x14ac:dyDescent="0.25">
      <c r="C47" s="171" t="s">
        <v>254</v>
      </c>
      <c r="D47" s="11">
        <f t="shared" ref="D47:E53" si="5">D21</f>
        <v>3671180.3649999998</v>
      </c>
      <c r="E47" s="11">
        <f t="shared" si="5"/>
        <v>10320198.08206496</v>
      </c>
      <c r="F47" s="11">
        <f>'Total REC Deliveries'!AB19</f>
        <v>15500000</v>
      </c>
      <c r="G47" s="26">
        <f>'Total REC Deliveries'!V19+'Total REC Deliveries'!W19+'Total REC Deliveries'!X19+'Total REC Deliveries'!Y19+'Total REC Deliveries'!Z19+'Total REC Deliveries'!AA19+'Total REC Deliveries'!AC19+'Total REC Deliveries'!AD19+'Total REC Deliveries'!AE19+'Total REC Deliveries'!AF19</f>
        <v>19149302.786232315</v>
      </c>
      <c r="H47" s="26">
        <f t="shared" si="3"/>
        <v>19171180.364999998</v>
      </c>
      <c r="I47" s="26">
        <f t="shared" si="4"/>
        <v>29469500.868297275</v>
      </c>
      <c r="J47" s="26">
        <f t="shared" si="2"/>
        <v>48640681.233297274</v>
      </c>
    </row>
    <row r="48" spans="3:10" x14ac:dyDescent="0.25">
      <c r="C48" s="171" t="s">
        <v>255</v>
      </c>
      <c r="D48" s="11">
        <f t="shared" si="5"/>
        <v>3671180.3649999998</v>
      </c>
      <c r="E48" s="11">
        <f t="shared" si="5"/>
        <v>10082267.341654636</v>
      </c>
      <c r="F48" s="11">
        <f>'Total REC Deliveries'!AB20</f>
        <v>16500000</v>
      </c>
      <c r="G48" s="26">
        <f>'Total REC Deliveries'!V20+'Total REC Deliveries'!W20+'Total REC Deliveries'!X20+'Total REC Deliveries'!Y20+'Total REC Deliveries'!Z20+'Total REC Deliveries'!AA20+'Total REC Deliveries'!AC20+'Total REC Deliveries'!AD20+'Total REC Deliveries'!AE20+'Total REC Deliveries'!AF20</f>
        <v>20473081.442738492</v>
      </c>
      <c r="H48" s="26">
        <f t="shared" si="3"/>
        <v>20171180.364999998</v>
      </c>
      <c r="I48" s="26">
        <f t="shared" si="4"/>
        <v>30555348.784393128</v>
      </c>
      <c r="J48" s="26">
        <f t="shared" si="2"/>
        <v>50726529.149393126</v>
      </c>
    </row>
    <row r="49" spans="2:15" x14ac:dyDescent="0.25">
      <c r="C49" s="171" t="s">
        <v>256</v>
      </c>
      <c r="D49" s="11">
        <f t="shared" si="5"/>
        <v>3671180.3649999998</v>
      </c>
      <c r="E49" s="11">
        <f t="shared" si="5"/>
        <v>9676942.7899463624</v>
      </c>
      <c r="F49" s="11">
        <f>'Total REC Deliveries'!AB21</f>
        <v>17500000</v>
      </c>
      <c r="G49" s="26">
        <f>'Total REC Deliveries'!V21+'Total REC Deliveries'!W21+'Total REC Deliveries'!X21+'Total REC Deliveries'!Y21+'Total REC Deliveries'!Z21+'Total REC Deliveries'!AA21+'Total REC Deliveries'!AC21+'Total REC Deliveries'!AD21+'Total REC Deliveries'!AE21+'Total REC Deliveries'!AF21</f>
        <v>21790417.014232814</v>
      </c>
      <c r="H49" s="26">
        <f t="shared" si="3"/>
        <v>21171180.364999998</v>
      </c>
      <c r="I49" s="26">
        <f t="shared" si="4"/>
        <v>31467359.804179177</v>
      </c>
      <c r="J49" s="26">
        <f t="shared" si="2"/>
        <v>52638540.169179171</v>
      </c>
    </row>
    <row r="50" spans="2:15" x14ac:dyDescent="0.25">
      <c r="C50" s="171" t="s">
        <v>257</v>
      </c>
      <c r="D50" s="11">
        <f t="shared" si="5"/>
        <v>3671180.3649999998</v>
      </c>
      <c r="E50" s="11">
        <f t="shared" si="5"/>
        <v>9214600.7509966306</v>
      </c>
      <c r="F50" s="11">
        <f>'Total REC Deliveries'!AB22</f>
        <v>18500000</v>
      </c>
      <c r="G50" s="26">
        <f>'Total REC Deliveries'!V22+'Total REC Deliveries'!W22+'Total REC Deliveries'!X22+'Total REC Deliveries'!Y22+'Total REC Deliveries'!Z22+'Total REC Deliveries'!AA22+'Total REC Deliveries'!AC22+'Total REC Deliveries'!AD22+'Total REC Deliveries'!AE22+'Total REC Deliveries'!AF22</f>
        <v>23101341.716140341</v>
      </c>
      <c r="H50" s="26">
        <f t="shared" si="3"/>
        <v>22171180.364999998</v>
      </c>
      <c r="I50" s="26">
        <f t="shared" si="4"/>
        <v>32315942.467136972</v>
      </c>
      <c r="J50" s="26">
        <f t="shared" si="2"/>
        <v>54487122.832136974</v>
      </c>
    </row>
    <row r="51" spans="2:15" x14ac:dyDescent="0.25">
      <c r="C51" s="171" t="s">
        <v>258</v>
      </c>
      <c r="D51" s="11">
        <f t="shared" si="5"/>
        <v>3671180.3649999998</v>
      </c>
      <c r="E51" s="11">
        <f t="shared" si="5"/>
        <v>8161954.5522416467</v>
      </c>
      <c r="F51" s="11">
        <f>'Total REC Deliveries'!AB23</f>
        <v>19500000</v>
      </c>
      <c r="G51" s="26">
        <f>'Total REC Deliveries'!V23+'Total REC Deliveries'!W23+'Total REC Deliveries'!X23+'Total REC Deliveries'!Y23+'Total REC Deliveries'!Z23+'Total REC Deliveries'!AA23+'Total REC Deliveries'!AC23+'Total REC Deliveries'!AD23+'Total REC Deliveries'!AE23+'Total REC Deliveries'!AF23</f>
        <v>24405887.602809016</v>
      </c>
      <c r="H51" s="26">
        <f t="shared" si="3"/>
        <v>23171180.364999998</v>
      </c>
      <c r="I51" s="26">
        <f t="shared" si="4"/>
        <v>32567842.155050661</v>
      </c>
      <c r="J51" s="26">
        <f t="shared" si="2"/>
        <v>55739022.52005066</v>
      </c>
    </row>
    <row r="52" spans="2:15" x14ac:dyDescent="0.25">
      <c r="C52" s="171" t="s">
        <v>259</v>
      </c>
      <c r="D52" s="11">
        <f t="shared" si="5"/>
        <v>3671180.3649999998</v>
      </c>
      <c r="E52" s="11">
        <f t="shared" si="5"/>
        <v>7990225.5244804388</v>
      </c>
      <c r="F52" s="11">
        <f>'Total REC Deliveries'!AB24</f>
        <v>20500000</v>
      </c>
      <c r="G52" s="26">
        <f>'Total REC Deliveries'!V24+'Total REC Deliveries'!W24+'Total REC Deliveries'!X24+'Total REC Deliveries'!Y24+'Total REC Deliveries'!Z24+'Total REC Deliveries'!AA24+'Total REC Deliveries'!AC24+'Total REC Deliveries'!AD24+'Total REC Deliveries'!AE24+'Total REC Deliveries'!AF24</f>
        <v>25530147.992170244</v>
      </c>
      <c r="H52" s="26">
        <f t="shared" si="3"/>
        <v>24171180.364999998</v>
      </c>
      <c r="I52" s="26">
        <f t="shared" si="4"/>
        <v>33520373.516650684</v>
      </c>
      <c r="J52" s="26">
        <f t="shared" si="2"/>
        <v>57691553.881650686</v>
      </c>
    </row>
    <row r="53" spans="2:15" x14ac:dyDescent="0.25">
      <c r="C53" s="171" t="s">
        <v>260</v>
      </c>
      <c r="D53" s="11">
        <f t="shared" si="5"/>
        <v>3671180.3649999998</v>
      </c>
      <c r="E53" s="11">
        <f t="shared" si="5"/>
        <v>7950117.001858037</v>
      </c>
      <c r="F53" s="11">
        <f>'Total REC Deliveries'!AB25</f>
        <v>21500000</v>
      </c>
      <c r="G53" s="26">
        <f>'Total REC Deliveries'!V25+'Total REC Deliveries'!W25+'Total REC Deliveries'!X25+'Total REC Deliveries'!Y25+'Total REC Deliveries'!Z25+'Total REC Deliveries'!AA25+'Total REC Deliveries'!AC25+'Total REC Deliveries'!AD25+'Total REC Deliveries'!AE25+'Total REC Deliveries'!AF25</f>
        <v>26295728.780291028</v>
      </c>
      <c r="H53" s="26">
        <f t="shared" si="3"/>
        <v>25171180.364999998</v>
      </c>
      <c r="I53" s="26">
        <f t="shared" si="4"/>
        <v>34245845.782149062</v>
      </c>
      <c r="J53" s="26">
        <f t="shared" si="2"/>
        <v>59417026.147149056</v>
      </c>
    </row>
    <row r="54" spans="2:15" x14ac:dyDescent="0.25">
      <c r="C54" s="32"/>
    </row>
    <row r="55" spans="2:15" x14ac:dyDescent="0.25">
      <c r="C55" s="32"/>
    </row>
    <row r="56" spans="2:15" x14ac:dyDescent="0.25">
      <c r="B56" s="31" t="s">
        <v>267</v>
      </c>
    </row>
    <row r="57" spans="2:15" x14ac:dyDescent="0.25">
      <c r="C57" s="33" t="s">
        <v>183</v>
      </c>
    </row>
    <row r="58" spans="2:15" x14ac:dyDescent="0.25">
      <c r="C58" s="348" t="s">
        <v>268</v>
      </c>
      <c r="D58" s="350" t="s">
        <v>40</v>
      </c>
      <c r="E58" s="351"/>
      <c r="F58" s="350" t="s">
        <v>42</v>
      </c>
      <c r="G58" s="351"/>
      <c r="H58" s="350" t="s">
        <v>213</v>
      </c>
      <c r="I58" s="351"/>
    </row>
    <row r="59" spans="2:15" x14ac:dyDescent="0.25">
      <c r="C59" s="349"/>
      <c r="D59" s="175" t="s">
        <v>269</v>
      </c>
      <c r="E59" s="175" t="s">
        <v>270</v>
      </c>
      <c r="F59" s="175" t="s">
        <v>269</v>
      </c>
      <c r="G59" s="175" t="s">
        <v>270</v>
      </c>
      <c r="H59" s="175" t="s">
        <v>269</v>
      </c>
      <c r="I59" s="175" t="s">
        <v>270</v>
      </c>
      <c r="J59" s="175" t="s">
        <v>83</v>
      </c>
      <c r="K59" s="175"/>
    </row>
    <row r="60" spans="2:15" x14ac:dyDescent="0.25">
      <c r="C60" s="171" t="s">
        <v>238</v>
      </c>
      <c r="D60" s="11">
        <f>'Total REC Deliveries'!T33</f>
        <v>814109</v>
      </c>
      <c r="E60" s="11">
        <f>'Total REC Deliveries'!S33</f>
        <v>231526.28875702267</v>
      </c>
      <c r="F60" s="11">
        <f>'Total REC Deliveries'!T61</f>
        <v>1775207</v>
      </c>
      <c r="G60" s="11">
        <f>'Total REC Deliveries'!S61</f>
        <v>511419.71406969341</v>
      </c>
      <c r="H60" s="11">
        <f>'Total REC Deliveries'!T89</f>
        <v>2409</v>
      </c>
      <c r="I60" s="11">
        <f>'Total REC Deliveries'!S89</f>
        <v>3618.8894732839058</v>
      </c>
      <c r="J60" s="163">
        <f t="shared" ref="J60:J82" si="6">SUM(D60:I60)</f>
        <v>3338289.8922999999</v>
      </c>
      <c r="K60" s="176">
        <f>F5</f>
        <v>3338289.8922999999</v>
      </c>
      <c r="L60" s="163">
        <f>J60-K60</f>
        <v>0</v>
      </c>
      <c r="N60" s="163"/>
    </row>
    <row r="61" spans="2:15" x14ac:dyDescent="0.25">
      <c r="C61" s="171" t="s">
        <v>239</v>
      </c>
      <c r="D61" s="11">
        <f>'Total REC Deliveries'!T34</f>
        <v>1205816</v>
      </c>
      <c r="E61" s="11">
        <f>'Total REC Deliveries'!S34</f>
        <v>605122.78657581937</v>
      </c>
      <c r="F61" s="11">
        <f>'Total REC Deliveries'!T62</f>
        <v>2714612</v>
      </c>
      <c r="G61" s="11">
        <f>'Total REC Deliveries'!S62</f>
        <v>1442499.8538560383</v>
      </c>
      <c r="H61" s="11">
        <f>'Total REC Deliveries'!T90</f>
        <v>6816</v>
      </c>
      <c r="I61" s="11">
        <f>'Total REC Deliveries'!S90</f>
        <v>10488.467501475689</v>
      </c>
      <c r="J61" s="163">
        <f t="shared" si="6"/>
        <v>5985355.1079333331</v>
      </c>
      <c r="K61" s="176">
        <f t="shared" ref="K61:K82" si="7">F6</f>
        <v>5985355.1079333331</v>
      </c>
      <c r="L61" s="163">
        <f t="shared" ref="L61:L82" si="8">J61-K61</f>
        <v>0</v>
      </c>
      <c r="N61" s="163"/>
    </row>
    <row r="62" spans="2:15" x14ac:dyDescent="0.25">
      <c r="C62" s="171" t="s">
        <v>240</v>
      </c>
      <c r="D62" s="11">
        <f>'Total REC Deliveries'!T35</f>
        <v>1205816</v>
      </c>
      <c r="E62" s="11">
        <f>'Total REC Deliveries'!S35</f>
        <v>964625.3990544402</v>
      </c>
      <c r="F62" s="11">
        <f>'Total REC Deliveries'!T63</f>
        <v>2714612</v>
      </c>
      <c r="G62" s="11">
        <f>'Total REC Deliveries'!S63</f>
        <v>2333500.9645867581</v>
      </c>
      <c r="H62" s="11">
        <f>'Total REC Deliveries'!T91</f>
        <v>6816</v>
      </c>
      <c r="I62" s="11">
        <f>'Total REC Deliveries'!S91</f>
        <v>10835.83662546831</v>
      </c>
      <c r="J62" s="163">
        <f>SUM(D62:I62)</f>
        <v>7236206.2002666658</v>
      </c>
      <c r="K62" s="176">
        <f t="shared" si="7"/>
        <v>7236206.2002666667</v>
      </c>
      <c r="L62" s="163">
        <f t="shared" si="8"/>
        <v>0</v>
      </c>
      <c r="N62" s="163"/>
    </row>
    <row r="63" spans="2:15" x14ac:dyDescent="0.25">
      <c r="C63" s="171" t="s">
        <v>241</v>
      </c>
      <c r="D63" s="11">
        <f>'Total REC Deliveries'!T36</f>
        <v>1205816</v>
      </c>
      <c r="E63" s="11">
        <f>'Total REC Deliveries'!S36</f>
        <v>1084315.4834706681</v>
      </c>
      <c r="F63" s="11">
        <f>'Total REC Deliveries'!T64</f>
        <v>2714612</v>
      </c>
      <c r="G63" s="11">
        <f>'Total REC Deliveries'!S64</f>
        <v>2717402.2247638246</v>
      </c>
      <c r="H63" s="11">
        <f>'Total REC Deliveries'!T92</f>
        <v>6816</v>
      </c>
      <c r="I63" s="11">
        <f>'Total REC Deliveries'!S92</f>
        <v>18921.21390384097</v>
      </c>
      <c r="J63" s="163">
        <f t="shared" si="6"/>
        <v>7747882.9221383333</v>
      </c>
      <c r="K63" s="176">
        <f t="shared" si="7"/>
        <v>7747882.9221383333</v>
      </c>
      <c r="L63" s="163">
        <f t="shared" si="8"/>
        <v>0</v>
      </c>
      <c r="N63" s="163"/>
      <c r="O63" s="163"/>
    </row>
    <row r="64" spans="2:15" x14ac:dyDescent="0.25">
      <c r="C64" s="171" t="s">
        <v>242</v>
      </c>
      <c r="D64" s="11">
        <f>'Total REC Deliveries'!T37</f>
        <v>1205816</v>
      </c>
      <c r="E64" s="11">
        <f>'Total REC Deliveries'!S37</f>
        <v>1227320.0374648147</v>
      </c>
      <c r="F64" s="11">
        <f>'Total REC Deliveries'!T65</f>
        <v>2714612</v>
      </c>
      <c r="G64" s="11">
        <f>'Total REC Deliveries'!S65</f>
        <v>3420682.6286400054</v>
      </c>
      <c r="H64" s="11">
        <f>'Total REC Deliveries'!T93</f>
        <v>6816</v>
      </c>
      <c r="I64" s="11">
        <f>'Total REC Deliveries'!S93</f>
        <v>28669.599295821765</v>
      </c>
      <c r="J64" s="163">
        <f t="shared" si="6"/>
        <v>8603916.2654006407</v>
      </c>
      <c r="K64" s="176">
        <f t="shared" si="7"/>
        <v>8603916.2654006407</v>
      </c>
      <c r="L64" s="163">
        <f t="shared" si="8"/>
        <v>0</v>
      </c>
      <c r="N64" s="163"/>
      <c r="O64" s="163"/>
    </row>
    <row r="65" spans="3:15" x14ac:dyDescent="0.25">
      <c r="C65" s="171" t="s">
        <v>243</v>
      </c>
      <c r="D65" s="11">
        <f>'Total REC Deliveries'!T38</f>
        <v>1227891.6081590303</v>
      </c>
      <c r="E65" s="11">
        <f>'Total REC Deliveries'!S38</f>
        <v>2047897.6615954973</v>
      </c>
      <c r="F65" s="11">
        <f>'Total REC Deliveries'!T66</f>
        <v>2768379.1225437988</v>
      </c>
      <c r="G65" s="11">
        <f>'Total REC Deliveries'!S66</f>
        <v>5339967.3283717064</v>
      </c>
      <c r="H65" s="11">
        <f>'Total REC Deliveries'!T94</f>
        <v>7197.4336807325408</v>
      </c>
      <c r="I65" s="11">
        <f>'Total REC Deliveries'!S94</f>
        <v>34791.012801353259</v>
      </c>
      <c r="J65" s="163">
        <f t="shared" si="6"/>
        <v>11426124.167152118</v>
      </c>
      <c r="K65" s="176">
        <f t="shared" si="7"/>
        <v>11426124.167152118</v>
      </c>
      <c r="L65" s="163">
        <f t="shared" si="8"/>
        <v>0</v>
      </c>
      <c r="N65" s="163"/>
      <c r="O65" s="163"/>
    </row>
    <row r="66" spans="3:15" x14ac:dyDescent="0.25">
      <c r="C66" s="171" t="s">
        <v>244</v>
      </c>
      <c r="D66" s="11">
        <f>'Total REC Deliveries'!T39</f>
        <v>1373871.7509884203</v>
      </c>
      <c r="E66" s="11">
        <f>'Total REC Deliveries'!S39</f>
        <v>2384442.6140382569</v>
      </c>
      <c r="F66" s="11">
        <f>'Total REC Deliveries'!T67</f>
        <v>3123926.8461637422</v>
      </c>
      <c r="G66" s="11">
        <f>'Total REC Deliveries'!S67</f>
        <v>6254703.4944928018</v>
      </c>
      <c r="H66" s="11">
        <f>'Total REC Deliveries'!T95</f>
        <v>9719.7534642760329</v>
      </c>
      <c r="I66" s="11">
        <f>'Total REC Deliveries'!S95</f>
        <v>36422.079082956443</v>
      </c>
      <c r="J66" s="163">
        <f t="shared" si="6"/>
        <v>13183086.538230453</v>
      </c>
      <c r="K66" s="176">
        <f t="shared" si="7"/>
        <v>13183086.538230455</v>
      </c>
      <c r="L66" s="163">
        <f t="shared" si="8"/>
        <v>0</v>
      </c>
      <c r="N66" s="163"/>
      <c r="O66" s="163"/>
    </row>
    <row r="67" spans="3:15" x14ac:dyDescent="0.25">
      <c r="C67" s="171" t="s">
        <v>245</v>
      </c>
      <c r="D67" s="11">
        <f>'Total REC Deliveries'!T40</f>
        <v>1730290.4504685705</v>
      </c>
      <c r="E67" s="11">
        <f>'Total REC Deliveries'!S40</f>
        <v>2835523.9851188464</v>
      </c>
      <c r="F67" s="11">
        <f>'Total REC Deliveries'!T68</f>
        <v>3992016.538361487</v>
      </c>
      <c r="G67" s="11">
        <f>'Total REC Deliveries'!S68</f>
        <v>7350841.9909022236</v>
      </c>
      <c r="H67" s="11">
        <f>'Total REC Deliveries'!T96</f>
        <v>15878.138567202723</v>
      </c>
      <c r="I67" s="11">
        <f>'Total REC Deliveries'!S96</f>
        <v>44228.352781300171</v>
      </c>
      <c r="J67" s="163">
        <f t="shared" si="6"/>
        <v>15968779.456199627</v>
      </c>
      <c r="K67" s="176">
        <f t="shared" si="7"/>
        <v>15968779.456199629</v>
      </c>
      <c r="L67" s="163">
        <f t="shared" si="8"/>
        <v>0</v>
      </c>
      <c r="N67" s="163"/>
      <c r="O67" s="163"/>
    </row>
    <row r="68" spans="3:15" x14ac:dyDescent="0.25">
      <c r="C68" s="171" t="s">
        <v>246</v>
      </c>
      <c r="D68" s="11">
        <f>'Total REC Deliveries'!T41</f>
        <v>2105175.2912540259</v>
      </c>
      <c r="E68" s="11">
        <f>'Total REC Deliveries'!S41</f>
        <v>3646399.6510069082</v>
      </c>
      <c r="F68" s="11">
        <f>'Total REC Deliveries'!T69</f>
        <v>4905082.1730257273</v>
      </c>
      <c r="G68" s="11">
        <f>'Total REC Deliveries'!S69</f>
        <v>9323273.5600138102</v>
      </c>
      <c r="H68" s="11">
        <f>'Total REC Deliveries'!T97</f>
        <v>22355.591131205379</v>
      </c>
      <c r="I68" s="11">
        <f>'Total REC Deliveries'!S97</f>
        <v>58246.17918967177</v>
      </c>
      <c r="J68" s="163">
        <f>SUM(D68:I68)</f>
        <v>20060532.445621349</v>
      </c>
      <c r="K68" s="176">
        <f t="shared" si="7"/>
        <v>20060532.445621349</v>
      </c>
      <c r="L68" s="163">
        <f t="shared" si="8"/>
        <v>0</v>
      </c>
      <c r="N68" s="163"/>
      <c r="O68" s="163"/>
    </row>
    <row r="69" spans="3:15" x14ac:dyDescent="0.25">
      <c r="C69" s="171" t="s">
        <v>247</v>
      </c>
      <c r="D69" s="11">
        <f>'Total REC Deliveries'!T42</f>
        <v>2269042.3387113428</v>
      </c>
      <c r="E69" s="11">
        <f>'Total REC Deliveries'!S42</f>
        <v>3831912.7717743916</v>
      </c>
      <c r="F69" s="11">
        <f>'Total REC Deliveries'!T70</f>
        <v>5304195.0562612442</v>
      </c>
      <c r="G69" s="11">
        <f>'Total REC Deliveries'!S70</f>
        <v>9772785.7705099545</v>
      </c>
      <c r="H69" s="11">
        <f>'Total REC Deliveries'!T98</f>
        <v>25186.970027412608</v>
      </c>
      <c r="I69" s="11">
        <f>'Total REC Deliveries'!S98</f>
        <v>61459.757176761093</v>
      </c>
      <c r="J69" s="163">
        <f t="shared" si="6"/>
        <v>21264582.664461106</v>
      </c>
      <c r="K69" s="176">
        <f t="shared" si="7"/>
        <v>21264582.664461106</v>
      </c>
      <c r="L69" s="163">
        <f t="shared" si="8"/>
        <v>0</v>
      </c>
      <c r="N69" s="163"/>
      <c r="O69" s="163"/>
    </row>
    <row r="70" spans="3:15" x14ac:dyDescent="0.25">
      <c r="C70" s="171" t="s">
        <v>248</v>
      </c>
      <c r="D70" s="11">
        <f>'Total REC Deliveries'!T43</f>
        <v>2269042.3387113428</v>
      </c>
      <c r="E70" s="11">
        <f>'Total REC Deliveries'!S43</f>
        <v>3816949.9347044686</v>
      </c>
      <c r="F70" s="11">
        <f>'Total REC Deliveries'!T71</f>
        <v>5304195.0562612442</v>
      </c>
      <c r="G70" s="11">
        <f>'Total REC Deliveries'!S71</f>
        <v>9733929.9862828106</v>
      </c>
      <c r="H70" s="11">
        <f>'Total REC Deliveries'!T99</f>
        <v>25186.970027412608</v>
      </c>
      <c r="I70" s="11">
        <f>'Total REC Deliveries'!S99</f>
        <v>61207.423861517127</v>
      </c>
      <c r="J70" s="163">
        <f t="shared" si="6"/>
        <v>21210511.709848799</v>
      </c>
      <c r="K70" s="176">
        <f t="shared" si="7"/>
        <v>21210511.709848795</v>
      </c>
      <c r="L70" s="163">
        <f t="shared" si="8"/>
        <v>0</v>
      </c>
      <c r="N70" s="163"/>
      <c r="O70" s="163"/>
    </row>
    <row r="71" spans="3:15" x14ac:dyDescent="0.25">
      <c r="C71" s="30" t="s">
        <v>249</v>
      </c>
      <c r="D71" s="11">
        <f>'Total REC Deliveries'!T44</f>
        <v>2269042.3387113428</v>
      </c>
      <c r="E71" s="11">
        <f>'Total REC Deliveries'!S44</f>
        <v>3801651.3364424463</v>
      </c>
      <c r="F71" s="11">
        <f>'Total REC Deliveries'!T72</f>
        <v>5304195.0562612442</v>
      </c>
      <c r="G71" s="11">
        <f>'Total REC Deliveries'!S72</f>
        <v>9694250.7563513964</v>
      </c>
      <c r="H71" s="11">
        <f>'Total REC Deliveries'!T100</f>
        <v>25186.970027412608</v>
      </c>
      <c r="I71" s="11">
        <f>'Total REC Deliveries'!S100</f>
        <v>60957.993203709528</v>
      </c>
      <c r="J71" s="163">
        <f t="shared" si="6"/>
        <v>21155284.450997554</v>
      </c>
      <c r="K71" s="176">
        <f t="shared" si="7"/>
        <v>21155284.450997554</v>
      </c>
      <c r="L71" s="163">
        <f t="shared" si="8"/>
        <v>0</v>
      </c>
      <c r="N71" s="163"/>
      <c r="O71" s="163"/>
    </row>
    <row r="72" spans="3:15" x14ac:dyDescent="0.25">
      <c r="C72" s="171" t="s">
        <v>250</v>
      </c>
      <c r="D72" s="11">
        <f>'Total REC Deliveries'!T45</f>
        <v>1669042.338711343</v>
      </c>
      <c r="E72" s="11">
        <f>'Total REC Deliveries'!S45</f>
        <v>3786238.0861717346</v>
      </c>
      <c r="F72" s="11">
        <f>'Total REC Deliveries'!T73</f>
        <v>4042470.0562612442</v>
      </c>
      <c r="G72" s="11">
        <f>'Total REC Deliveries'!S73</f>
        <v>9654572.79756964</v>
      </c>
      <c r="H72" s="11">
        <f>'Total REC Deliveries'!T101</f>
        <v>25186.970027412608</v>
      </c>
      <c r="I72" s="11">
        <f>'Total REC Deliveries'!S101</f>
        <v>60694.259699190989</v>
      </c>
      <c r="J72" s="163">
        <f t="shared" si="6"/>
        <v>19238204.508440569</v>
      </c>
      <c r="K72" s="176">
        <f t="shared" si="7"/>
        <v>19238204.508440565</v>
      </c>
      <c r="L72" s="163">
        <f t="shared" si="8"/>
        <v>0</v>
      </c>
      <c r="N72" s="163"/>
      <c r="O72" s="163"/>
    </row>
    <row r="73" spans="3:15" x14ac:dyDescent="0.25">
      <c r="C73" s="171" t="s">
        <v>251</v>
      </c>
      <c r="D73" s="11">
        <f>'Total REC Deliveries'!T46</f>
        <v>1542923.338711343</v>
      </c>
      <c r="E73" s="11">
        <f>'Total REC Deliveries'!S46</f>
        <v>3770175.9821523759</v>
      </c>
      <c r="F73" s="11">
        <f>'Total REC Deliveries'!T74</f>
        <v>3740008.0562612442</v>
      </c>
      <c r="G73" s="11">
        <f>'Total REC Deliveries'!S74</f>
        <v>9614847.6185817905</v>
      </c>
      <c r="H73" s="11">
        <f>'Total REC Deliveries'!T102</f>
        <v>23767.970027412608</v>
      </c>
      <c r="I73" s="11">
        <f>'Total REC Deliveries'!S102</f>
        <v>60431.219862195045</v>
      </c>
      <c r="J73" s="163">
        <f t="shared" si="6"/>
        <v>18752154.185596362</v>
      </c>
      <c r="K73" s="176">
        <f t="shared" si="7"/>
        <v>18752154.185596362</v>
      </c>
      <c r="L73" s="163">
        <f t="shared" si="8"/>
        <v>0</v>
      </c>
      <c r="N73" s="163"/>
      <c r="O73" s="163"/>
    </row>
    <row r="74" spans="3:15" x14ac:dyDescent="0.25">
      <c r="C74" s="171" t="s">
        <v>252</v>
      </c>
      <c r="D74" s="11">
        <f>'Total REC Deliveries'!T47</f>
        <v>1542923.338711343</v>
      </c>
      <c r="E74" s="11">
        <f>'Total REC Deliveries'!S47</f>
        <v>3555341.823653114</v>
      </c>
      <c r="F74" s="11">
        <f>'Total REC Deliveries'!T75</f>
        <v>3740008.0562612442</v>
      </c>
      <c r="G74" s="11">
        <f>'Total REC Deliveries'!S75</f>
        <v>9137258.7304888815</v>
      </c>
      <c r="H74" s="11">
        <f>'Total REC Deliveries'!T103</f>
        <v>23767.970027412608</v>
      </c>
      <c r="I74" s="11">
        <f>'Total REC Deliveries'!S103</f>
        <v>59782.870224384067</v>
      </c>
      <c r="J74" s="163">
        <f t="shared" si="6"/>
        <v>18059082.789366379</v>
      </c>
      <c r="K74" s="176">
        <f t="shared" si="7"/>
        <v>18059082.789366379</v>
      </c>
      <c r="L74" s="163">
        <f t="shared" si="8"/>
        <v>0</v>
      </c>
      <c r="N74" s="163"/>
      <c r="O74" s="163"/>
    </row>
    <row r="75" spans="3:15" x14ac:dyDescent="0.25">
      <c r="C75" s="171" t="s">
        <v>253</v>
      </c>
      <c r="D75" s="11">
        <f>'Total REC Deliveries'!T48</f>
        <v>1454933.338711343</v>
      </c>
      <c r="E75" s="11">
        <f>'Total REC Deliveries'!S48</f>
        <v>3700749.4109463487</v>
      </c>
      <c r="F75" s="11">
        <f>'Total REC Deliveries'!T76</f>
        <v>3528988.0562612442</v>
      </c>
      <c r="G75" s="11">
        <f>'Total REC Deliveries'!S76</f>
        <v>9463848.6468364373</v>
      </c>
      <c r="H75" s="11">
        <f>'Total REC Deliveries'!T104</f>
        <v>22777.970027412608</v>
      </c>
      <c r="I75" s="11">
        <f>'Total REC Deliveries'!S104</f>
        <v>60042.207334762141</v>
      </c>
      <c r="J75" s="163">
        <f t="shared" si="6"/>
        <v>18231339.630117547</v>
      </c>
      <c r="K75" s="176">
        <f t="shared" si="7"/>
        <v>18231339.63011755</v>
      </c>
      <c r="L75" s="163">
        <f t="shared" si="8"/>
        <v>0</v>
      </c>
      <c r="N75" s="163"/>
      <c r="O75" s="163"/>
    </row>
    <row r="76" spans="3:15" x14ac:dyDescent="0.25">
      <c r="C76" s="171" t="s">
        <v>254</v>
      </c>
      <c r="D76" s="11">
        <f>'Total REC Deliveries'!T49</f>
        <v>1063226.338711343</v>
      </c>
      <c r="E76" s="11">
        <f>'Total REC Deliveries'!S49</f>
        <v>2849587.263003116</v>
      </c>
      <c r="F76" s="11">
        <f>'Total REC Deliveries'!T77</f>
        <v>2589583.0562612442</v>
      </c>
      <c r="G76" s="11">
        <f>'Total REC Deliveries'!S77</f>
        <v>7420426.883602256</v>
      </c>
      <c r="H76" s="11">
        <f>'Total REC Deliveries'!T105</f>
        <v>18370.970027412608</v>
      </c>
      <c r="I76" s="11">
        <f>'Total REC Deliveries'!S105</f>
        <v>50183.935459588334</v>
      </c>
      <c r="J76" s="163">
        <f t="shared" si="6"/>
        <v>13991378.44706496</v>
      </c>
      <c r="K76" s="176">
        <f t="shared" si="7"/>
        <v>13991378.44706496</v>
      </c>
      <c r="L76" s="163">
        <f t="shared" si="8"/>
        <v>0</v>
      </c>
      <c r="N76" s="163"/>
      <c r="O76" s="163"/>
    </row>
    <row r="77" spans="3:15" x14ac:dyDescent="0.25">
      <c r="C77" s="171" t="s">
        <v>255</v>
      </c>
      <c r="D77" s="11">
        <f>'Total REC Deliveries'!T50</f>
        <v>1063226.338711343</v>
      </c>
      <c r="E77" s="11">
        <f>'Total REC Deliveries'!S50</f>
        <v>2791763.7466881014</v>
      </c>
      <c r="F77" s="11">
        <f>'Total REC Deliveries'!T78</f>
        <v>2589583.0562612442</v>
      </c>
      <c r="G77" s="11">
        <f>'Total REC Deliveries'!S78</f>
        <v>7241312.9591842443</v>
      </c>
      <c r="H77" s="11">
        <f>'Total REC Deliveries'!T106</f>
        <v>18370.970027412608</v>
      </c>
      <c r="I77" s="11">
        <f>'Total REC Deliveries'!S106</f>
        <v>49190.635782290396</v>
      </c>
      <c r="J77" s="163">
        <f t="shared" si="6"/>
        <v>13753447.706654636</v>
      </c>
      <c r="K77" s="176">
        <f t="shared" si="7"/>
        <v>13753447.706654636</v>
      </c>
      <c r="L77" s="163">
        <f t="shared" si="8"/>
        <v>0</v>
      </c>
      <c r="N77" s="163"/>
      <c r="O77" s="163"/>
    </row>
    <row r="78" spans="3:15" x14ac:dyDescent="0.25">
      <c r="C78" s="171" t="s">
        <v>256</v>
      </c>
      <c r="D78" s="11">
        <f>'Total REC Deliveries'!T51</f>
        <v>1063226.338711343</v>
      </c>
      <c r="E78" s="11">
        <f>'Total REC Deliveries'!S51</f>
        <v>2723355.3829546603</v>
      </c>
      <c r="F78" s="11">
        <f>'Total REC Deliveries'!T79</f>
        <v>2589583.0562612442</v>
      </c>
      <c r="G78" s="11">
        <f>'Total REC Deliveries'!S79</f>
        <v>6912137.3943883227</v>
      </c>
      <c r="H78" s="11">
        <f>'Total REC Deliveries'!T107</f>
        <v>18370.970027412608</v>
      </c>
      <c r="I78" s="11">
        <f>'Total REC Deliveries'!S107</f>
        <v>41450.012603378935</v>
      </c>
      <c r="J78" s="163">
        <f t="shared" si="6"/>
        <v>13348123.154946364</v>
      </c>
      <c r="K78" s="176">
        <f t="shared" si="7"/>
        <v>13348123.154946363</v>
      </c>
      <c r="L78" s="163">
        <f t="shared" si="8"/>
        <v>0</v>
      </c>
      <c r="N78" s="163"/>
      <c r="O78" s="163"/>
    </row>
    <row r="79" spans="3:15" x14ac:dyDescent="0.25">
      <c r="C79" s="171" t="s">
        <v>257</v>
      </c>
      <c r="D79" s="11">
        <f>'Total REC Deliveries'!T52</f>
        <v>1063226.338711343</v>
      </c>
      <c r="E79" s="11">
        <f>'Total REC Deliveries'!S52</f>
        <v>2668228.9760398874</v>
      </c>
      <c r="F79" s="11">
        <f>'Total REC Deliveries'!T80</f>
        <v>2589583.0562612442</v>
      </c>
      <c r="G79" s="11">
        <f>'Total REC Deliveries'!S80</f>
        <v>6514220.7124163806</v>
      </c>
      <c r="H79" s="11">
        <f>'Total REC Deliveries'!T108</f>
        <v>18370.970027412608</v>
      </c>
      <c r="I79" s="11">
        <f>'Total REC Deliveries'!S108</f>
        <v>32151.062540362047</v>
      </c>
      <c r="J79" s="163">
        <f t="shared" si="6"/>
        <v>12885781.115996631</v>
      </c>
      <c r="K79" s="176">
        <f t="shared" si="7"/>
        <v>12885781.115996631</v>
      </c>
      <c r="L79" s="163">
        <f t="shared" si="8"/>
        <v>0</v>
      </c>
      <c r="N79" s="163"/>
      <c r="O79" s="163"/>
    </row>
    <row r="80" spans="3:15" x14ac:dyDescent="0.25">
      <c r="C80" s="171" t="s">
        <v>258</v>
      </c>
      <c r="D80" s="11">
        <f>'Total REC Deliveries'!T53</f>
        <v>1063226.338711343</v>
      </c>
      <c r="E80" s="11">
        <f>'Total REC Deliveries'!S53</f>
        <v>2415755.3311596881</v>
      </c>
      <c r="F80" s="11">
        <f>'Total REC Deliveries'!T81</f>
        <v>2589583.0562612442</v>
      </c>
      <c r="G80" s="11">
        <f>'Total REC Deliveries'!S81</f>
        <v>5719676.4388542995</v>
      </c>
      <c r="H80" s="11">
        <f>'Total REC Deliveries'!T109</f>
        <v>18370.970027412608</v>
      </c>
      <c r="I80" s="11">
        <f>'Total REC Deliveries'!S109</f>
        <v>26522.782227660235</v>
      </c>
      <c r="J80" s="163">
        <f t="shared" si="6"/>
        <v>11833134.917241648</v>
      </c>
      <c r="K80" s="176">
        <f t="shared" si="7"/>
        <v>11833134.917241646</v>
      </c>
      <c r="L80" s="163">
        <f t="shared" si="8"/>
        <v>0</v>
      </c>
      <c r="N80" s="163"/>
      <c r="O80" s="163"/>
    </row>
    <row r="81" spans="2:16" x14ac:dyDescent="0.25">
      <c r="C81" s="171" t="s">
        <v>259</v>
      </c>
      <c r="D81" s="11">
        <f>'Total REC Deliveries'!T54</f>
        <v>1063226.338711343</v>
      </c>
      <c r="E81" s="11">
        <f>'Total REC Deliveries'!S54</f>
        <v>2385623.254503889</v>
      </c>
      <c r="F81" s="11">
        <f>'Total REC Deliveries'!T82</f>
        <v>2589583.0562612442</v>
      </c>
      <c r="G81" s="11">
        <f>'Total REC Deliveries'!S82</f>
        <v>5578212.1016600272</v>
      </c>
      <c r="H81" s="11">
        <f>'Total REC Deliveries'!T110</f>
        <v>18370.970027412608</v>
      </c>
      <c r="I81" s="11">
        <f>'Total REC Deliveries'!S110</f>
        <v>26390.168316521929</v>
      </c>
      <c r="J81" s="163">
        <f t="shared" si="6"/>
        <v>11661405.88948044</v>
      </c>
      <c r="K81" s="176">
        <f t="shared" si="7"/>
        <v>11661405.889480438</v>
      </c>
      <c r="L81" s="163">
        <f t="shared" si="8"/>
        <v>0</v>
      </c>
      <c r="N81" s="163"/>
      <c r="O81" s="163"/>
    </row>
    <row r="82" spans="2:16" x14ac:dyDescent="0.25">
      <c r="C82" s="171" t="s">
        <v>260</v>
      </c>
      <c r="D82" s="11">
        <f>'Total REC Deliveries'!T55</f>
        <v>1063226.338711343</v>
      </c>
      <c r="E82" s="11">
        <f>'Total REC Deliveries'!S55</f>
        <v>2373652.5532313697</v>
      </c>
      <c r="F82" s="11">
        <f>'Total REC Deliveries'!T83</f>
        <v>2589583.0562612442</v>
      </c>
      <c r="G82" s="11">
        <f>'Total REC Deliveries'!S83</f>
        <v>5550206.231151728</v>
      </c>
      <c r="H82" s="11">
        <f>'Total REC Deliveries'!T111</f>
        <v>18370.970027412608</v>
      </c>
      <c r="I82" s="11">
        <f>'Total REC Deliveries'!S111</f>
        <v>26258.21747493932</v>
      </c>
      <c r="J82" s="163">
        <f t="shared" si="6"/>
        <v>11621297.366858037</v>
      </c>
      <c r="K82" s="176">
        <f t="shared" si="7"/>
        <v>11621297.366858037</v>
      </c>
      <c r="L82" s="163">
        <f t="shared" si="8"/>
        <v>0</v>
      </c>
    </row>
    <row r="83" spans="2:16" x14ac:dyDescent="0.25">
      <c r="D83" s="32"/>
      <c r="E83" s="32"/>
      <c r="F83" s="32"/>
      <c r="G83" s="32"/>
      <c r="H83" s="32"/>
      <c r="I83" s="32"/>
      <c r="K83" s="163"/>
    </row>
    <row r="84" spans="2:16" x14ac:dyDescent="0.25">
      <c r="B84" s="31" t="s">
        <v>271</v>
      </c>
      <c r="K84" s="163"/>
      <c r="L84" s="163"/>
      <c r="M84" s="163"/>
      <c r="N84" s="163"/>
      <c r="O84" s="163"/>
      <c r="P84" s="34"/>
    </row>
    <row r="85" spans="2:16" x14ac:dyDescent="0.25">
      <c r="K85" s="163"/>
      <c r="L85" s="163"/>
      <c r="M85" s="163"/>
      <c r="N85" s="163"/>
      <c r="O85" s="163"/>
      <c r="P85" s="34"/>
    </row>
    <row r="86" spans="2:16" ht="30" x14ac:dyDescent="0.25">
      <c r="C86" s="13" t="s">
        <v>1</v>
      </c>
      <c r="D86" s="13" t="s">
        <v>272</v>
      </c>
      <c r="E86" s="13" t="s">
        <v>273</v>
      </c>
      <c r="F86" s="13" t="s">
        <v>274</v>
      </c>
      <c r="G86" s="13" t="s">
        <v>201</v>
      </c>
      <c r="H86" s="13" t="s">
        <v>275</v>
      </c>
      <c r="I86" s="13" t="s">
        <v>202</v>
      </c>
      <c r="J86" s="13" t="s">
        <v>276</v>
      </c>
      <c r="K86" s="13" t="s">
        <v>277</v>
      </c>
      <c r="L86" s="13" t="s">
        <v>278</v>
      </c>
      <c r="M86" s="13" t="s">
        <v>279</v>
      </c>
      <c r="N86" s="163"/>
      <c r="O86" s="34"/>
    </row>
    <row r="87" spans="2:16" hidden="1" x14ac:dyDescent="0.25">
      <c r="C87" s="171" t="s">
        <v>238</v>
      </c>
      <c r="D87" s="11">
        <f>'Total REC Deliveries'!I4+'Total REC Deliveries'!J4</f>
        <v>1861725</v>
      </c>
      <c r="E87" s="11">
        <f>'Total REC Deliveries'!H4</f>
        <v>660707</v>
      </c>
      <c r="F87" s="35">
        <f>'Total REC Deliveries'!L4+'Total REC Deliveries'!M4</f>
        <v>754313.29229999997</v>
      </c>
      <c r="G87" s="11">
        <f>'Total REC Deliveries'!AE3</f>
        <v>0</v>
      </c>
      <c r="H87" s="11">
        <f>'Total REC Deliveries'!N4+'Total REC Deliveries'!O4+'Total REC Deliveries'!P4</f>
        <v>0</v>
      </c>
      <c r="I87" s="11">
        <f>'Total REC Deliveries'!Q4</f>
        <v>58271.600000000006</v>
      </c>
      <c r="J87" s="26">
        <f>SUM(D87:I87)</f>
        <v>3335016.8922999999</v>
      </c>
      <c r="K87" s="11">
        <f>'Collections and ACP'!F7</f>
        <v>21149182.158790033</v>
      </c>
      <c r="L87" s="36">
        <f t="shared" ref="L87:L109" si="9">K87-J87</f>
        <v>17814165.266490035</v>
      </c>
      <c r="M87" s="96">
        <f>1-(L87/K87)</f>
        <v>0.15769011147856127</v>
      </c>
      <c r="N87" s="163"/>
      <c r="O87" s="34"/>
    </row>
    <row r="88" spans="2:16" hidden="1" x14ac:dyDescent="0.25">
      <c r="C88" s="171" t="s">
        <v>239</v>
      </c>
      <c r="D88" s="11">
        <f>'Total REC Deliveries'!I5+'Total REC Deliveries'!J5</f>
        <v>1861725</v>
      </c>
      <c r="E88" s="11">
        <f>'Total REC Deliveries'!H5</f>
        <v>1043877</v>
      </c>
      <c r="F88" s="35">
        <f>'Total REC Deliveries'!L5+'Total REC Deliveries'!M5</f>
        <v>2992839.5745999999</v>
      </c>
      <c r="G88" s="11">
        <f>'Total REC Deliveries'!AE4</f>
        <v>0</v>
      </c>
      <c r="H88" s="11">
        <f>'Total REC Deliveries'!N5+'Total REC Deliveries'!O5+'Total REC Deliveries'!P5</f>
        <v>0</v>
      </c>
      <c r="I88" s="11">
        <f>'Total REC Deliveries'!Q5</f>
        <v>65181.53333333334</v>
      </c>
      <c r="J88" s="26">
        <f t="shared" ref="J88:J109" si="10">SUM(D88:I88)</f>
        <v>5963623.1079333331</v>
      </c>
      <c r="K88" s="11">
        <f>'Collections and ACP'!F8</f>
        <v>22785452.684823208</v>
      </c>
      <c r="L88" s="36">
        <f t="shared" si="9"/>
        <v>16821829.576889873</v>
      </c>
      <c r="M88" s="96">
        <f t="shared" ref="M88:M109" si="11">1-(L88/K88)</f>
        <v>0.26172941088440815</v>
      </c>
      <c r="N88" s="163"/>
      <c r="O88" s="34"/>
    </row>
    <row r="89" spans="2:16" hidden="1" x14ac:dyDescent="0.25">
      <c r="C89" s="171" t="s">
        <v>240</v>
      </c>
      <c r="D89" s="11">
        <f>'Total REC Deliveries'!I6+'Total REC Deliveries'!J6</f>
        <v>1861725</v>
      </c>
      <c r="E89" s="11">
        <f>'Total REC Deliveries'!H6</f>
        <v>1242864</v>
      </c>
      <c r="F89" s="35">
        <f>'Total REC Deliveries'!L6+'Total REC Deliveries'!M6</f>
        <v>4061148.5745999999</v>
      </c>
      <c r="G89" s="11">
        <f>'Total REC Deliveries'!AE5</f>
        <v>0</v>
      </c>
      <c r="H89" s="11">
        <f>'Total REC Deliveries'!N6+'Total REC Deliveries'!O6+'Total REC Deliveries'!P6</f>
        <v>0</v>
      </c>
      <c r="I89" s="11">
        <f>'Total REC Deliveries'!Q6</f>
        <v>64855.625666666674</v>
      </c>
      <c r="J89" s="26">
        <f t="shared" si="10"/>
        <v>7230593.2002666667</v>
      </c>
      <c r="K89" s="11">
        <f>'Collections and ACP'!F9</f>
        <v>24661977.142367411</v>
      </c>
      <c r="L89" s="36">
        <f t="shared" si="9"/>
        <v>17431383.942100745</v>
      </c>
      <c r="M89" s="96">
        <f t="shared" si="11"/>
        <v>0.29318789643369891</v>
      </c>
      <c r="N89" s="163"/>
      <c r="O89" s="34"/>
    </row>
    <row r="90" spans="2:16" x14ac:dyDescent="0.25">
      <c r="C90" s="171" t="s">
        <v>241</v>
      </c>
      <c r="D90" s="11">
        <f>'Total REC Deliveries'!I7+'Total REC Deliveries'!J7</f>
        <v>1861725</v>
      </c>
      <c r="E90" s="11">
        <f>'Total REC Deliveries'!H7</f>
        <v>1760478</v>
      </c>
      <c r="F90" s="35">
        <f>'Total REC Deliveries'!L7+'Total REC Deliveries'!M7</f>
        <v>4061148.5745999999</v>
      </c>
      <c r="G90" s="11">
        <f>'Total REC Deliveries'!AE6</f>
        <v>0</v>
      </c>
      <c r="H90" s="11">
        <f>'Total REC Deliveries'!N7+'Total REC Deliveries'!O7+'Total REC Deliveries'!P7</f>
        <v>0</v>
      </c>
      <c r="I90" s="11">
        <f>'Total REC Deliveries'!Q7</f>
        <v>64531.347538333343</v>
      </c>
      <c r="J90" s="26">
        <f t="shared" si="10"/>
        <v>7747882.9221383333</v>
      </c>
      <c r="K90" s="11">
        <f>'Collections and ACP'!F10</f>
        <v>26022605.388141267</v>
      </c>
      <c r="L90" s="36">
        <f t="shared" si="9"/>
        <v>18274722.466002934</v>
      </c>
      <c r="M90" s="295">
        <f t="shared" si="11"/>
        <v>0.2977366334605801</v>
      </c>
      <c r="N90" s="163"/>
      <c r="O90" s="34"/>
    </row>
    <row r="91" spans="2:16" x14ac:dyDescent="0.25">
      <c r="C91" s="171" t="s">
        <v>242</v>
      </c>
      <c r="D91" s="11">
        <f>'Total REC Deliveries'!I8+'Total REC Deliveries'!J8</f>
        <v>1861725</v>
      </c>
      <c r="E91" s="11">
        <f>'Total REC Deliveries'!H8</f>
        <v>2616834</v>
      </c>
      <c r="F91" s="35">
        <f>'Total REC Deliveries'!L8+'Total REC Deliveries'!M8</f>
        <v>4061148.5745999999</v>
      </c>
      <c r="G91" s="11">
        <f>'Total REC Deliveries'!AE7</f>
        <v>0</v>
      </c>
      <c r="H91" s="11">
        <f>'Total REC Deliveries'!N8+'Total REC Deliveries'!O8+'Total REC Deliveries'!P8</f>
        <v>0</v>
      </c>
      <c r="I91" s="11">
        <f>'Total REC Deliveries'!Q8</f>
        <v>64208.690800641678</v>
      </c>
      <c r="J91" s="26">
        <f t="shared" si="10"/>
        <v>8603916.2654006425</v>
      </c>
      <c r="K91" s="11">
        <f>'Collections and ACP'!F11</f>
        <v>27600405.588387385</v>
      </c>
      <c r="L91" s="36">
        <f t="shared" si="9"/>
        <v>18996489.322986744</v>
      </c>
      <c r="M91" s="295">
        <f t="shared" si="11"/>
        <v>0.3117315156057221</v>
      </c>
      <c r="N91" s="163"/>
      <c r="O91" s="34"/>
    </row>
    <row r="92" spans="2:16" x14ac:dyDescent="0.25">
      <c r="C92" s="171" t="s">
        <v>243</v>
      </c>
      <c r="D92" s="11">
        <f>'Total REC Deliveries'!I9+'Total REC Deliveries'!J9</f>
        <v>1861725</v>
      </c>
      <c r="E92" s="11">
        <f>'Total REC Deliveries'!H9</f>
        <v>4683226</v>
      </c>
      <c r="F92" s="35">
        <f>'Total REC Deliveries'!L9+'Total REC Deliveries'!M9</f>
        <v>4631147.5745999999</v>
      </c>
      <c r="G92" s="11">
        <f>'Total REC Deliveries'!AE8</f>
        <v>379110</v>
      </c>
      <c r="H92" s="11">
        <f>'Total REC Deliveries'!N9+'Total REC Deliveries'!O9+'Total REC Deliveries'!P9</f>
        <v>186137.94520547945</v>
      </c>
      <c r="I92" s="11">
        <f>'Total REC Deliveries'!Q9</f>
        <v>63887.64734663847</v>
      </c>
      <c r="J92" s="26">
        <f t="shared" si="10"/>
        <v>11805234.167152118</v>
      </c>
      <c r="K92" s="11">
        <f>'Collections and ACP'!F12</f>
        <v>29269236.747776389</v>
      </c>
      <c r="L92" s="36">
        <f t="shared" si="9"/>
        <v>17464002.580624271</v>
      </c>
      <c r="M92" s="295">
        <f t="shared" si="11"/>
        <v>0.40333249100009316</v>
      </c>
      <c r="N92" s="163"/>
      <c r="O92" s="34"/>
    </row>
    <row r="93" spans="2:16" x14ac:dyDescent="0.25">
      <c r="C93" s="171" t="s">
        <v>244</v>
      </c>
      <c r="D93" s="11">
        <f>'Total REC Deliveries'!I10+'Total REC Deliveries'!J10</f>
        <v>1861725</v>
      </c>
      <c r="E93" s="11">
        <f>'Total REC Deliveries'!H10</f>
        <v>5585213</v>
      </c>
      <c r="F93" s="35">
        <f>'Total REC Deliveries'!L10+'Total REC Deliveries'!M10</f>
        <v>4631147.5745999999</v>
      </c>
      <c r="G93" s="11">
        <f>'Total REC Deliveries'!AE9</f>
        <v>379110</v>
      </c>
      <c r="H93" s="11">
        <f>'Total REC Deliveries'!N10+'Total REC Deliveries'!O10+'Total REC Deliveries'!P10</f>
        <v>1041432.7545205479</v>
      </c>
      <c r="I93" s="11">
        <f>'Total REC Deliveries'!Q10</f>
        <v>63568.209109905278</v>
      </c>
      <c r="J93" s="26">
        <f t="shared" si="10"/>
        <v>13562196.538230455</v>
      </c>
      <c r="K93" s="11">
        <f>'Collections and ACP'!F13</f>
        <v>32647446.76482071</v>
      </c>
      <c r="L93" s="36">
        <f t="shared" si="9"/>
        <v>19085250.226590253</v>
      </c>
      <c r="M93" s="295">
        <f t="shared" si="11"/>
        <v>0.41541369638879133</v>
      </c>
      <c r="O93" s="34"/>
    </row>
    <row r="94" spans="2:16" x14ac:dyDescent="0.25">
      <c r="C94" s="171" t="s">
        <v>245</v>
      </c>
      <c r="D94" s="11">
        <f>'Total REC Deliveries'!I11+'Total REC Deliveries'!J11</f>
        <v>1861725</v>
      </c>
      <c r="E94" s="11">
        <f>'Total REC Deliveries'!H11</f>
        <v>5557084</v>
      </c>
      <c r="F94" s="35">
        <f>'Total REC Deliveries'!L11+'Total REC Deliveries'!M11</f>
        <v>4631147.5745999999</v>
      </c>
      <c r="G94" s="11">
        <f>'Total REC Deliveries'!AE10</f>
        <v>379110</v>
      </c>
      <c r="H94" s="11">
        <f>'Total REC Deliveries'!N11+'Total REC Deliveries'!O11+'Total REC Deliveries'!P11</f>
        <v>3855572.5135352742</v>
      </c>
      <c r="I94" s="11">
        <f>'Total REC Deliveries'!Q11</f>
        <v>63250.368064355753</v>
      </c>
      <c r="J94" s="26">
        <f t="shared" si="10"/>
        <v>16347889.456199629</v>
      </c>
      <c r="K94" s="11">
        <f>'Collections and ACP'!F14</f>
        <v>36564970.261851996</v>
      </c>
      <c r="L94" s="36">
        <f t="shared" si="9"/>
        <v>20217080.805652365</v>
      </c>
      <c r="M94" s="295">
        <f t="shared" si="11"/>
        <v>0.44709155618417884</v>
      </c>
      <c r="O94" s="34"/>
    </row>
    <row r="95" spans="2:16" x14ac:dyDescent="0.25">
      <c r="C95" s="171" t="s">
        <v>246</v>
      </c>
      <c r="D95" s="11">
        <f>'Total REC Deliveries'!I12+'Total REC Deliveries'!J12</f>
        <v>1861725</v>
      </c>
      <c r="E95" s="11">
        <f>'Total REC Deliveries'!H12</f>
        <v>5529163</v>
      </c>
      <c r="F95" s="35">
        <f>'Total REC Deliveries'!L12+'Total REC Deliveries'!M12</f>
        <v>4631147.5745999999</v>
      </c>
      <c r="G95" s="11">
        <f>'Total REC Deliveries'!AE11</f>
        <v>379110</v>
      </c>
      <c r="H95" s="11">
        <f>'Total REC Deliveries'!N12+'Total REC Deliveries'!O12+'Total REC Deliveries'!P12</f>
        <v>7975562.7547973152</v>
      </c>
      <c r="I95" s="11">
        <f>'Total REC Deliveries'!Q12</f>
        <v>62934.116224033976</v>
      </c>
      <c r="J95" s="26">
        <f t="shared" si="10"/>
        <v>20439642.445621349</v>
      </c>
      <c r="K95" s="11">
        <f>'Collections and ACP'!F15</f>
        <v>40854560.463967174</v>
      </c>
      <c r="L95" s="36">
        <f t="shared" si="9"/>
        <v>20414918.018345825</v>
      </c>
      <c r="M95" s="295">
        <f t="shared" si="11"/>
        <v>0.50030259078784278</v>
      </c>
      <c r="O95" s="34"/>
    </row>
    <row r="96" spans="2:16" x14ac:dyDescent="0.25">
      <c r="C96" s="171" t="s">
        <v>247</v>
      </c>
      <c r="D96" s="11">
        <f>'Total REC Deliveries'!I13+'Total REC Deliveries'!J13</f>
        <v>1861725</v>
      </c>
      <c r="E96" s="11">
        <f>'Total REC Deliveries'!H13</f>
        <v>5501433</v>
      </c>
      <c r="F96" s="35">
        <f>'Total REC Deliveries'!L13+'Total REC Deliveries'!M13</f>
        <v>4631147.5745999999</v>
      </c>
      <c r="G96" s="11">
        <f>'Total REC Deliveries'!AE12</f>
        <v>379110</v>
      </c>
      <c r="H96" s="11">
        <f>'Total REC Deliveries'!N13+'Total REC Deliveries'!O13+'Total REC Deliveries'!P13</f>
        <v>9207657.6442181934</v>
      </c>
      <c r="I96" s="11">
        <f>'Total REC Deliveries'!Q13</f>
        <v>62619.445642913808</v>
      </c>
      <c r="J96" s="26">
        <f t="shared" si="10"/>
        <v>21643692.66446111</v>
      </c>
      <c r="K96" s="11">
        <f>'Collections and ACP'!F16</f>
        <v>45635924.231572881</v>
      </c>
      <c r="L96" s="36">
        <f t="shared" si="9"/>
        <v>23992231.567111772</v>
      </c>
      <c r="M96" s="295">
        <f t="shared" si="11"/>
        <v>0.47426874833592347</v>
      </c>
      <c r="O96" s="34"/>
    </row>
    <row r="97" spans="2:15" x14ac:dyDescent="0.25">
      <c r="C97" s="171" t="s">
        <v>248</v>
      </c>
      <c r="D97" s="11">
        <f>'Total REC Deliveries'!I14+'Total REC Deliveries'!J14</f>
        <v>1861725</v>
      </c>
      <c r="E97" s="11">
        <f>'Total REC Deliveries'!H14</f>
        <v>5473807</v>
      </c>
      <c r="F97" s="35">
        <f>'Total REC Deliveries'!L14+'Total REC Deliveries'!M14</f>
        <v>4631147.5745999999</v>
      </c>
      <c r="G97" s="11">
        <f>'Total REC Deliveries'!AE13</f>
        <v>379110</v>
      </c>
      <c r="H97" s="11">
        <f>'Total REC Deliveries'!N14+'Total REC Deliveries'!O14+'Total REC Deliveries'!P14</f>
        <v>9181525.7868340965</v>
      </c>
      <c r="I97" s="11">
        <f>'Total REC Deliveries'!Q14</f>
        <v>62306.348414699241</v>
      </c>
      <c r="J97" s="26">
        <f t="shared" si="10"/>
        <v>21589621.709848795</v>
      </c>
      <c r="K97" s="11">
        <f>'Collections and ACP'!F17</f>
        <v>51084223.557349876</v>
      </c>
      <c r="L97" s="36">
        <f t="shared" si="9"/>
        <v>29494601.84750108</v>
      </c>
      <c r="M97" s="295">
        <f t="shared" si="11"/>
        <v>0.42262797017186982</v>
      </c>
      <c r="O97" s="34"/>
    </row>
    <row r="98" spans="2:15" x14ac:dyDescent="0.25">
      <c r="C98" s="30" t="s">
        <v>249</v>
      </c>
      <c r="D98" s="11">
        <f>'Total REC Deliveries'!I15+'Total REC Deliveries'!J15</f>
        <v>1861725</v>
      </c>
      <c r="E98" s="11">
        <f>'Total REC Deliveries'!H15</f>
        <v>5446443</v>
      </c>
      <c r="F98" s="35">
        <f>'Total REC Deliveries'!L15+'Total REC Deliveries'!M15</f>
        <v>4631147.5745999999</v>
      </c>
      <c r="G98" s="11">
        <f>'Total REC Deliveries'!AE14</f>
        <v>379110</v>
      </c>
      <c r="H98" s="11">
        <f>'Total REC Deliveries'!N15+'Total REC Deliveries'!O15+'Total REC Deliveries'!P15</f>
        <v>9153974.0597249269</v>
      </c>
      <c r="I98" s="11">
        <f>'Total REC Deliveries'!Q15</f>
        <v>61994.816672625748</v>
      </c>
      <c r="J98" s="26">
        <f t="shared" si="10"/>
        <v>21534394.450997554</v>
      </c>
      <c r="K98" s="11">
        <f>'Collections and ACP'!F18</f>
        <v>54278954.691606775</v>
      </c>
      <c r="L98" s="36">
        <f t="shared" si="9"/>
        <v>32744560.240609221</v>
      </c>
      <c r="M98" s="295">
        <f t="shared" si="11"/>
        <v>0.39673561462906071</v>
      </c>
      <c r="O98" s="34"/>
    </row>
    <row r="99" spans="2:15" x14ac:dyDescent="0.25">
      <c r="C99" s="171" t="s">
        <v>250</v>
      </c>
      <c r="D99" s="11">
        <f>'Total REC Deliveries'!I16+'Total REC Deliveries'!J16</f>
        <v>0</v>
      </c>
      <c r="E99" s="11">
        <f>'Total REC Deliveries'!H16</f>
        <v>5418812</v>
      </c>
      <c r="F99" s="35">
        <f>'Total REC Deliveries'!L16+'Total REC Deliveries'!M16</f>
        <v>4631147.5745999999</v>
      </c>
      <c r="G99" s="11">
        <f>'Total REC Deliveries'!AE15</f>
        <v>379110</v>
      </c>
      <c r="H99" s="11">
        <f>'Total REC Deliveries'!N16+'Total REC Deliveries'!O16+'Total REC Deliveries'!P16</f>
        <v>9126560.0912513025</v>
      </c>
      <c r="I99" s="11">
        <f>'Total REC Deliveries'!Q16</f>
        <v>61684.842589262618</v>
      </c>
      <c r="J99" s="26">
        <f t="shared" si="10"/>
        <v>19617314.508440565</v>
      </c>
      <c r="K99" s="11">
        <f>'Collections and ACP'!F19</f>
        <v>57647567.180061609</v>
      </c>
      <c r="L99" s="36">
        <f t="shared" si="9"/>
        <v>38030252.67162104</v>
      </c>
      <c r="M99" s="295">
        <f t="shared" si="11"/>
        <v>0.34029735282958395</v>
      </c>
      <c r="O99" s="34"/>
    </row>
    <row r="100" spans="2:15" x14ac:dyDescent="0.25">
      <c r="C100" s="171" t="s">
        <v>251</v>
      </c>
      <c r="D100" s="11">
        <f>'Total REC Deliveries'!I17+'Total REC Deliveries'!J17</f>
        <v>0</v>
      </c>
      <c r="E100" s="11">
        <f>'Total REC Deliveries'!H17</f>
        <v>5390347</v>
      </c>
      <c r="F100" s="35">
        <f>'Total REC Deliveries'!L17+'Total REC Deliveries'!M17</f>
        <v>4201147.5745999999</v>
      </c>
      <c r="G100" s="11">
        <f>'Total REC Deliveries'!AE16</f>
        <v>379110</v>
      </c>
      <c r="H100" s="11">
        <f>'Total REC Deliveries'!N17+'Total REC Deliveries'!O17+'Total REC Deliveries'!P17</f>
        <v>9099283.1926200464</v>
      </c>
      <c r="I100" s="11">
        <f>'Total REC Deliveries'!Q17</f>
        <v>61376.418376316302</v>
      </c>
      <c r="J100" s="26">
        <f t="shared" si="10"/>
        <v>19131264.185596362</v>
      </c>
      <c r="K100" s="11">
        <f>'Collections and ACP'!F20</f>
        <v>60901985.082138978</v>
      </c>
      <c r="L100" s="36">
        <f t="shared" si="9"/>
        <v>41770720.896542616</v>
      </c>
      <c r="M100" s="295">
        <f t="shared" si="11"/>
        <v>0.31413202968333265</v>
      </c>
      <c r="O100" s="34"/>
    </row>
    <row r="101" spans="2:15" x14ac:dyDescent="0.25">
      <c r="C101" s="171" t="s">
        <v>252</v>
      </c>
      <c r="D101" s="11">
        <f>'Total REC Deliveries'!I18+'Total REC Deliveries'!J18</f>
        <v>0</v>
      </c>
      <c r="E101" s="11">
        <f>'Total REC Deliveries'!H18</f>
        <v>4724723</v>
      </c>
      <c r="F101" s="35">
        <f>'Total REC Deliveries'!L18+'Total REC Deliveries'!M18</f>
        <v>4201147.5745999999</v>
      </c>
      <c r="G101" s="11">
        <f>'Total REC Deliveries'!AE17</f>
        <v>379110</v>
      </c>
      <c r="H101" s="11">
        <f>'Total REC Deliveries'!N18+'Total REC Deliveries'!O18+'Total REC Deliveries'!P18</f>
        <v>9072142.6784819458</v>
      </c>
      <c r="I101" s="11">
        <f>'Total REC Deliveries'!Q18</f>
        <v>61069.536284434718</v>
      </c>
      <c r="J101" s="26">
        <f t="shared" si="10"/>
        <v>18438192.789366383</v>
      </c>
      <c r="K101" s="11">
        <f>'Collections and ACP'!F21</f>
        <v>64130812.506270096</v>
      </c>
      <c r="L101" s="36">
        <f t="shared" si="9"/>
        <v>45692619.716903716</v>
      </c>
      <c r="M101" s="295">
        <f t="shared" si="11"/>
        <v>0.28750910940920438</v>
      </c>
      <c r="O101" s="34"/>
    </row>
    <row r="102" spans="2:15" x14ac:dyDescent="0.25">
      <c r="C102" s="171" t="s">
        <v>253</v>
      </c>
      <c r="D102" s="11">
        <f>'Total REC Deliveries'!I19+'Total REC Deliveries'!J19</f>
        <v>0</v>
      </c>
      <c r="E102" s="11">
        <f>'Total REC Deliveries'!H19</f>
        <v>5224290</v>
      </c>
      <c r="F102" s="35">
        <f>'Total REC Deliveries'!L19+'Total REC Deliveries'!M19</f>
        <v>3901147.5745999999</v>
      </c>
      <c r="G102" s="11">
        <f>'Total REC Deliveries'!AE18</f>
        <v>379110</v>
      </c>
      <c r="H102" s="11">
        <f>'Total REC Deliveries'!N19+'Total REC Deliveries'!O19+'Total REC Deliveries'!P19</f>
        <v>9045137.8669145349</v>
      </c>
      <c r="I102" s="11">
        <f>'Total REC Deliveries'!Q19</f>
        <v>60764.188603012546</v>
      </c>
      <c r="J102" s="26">
        <f t="shared" si="10"/>
        <v>18610449.63011755</v>
      </c>
      <c r="K102" s="11">
        <f>'Collections and ACP'!F22</f>
        <v>67051743.884838134</v>
      </c>
      <c r="L102" s="36">
        <f t="shared" si="9"/>
        <v>48441294.254720584</v>
      </c>
      <c r="M102" s="295">
        <f t="shared" si="11"/>
        <v>0.2775535512108549</v>
      </c>
      <c r="O102" s="34"/>
    </row>
    <row r="103" spans="2:15" x14ac:dyDescent="0.25">
      <c r="C103" s="171" t="s">
        <v>254</v>
      </c>
      <c r="D103" s="11">
        <f>'Total REC Deliveries'!I20+'Total REC Deliveries'!J20</f>
        <v>0</v>
      </c>
      <c r="E103" s="11">
        <f>'Total REC Deliveries'!H20</f>
        <v>4342651</v>
      </c>
      <c r="F103" s="35">
        <f>'Total REC Deliveries'!L20+'Total REC Deliveries'!M20</f>
        <v>569999</v>
      </c>
      <c r="G103" s="11">
        <f>'Total REC Deliveries'!AE19</f>
        <v>379110</v>
      </c>
      <c r="H103" s="11">
        <f>'Total REC Deliveries'!N20+'Total REC Deliveries'!O20+'Total REC Deliveries'!P20</f>
        <v>9018268.0794049632</v>
      </c>
      <c r="I103" s="11">
        <f>'Total REC Deliveries'!Q20</f>
        <v>60460.367659997486</v>
      </c>
      <c r="J103" s="26">
        <f t="shared" si="10"/>
        <v>14370488.44706496</v>
      </c>
      <c r="K103" s="11">
        <f>'Collections and ACP'!F23</f>
        <v>69669123.749054149</v>
      </c>
      <c r="L103" s="36">
        <f t="shared" si="9"/>
        <v>55298635.30198919</v>
      </c>
      <c r="M103" s="295">
        <f t="shared" si="11"/>
        <v>0.20626767890503372</v>
      </c>
      <c r="O103" s="34"/>
    </row>
    <row r="104" spans="2:15" x14ac:dyDescent="0.25">
      <c r="C104" s="171" t="s">
        <v>255</v>
      </c>
      <c r="D104" s="11">
        <f>'Total REC Deliveries'!I21+'Total REC Deliveries'!J21</f>
        <v>0</v>
      </c>
      <c r="E104" s="11">
        <f>'Total REC Deliveries'!H21</f>
        <v>4131758</v>
      </c>
      <c r="F104" s="35">
        <f>'Total REC Deliveries'!L21+'Total REC Deliveries'!M21</f>
        <v>569999</v>
      </c>
      <c r="G104" s="11">
        <f>'Total REC Deliveries'!AE20</f>
        <v>379110</v>
      </c>
      <c r="H104" s="11">
        <f>'Total REC Deliveries'!N21+'Total REC Deliveries'!O21+'Total REC Deliveries'!P21</f>
        <v>8991532.6408329383</v>
      </c>
      <c r="I104" s="11">
        <f>'Total REC Deliveries'!Q21</f>
        <v>60158.065821697499</v>
      </c>
      <c r="J104" s="26">
        <f t="shared" si="10"/>
        <v>14132557.706654636</v>
      </c>
      <c r="K104" s="11">
        <f>'Collections and ACP'!F24</f>
        <v>71719438.231856823</v>
      </c>
      <c r="L104" s="36">
        <f t="shared" si="9"/>
        <v>57586880.525202185</v>
      </c>
      <c r="M104" s="295">
        <f t="shared" si="11"/>
        <v>0.19705337987961458</v>
      </c>
      <c r="O104" s="34"/>
    </row>
    <row r="105" spans="2:15" x14ac:dyDescent="0.25">
      <c r="C105" s="171" t="s">
        <v>256</v>
      </c>
      <c r="D105" s="11">
        <f>'Total REC Deliveries'!I22+'Total REC Deliveries'!J22</f>
        <v>0</v>
      </c>
      <c r="E105" s="11">
        <f>'Total REC Deliveries'!H22</f>
        <v>3753336</v>
      </c>
      <c r="F105" s="35">
        <f>'Total REC Deliveries'!L22+'Total REC Deliveries'!M22</f>
        <v>569999</v>
      </c>
      <c r="G105" s="11">
        <f>'Total REC Deliveries'!AE21</f>
        <v>379110</v>
      </c>
      <c r="H105" s="11">
        <f>'Total REC Deliveries'!N22+'Total REC Deliveries'!O22+'Total REC Deliveries'!P22</f>
        <v>8964930.8794537727</v>
      </c>
      <c r="I105" s="11">
        <f>'Total REC Deliveries'!Q22</f>
        <v>59857.275492589011</v>
      </c>
      <c r="J105" s="26">
        <f t="shared" si="10"/>
        <v>13727233.154946363</v>
      </c>
      <c r="K105" s="11">
        <f>'Collections and ACP'!F25</f>
        <v>73807782.542708427</v>
      </c>
      <c r="L105" s="36">
        <f t="shared" si="9"/>
        <v>60080549.387762062</v>
      </c>
      <c r="M105" s="295">
        <f t="shared" si="11"/>
        <v>0.18598625621902654</v>
      </c>
      <c r="O105" s="34"/>
    </row>
    <row r="106" spans="2:15" x14ac:dyDescent="0.25">
      <c r="C106" s="171" t="s">
        <v>257</v>
      </c>
      <c r="D106" s="11">
        <f>'Total REC Deliveries'!I23+'Total REC Deliveries'!J23</f>
        <v>0</v>
      </c>
      <c r="E106" s="11">
        <f>'Total REC Deliveries'!H23</f>
        <v>3317762</v>
      </c>
      <c r="F106" s="35">
        <f>'Total REC Deliveries'!L23+'Total REC Deliveries'!M23</f>
        <v>569999</v>
      </c>
      <c r="G106" s="11">
        <f>'Total REC Deliveries'!AE22</f>
        <v>379110</v>
      </c>
      <c r="H106" s="11">
        <f>'Total REC Deliveries'!N23+'Total REC Deliveries'!O23+'Total REC Deliveries'!P23</f>
        <v>8938462.1268815044</v>
      </c>
      <c r="I106" s="11">
        <f>'Total REC Deliveries'!Q23</f>
        <v>59557.989115126067</v>
      </c>
      <c r="J106" s="26">
        <f t="shared" si="10"/>
        <v>13264891.115996631</v>
      </c>
      <c r="K106" s="11">
        <f>'Collections and ACP'!F26</f>
        <v>75781990.962177396</v>
      </c>
      <c r="L106" s="36">
        <f t="shared" si="9"/>
        <v>62517099.846180767</v>
      </c>
      <c r="M106" s="295">
        <f t="shared" si="11"/>
        <v>0.17504015066874001</v>
      </c>
      <c r="O106" s="34"/>
    </row>
    <row r="107" spans="2:15" x14ac:dyDescent="0.25">
      <c r="C107" s="171" t="s">
        <v>258</v>
      </c>
      <c r="D107" s="11">
        <f>'Total REC Deliveries'!I24+'Total REC Deliveries'!J24</f>
        <v>0</v>
      </c>
      <c r="E107" s="11">
        <f>'Total REC Deliveries'!H24</f>
        <v>2861749</v>
      </c>
      <c r="F107" s="35">
        <f>'Total REC Deliveries'!L24+'Total REC Deliveries'!M24</f>
        <v>0</v>
      </c>
      <c r="G107" s="11">
        <f>'Total REC Deliveries'!AE23</f>
        <v>379110</v>
      </c>
      <c r="H107" s="11">
        <f>'Total REC Deliveries'!N24+'Total REC Deliveries'!O24+'Total REC Deliveries'!P24</f>
        <v>8912125.7180720977</v>
      </c>
      <c r="I107" s="11">
        <f>'Total REC Deliveries'!Q24</f>
        <v>59260.199169550433</v>
      </c>
      <c r="J107" s="26">
        <f t="shared" si="10"/>
        <v>12212244.917241648</v>
      </c>
      <c r="K107" s="11">
        <f>'Collections and ACP'!F27</f>
        <v>77887811.689798236</v>
      </c>
      <c r="L107" s="36">
        <f t="shared" si="9"/>
        <v>65675566.772556588</v>
      </c>
      <c r="M107" s="295">
        <f t="shared" si="11"/>
        <v>0.15679275938421589</v>
      </c>
      <c r="O107" s="34"/>
    </row>
    <row r="108" spans="2:15" x14ac:dyDescent="0.25">
      <c r="C108" s="171" t="s">
        <v>259</v>
      </c>
      <c r="D108" s="11">
        <f>'Total REC Deliveries'!I25+'Total REC Deliveries'!J25</f>
        <v>0</v>
      </c>
      <c r="E108" s="11">
        <f>'Total REC Deliveries'!H25</f>
        <v>2716521</v>
      </c>
      <c r="F108" s="35">
        <f>'Total REC Deliveries'!L25+'Total REC Deliveries'!M25</f>
        <v>0</v>
      </c>
      <c r="G108" s="11">
        <f>'Total REC Deliveries'!AE24</f>
        <v>379110</v>
      </c>
      <c r="H108" s="11">
        <f>'Total REC Deliveries'!N25+'Total REC Deliveries'!O25+'Total REC Deliveries'!P25</f>
        <v>8885920.9913067371</v>
      </c>
      <c r="I108" s="11">
        <f>'Total REC Deliveries'!Q25</f>
        <v>58963.898173702677</v>
      </c>
      <c r="J108" s="26">
        <f t="shared" si="10"/>
        <v>12040515.88948044</v>
      </c>
      <c r="K108" s="11">
        <f>'Collections and ACP'!F28</f>
        <v>78187706.648671687</v>
      </c>
      <c r="L108" s="36">
        <f t="shared" si="9"/>
        <v>66147190.759191245</v>
      </c>
      <c r="M108" s="295">
        <f t="shared" si="11"/>
        <v>0.1539950000526713</v>
      </c>
      <c r="O108" s="34"/>
    </row>
    <row r="109" spans="2:15" x14ac:dyDescent="0.25">
      <c r="C109" s="171" t="s">
        <v>260</v>
      </c>
      <c r="D109" s="11">
        <f>'Total REC Deliveries'!I26+'Total REC Deliveries'!J26</f>
        <v>0</v>
      </c>
      <c r="E109" s="11">
        <f>'Total REC Deliveries'!H26</f>
        <v>2702781</v>
      </c>
      <c r="F109" s="35">
        <f>'Total REC Deliveries'!L26+'Total REC Deliveries'!M26</f>
        <v>0</v>
      </c>
      <c r="G109" s="11">
        <f>'Total REC Deliveries'!AE25</f>
        <v>379110</v>
      </c>
      <c r="H109" s="11">
        <f>'Total REC Deliveries'!N26+'Total REC Deliveries'!O26+'Total REC Deliveries'!P26</f>
        <v>8859847.2881752029</v>
      </c>
      <c r="I109" s="11">
        <f>'Total REC Deliveries'!Q26</f>
        <v>58669.078682834166</v>
      </c>
      <c r="J109" s="26">
        <f t="shared" si="10"/>
        <v>12000407.366858037</v>
      </c>
      <c r="K109" s="11">
        <f>'Collections and ACP'!F29</f>
        <v>78497877.765333831</v>
      </c>
      <c r="L109" s="36">
        <f t="shared" si="9"/>
        <v>66497470.398475796</v>
      </c>
      <c r="M109" s="295">
        <f t="shared" si="11"/>
        <v>0.15287556439083305</v>
      </c>
      <c r="O109" s="34"/>
    </row>
    <row r="110" spans="2:15" x14ac:dyDescent="0.25">
      <c r="D110" s="32"/>
      <c r="E110" s="32"/>
      <c r="F110" s="37"/>
      <c r="G110" s="163"/>
      <c r="H110" s="32"/>
      <c r="I110" s="38"/>
      <c r="J110" s="163"/>
    </row>
    <row r="111" spans="2:15" x14ac:dyDescent="0.25">
      <c r="B111" s="31" t="s">
        <v>280</v>
      </c>
    </row>
    <row r="113" spans="3:11" ht="30" x14ac:dyDescent="0.25">
      <c r="C113" s="13" t="s">
        <v>1</v>
      </c>
      <c r="D113" s="13" t="s">
        <v>281</v>
      </c>
      <c r="E113" s="13" t="s">
        <v>282</v>
      </c>
      <c r="F113" s="13" t="s">
        <v>283</v>
      </c>
      <c r="G113" s="13" t="s">
        <v>201</v>
      </c>
      <c r="H113" s="13" t="s">
        <v>275</v>
      </c>
      <c r="I113" s="13" t="s">
        <v>83</v>
      </c>
      <c r="J113" s="13" t="s">
        <v>284</v>
      </c>
      <c r="K113" s="13" t="s">
        <v>285</v>
      </c>
    </row>
    <row r="114" spans="3:11" x14ac:dyDescent="0.25">
      <c r="C114" s="171" t="s">
        <v>238</v>
      </c>
      <c r="D114" s="11">
        <f t="shared" ref="D114:D136" si="12">D87</f>
        <v>1861725</v>
      </c>
      <c r="E114" s="11">
        <f t="shared" ref="E114:E129" si="13">F87</f>
        <v>754313.29229999997</v>
      </c>
      <c r="F114" s="11">
        <f>E87</f>
        <v>660707</v>
      </c>
      <c r="G114" s="11">
        <f t="shared" ref="G114:H136" si="14">G87</f>
        <v>0</v>
      </c>
      <c r="H114" s="11">
        <f t="shared" si="14"/>
        <v>0</v>
      </c>
      <c r="I114" s="26">
        <f t="shared" ref="I114:I136" si="15">SUM(D114:H114)</f>
        <v>3276745.2922999999</v>
      </c>
      <c r="J114" s="11">
        <f t="shared" ref="J114:J136" si="16">K87-I114</f>
        <v>17872436.866490033</v>
      </c>
      <c r="K114" s="39">
        <v>0.17500000000000004</v>
      </c>
    </row>
    <row r="115" spans="3:11" x14ac:dyDescent="0.25">
      <c r="C115" s="171" t="s">
        <v>239</v>
      </c>
      <c r="D115" s="11">
        <f t="shared" si="12"/>
        <v>1861725</v>
      </c>
      <c r="E115" s="11">
        <f t="shared" si="13"/>
        <v>2992839.5745999999</v>
      </c>
      <c r="F115" s="11">
        <f t="shared" ref="F115:F135" si="17">E88</f>
        <v>1043877</v>
      </c>
      <c r="G115" s="11">
        <f t="shared" si="14"/>
        <v>0</v>
      </c>
      <c r="H115" s="11">
        <f t="shared" si="14"/>
        <v>0</v>
      </c>
      <c r="I115" s="26">
        <f t="shared" si="15"/>
        <v>5898441.5745999999</v>
      </c>
      <c r="J115" s="11">
        <f t="shared" si="16"/>
        <v>16887011.110223208</v>
      </c>
      <c r="K115" s="39">
        <v>0.19000000000000006</v>
      </c>
    </row>
    <row r="116" spans="3:11" x14ac:dyDescent="0.25">
      <c r="C116" s="171" t="s">
        <v>240</v>
      </c>
      <c r="D116" s="11">
        <f t="shared" si="12"/>
        <v>1861725</v>
      </c>
      <c r="E116" s="11">
        <f t="shared" si="13"/>
        <v>4061148.5745999999</v>
      </c>
      <c r="F116" s="11">
        <f t="shared" si="17"/>
        <v>1242864</v>
      </c>
      <c r="G116" s="11">
        <f t="shared" si="14"/>
        <v>0</v>
      </c>
      <c r="H116" s="11">
        <f t="shared" si="14"/>
        <v>0</v>
      </c>
      <c r="I116" s="26">
        <f t="shared" si="15"/>
        <v>7165737.5745999999</v>
      </c>
      <c r="J116" s="11">
        <f t="shared" si="16"/>
        <v>17496239.567767411</v>
      </c>
      <c r="K116" s="39">
        <v>0.20500000000000007</v>
      </c>
    </row>
    <row r="117" spans="3:11" x14ac:dyDescent="0.25">
      <c r="C117" s="171" t="s">
        <v>241</v>
      </c>
      <c r="D117" s="11">
        <f t="shared" si="12"/>
        <v>1861725</v>
      </c>
      <c r="E117" s="11">
        <f t="shared" si="13"/>
        <v>4061148.5745999999</v>
      </c>
      <c r="F117" s="11">
        <f t="shared" si="17"/>
        <v>1760478</v>
      </c>
      <c r="G117" s="11">
        <f t="shared" si="14"/>
        <v>0</v>
      </c>
      <c r="H117" s="11">
        <f t="shared" si="14"/>
        <v>0</v>
      </c>
      <c r="I117" s="26">
        <f t="shared" si="15"/>
        <v>7683351.5745999999</v>
      </c>
      <c r="J117" s="11">
        <f t="shared" si="16"/>
        <v>18339253.813541267</v>
      </c>
      <c r="K117" s="39">
        <v>0.22000000000000008</v>
      </c>
    </row>
    <row r="118" spans="3:11" x14ac:dyDescent="0.25">
      <c r="C118" s="171" t="s">
        <v>242</v>
      </c>
      <c r="D118" s="11">
        <f t="shared" si="12"/>
        <v>1861725</v>
      </c>
      <c r="E118" s="11">
        <f t="shared" si="13"/>
        <v>4061148.5745999999</v>
      </c>
      <c r="F118" s="11">
        <f t="shared" si="17"/>
        <v>2616834</v>
      </c>
      <c r="G118" s="11">
        <f t="shared" si="14"/>
        <v>0</v>
      </c>
      <c r="H118" s="11">
        <f t="shared" si="14"/>
        <v>0</v>
      </c>
      <c r="I118" s="26">
        <f t="shared" si="15"/>
        <v>8539707.5745999999</v>
      </c>
      <c r="J118" s="11">
        <f t="shared" si="16"/>
        <v>19060698.013787385</v>
      </c>
      <c r="K118" s="39">
        <v>0.2350000000000001</v>
      </c>
    </row>
    <row r="119" spans="3:11" x14ac:dyDescent="0.25">
      <c r="C119" s="171" t="s">
        <v>243</v>
      </c>
      <c r="D119" s="11">
        <f t="shared" si="12"/>
        <v>1861725</v>
      </c>
      <c r="E119" s="11">
        <f t="shared" si="13"/>
        <v>4631147.5745999999</v>
      </c>
      <c r="F119" s="11">
        <f t="shared" si="17"/>
        <v>4683226</v>
      </c>
      <c r="G119" s="11">
        <f t="shared" si="14"/>
        <v>379110</v>
      </c>
      <c r="H119" s="11">
        <f t="shared" si="14"/>
        <v>186137.94520547945</v>
      </c>
      <c r="I119" s="26">
        <f t="shared" si="15"/>
        <v>11741346.51980548</v>
      </c>
      <c r="J119" s="11">
        <f t="shared" si="16"/>
        <v>17527890.227970909</v>
      </c>
      <c r="K119" s="39">
        <v>0.25000000000000011</v>
      </c>
    </row>
    <row r="120" spans="3:11" x14ac:dyDescent="0.25">
      <c r="C120" s="171" t="s">
        <v>244</v>
      </c>
      <c r="D120" s="11">
        <f t="shared" si="12"/>
        <v>1861725</v>
      </c>
      <c r="E120" s="11">
        <f t="shared" si="13"/>
        <v>4631147.5745999999</v>
      </c>
      <c r="F120" s="11">
        <f t="shared" si="17"/>
        <v>5585213</v>
      </c>
      <c r="G120" s="11">
        <f t="shared" si="14"/>
        <v>379110</v>
      </c>
      <c r="H120" s="11">
        <f t="shared" si="14"/>
        <v>1041432.7545205479</v>
      </c>
      <c r="I120" s="26">
        <f t="shared" si="15"/>
        <v>13498628.329120548</v>
      </c>
      <c r="J120" s="11">
        <f t="shared" si="16"/>
        <v>19148818.435700163</v>
      </c>
      <c r="K120" s="39">
        <v>0.28000000000000003</v>
      </c>
    </row>
    <row r="121" spans="3:11" x14ac:dyDescent="0.25">
      <c r="C121" s="171" t="s">
        <v>245</v>
      </c>
      <c r="D121" s="11">
        <f t="shared" si="12"/>
        <v>1861725</v>
      </c>
      <c r="E121" s="11">
        <f t="shared" si="13"/>
        <v>4631147.5745999999</v>
      </c>
      <c r="F121" s="11">
        <f t="shared" si="17"/>
        <v>5557084</v>
      </c>
      <c r="G121" s="11">
        <f t="shared" si="14"/>
        <v>379110</v>
      </c>
      <c r="H121" s="11">
        <f t="shared" si="14"/>
        <v>3855572.5135352742</v>
      </c>
      <c r="I121" s="26">
        <f t="shared" si="15"/>
        <v>16284639.088135274</v>
      </c>
      <c r="J121" s="11">
        <f t="shared" si="16"/>
        <v>20280331.173716724</v>
      </c>
      <c r="K121" s="39">
        <v>0.31</v>
      </c>
    </row>
    <row r="122" spans="3:11" x14ac:dyDescent="0.25">
      <c r="C122" s="171" t="s">
        <v>246</v>
      </c>
      <c r="D122" s="11">
        <f t="shared" si="12"/>
        <v>1861725</v>
      </c>
      <c r="E122" s="11">
        <f t="shared" si="13"/>
        <v>4631147.5745999999</v>
      </c>
      <c r="F122" s="11">
        <f t="shared" si="17"/>
        <v>5529163</v>
      </c>
      <c r="G122" s="11">
        <f t="shared" si="14"/>
        <v>379110</v>
      </c>
      <c r="H122" s="11">
        <f t="shared" si="14"/>
        <v>7975562.7547973152</v>
      </c>
      <c r="I122" s="26">
        <f t="shared" si="15"/>
        <v>20376708.329397313</v>
      </c>
      <c r="J122" s="11">
        <f t="shared" si="16"/>
        <v>20477852.134569861</v>
      </c>
      <c r="K122" s="39">
        <v>0.34</v>
      </c>
    </row>
    <row r="123" spans="3:11" x14ac:dyDescent="0.25">
      <c r="C123" s="171" t="s">
        <v>247</v>
      </c>
      <c r="D123" s="11">
        <f t="shared" si="12"/>
        <v>1861725</v>
      </c>
      <c r="E123" s="11">
        <f t="shared" si="13"/>
        <v>4631147.5745999999</v>
      </c>
      <c r="F123" s="11">
        <f t="shared" si="17"/>
        <v>5501433</v>
      </c>
      <c r="G123" s="11">
        <f t="shared" si="14"/>
        <v>379110</v>
      </c>
      <c r="H123" s="11">
        <f t="shared" si="14"/>
        <v>9207657.6442181934</v>
      </c>
      <c r="I123" s="26">
        <f t="shared" si="15"/>
        <v>21581073.218818195</v>
      </c>
      <c r="J123" s="11">
        <f t="shared" si="16"/>
        <v>24054851.012754686</v>
      </c>
      <c r="K123" s="39">
        <v>0.37</v>
      </c>
    </row>
    <row r="124" spans="3:11" x14ac:dyDescent="0.25">
      <c r="C124" s="171" t="s">
        <v>248</v>
      </c>
      <c r="D124" s="11">
        <f t="shared" si="12"/>
        <v>1861725</v>
      </c>
      <c r="E124" s="11">
        <f t="shared" si="13"/>
        <v>4631147.5745999999</v>
      </c>
      <c r="F124" s="11">
        <f t="shared" si="17"/>
        <v>5473807</v>
      </c>
      <c r="G124" s="11">
        <f t="shared" si="14"/>
        <v>379110</v>
      </c>
      <c r="H124" s="11">
        <f t="shared" si="14"/>
        <v>9181525.7868340965</v>
      </c>
      <c r="I124" s="26">
        <f t="shared" si="15"/>
        <v>21527315.361434095</v>
      </c>
      <c r="J124" s="11">
        <f t="shared" si="16"/>
        <v>29556908.195915781</v>
      </c>
      <c r="K124" s="39">
        <v>0.4</v>
      </c>
    </row>
    <row r="125" spans="3:11" x14ac:dyDescent="0.25">
      <c r="C125" s="30" t="s">
        <v>249</v>
      </c>
      <c r="D125" s="11">
        <f t="shared" si="12"/>
        <v>1861725</v>
      </c>
      <c r="E125" s="11">
        <f t="shared" si="13"/>
        <v>4631147.5745999999</v>
      </c>
      <c r="F125" s="11">
        <f t="shared" si="17"/>
        <v>5446443</v>
      </c>
      <c r="G125" s="11">
        <f t="shared" si="14"/>
        <v>379110</v>
      </c>
      <c r="H125" s="11">
        <f t="shared" si="14"/>
        <v>9153974.0597249269</v>
      </c>
      <c r="I125" s="26">
        <f t="shared" si="15"/>
        <v>21472399.634324927</v>
      </c>
      <c r="J125" s="11">
        <f t="shared" si="16"/>
        <v>32806555.057281848</v>
      </c>
      <c r="K125" s="39">
        <v>0.40902608000000001</v>
      </c>
    </row>
    <row r="126" spans="3:11" x14ac:dyDescent="0.25">
      <c r="C126" s="171" t="s">
        <v>250</v>
      </c>
      <c r="D126" s="11">
        <f t="shared" si="12"/>
        <v>0</v>
      </c>
      <c r="E126" s="11">
        <f t="shared" si="13"/>
        <v>4631147.5745999999</v>
      </c>
      <c r="F126" s="11">
        <f t="shared" si="17"/>
        <v>5418812</v>
      </c>
      <c r="G126" s="11">
        <f t="shared" si="14"/>
        <v>379110</v>
      </c>
      <c r="H126" s="11">
        <f t="shared" si="14"/>
        <v>9126560.0912513025</v>
      </c>
      <c r="I126" s="26">
        <f t="shared" si="15"/>
        <v>19555629.665851302</v>
      </c>
      <c r="J126" s="11">
        <f t="shared" si="16"/>
        <v>38091937.514210306</v>
      </c>
      <c r="K126" s="39">
        <v>0.41825583530041599</v>
      </c>
    </row>
    <row r="127" spans="3:11" x14ac:dyDescent="0.25">
      <c r="C127" s="171" t="s">
        <v>251</v>
      </c>
      <c r="D127" s="11">
        <f t="shared" si="12"/>
        <v>0</v>
      </c>
      <c r="E127" s="11">
        <f t="shared" si="13"/>
        <v>4201147.5745999999</v>
      </c>
      <c r="F127" s="11">
        <f t="shared" si="17"/>
        <v>5390347</v>
      </c>
      <c r="G127" s="11">
        <f t="shared" si="14"/>
        <v>379110</v>
      </c>
      <c r="H127" s="11">
        <f t="shared" si="14"/>
        <v>9099283.1926200464</v>
      </c>
      <c r="I127" s="26">
        <f t="shared" si="15"/>
        <v>19069887.767220046</v>
      </c>
      <c r="J127" s="11">
        <f t="shared" si="16"/>
        <v>41832097.314918935</v>
      </c>
      <c r="K127" s="39">
        <v>0.42769386187513697</v>
      </c>
    </row>
    <row r="128" spans="3:11" x14ac:dyDescent="0.25">
      <c r="C128" s="171" t="s">
        <v>252</v>
      </c>
      <c r="D128" s="11">
        <f t="shared" si="12"/>
        <v>0</v>
      </c>
      <c r="E128" s="11">
        <f t="shared" si="13"/>
        <v>4201147.5745999999</v>
      </c>
      <c r="F128" s="11">
        <f t="shared" si="17"/>
        <v>4724723</v>
      </c>
      <c r="G128" s="11">
        <f t="shared" si="14"/>
        <v>379110</v>
      </c>
      <c r="H128" s="11">
        <f t="shared" si="14"/>
        <v>9072142.6784819458</v>
      </c>
      <c r="I128" s="26">
        <f t="shared" si="15"/>
        <v>18377123.253081948</v>
      </c>
      <c r="J128" s="11">
        <f t="shared" si="16"/>
        <v>45753689.253188148</v>
      </c>
      <c r="K128" s="39">
        <v>0.43734485940712181</v>
      </c>
    </row>
    <row r="129" spans="2:32" x14ac:dyDescent="0.25">
      <c r="C129" s="171" t="s">
        <v>253</v>
      </c>
      <c r="D129" s="11">
        <f t="shared" si="12"/>
        <v>0</v>
      </c>
      <c r="E129" s="11">
        <f t="shared" si="13"/>
        <v>3901147.5745999999</v>
      </c>
      <c r="F129" s="11">
        <f t="shared" si="17"/>
        <v>5224290</v>
      </c>
      <c r="G129" s="11">
        <f t="shared" si="14"/>
        <v>379110</v>
      </c>
      <c r="H129" s="11">
        <f t="shared" si="14"/>
        <v>9045137.8669145349</v>
      </c>
      <c r="I129" s="26">
        <f t="shared" si="15"/>
        <v>18549685.441514537</v>
      </c>
      <c r="J129" s="11">
        <f t="shared" si="16"/>
        <v>48502058.443323597</v>
      </c>
      <c r="K129" s="39">
        <v>0.44721363362861538</v>
      </c>
    </row>
    <row r="130" spans="2:32" x14ac:dyDescent="0.25">
      <c r="C130" s="171" t="s">
        <v>254</v>
      </c>
      <c r="D130" s="11">
        <f t="shared" si="12"/>
        <v>0</v>
      </c>
      <c r="E130" s="11">
        <f t="shared" ref="E130:E136" si="18">F103</f>
        <v>569999</v>
      </c>
      <c r="F130" s="11">
        <f t="shared" si="17"/>
        <v>4342651</v>
      </c>
      <c r="G130" s="11">
        <f t="shared" si="14"/>
        <v>379110</v>
      </c>
      <c r="H130" s="11">
        <f t="shared" si="14"/>
        <v>9018268.0794049632</v>
      </c>
      <c r="I130" s="26">
        <f t="shared" si="15"/>
        <v>14310028.079404963</v>
      </c>
      <c r="J130" s="11">
        <f t="shared" si="16"/>
        <v>55359095.669649184</v>
      </c>
      <c r="K130" s="39">
        <v>0.45730509871417185</v>
      </c>
    </row>
    <row r="131" spans="2:32" x14ac:dyDescent="0.25">
      <c r="C131" s="171" t="s">
        <v>255</v>
      </c>
      <c r="D131" s="11">
        <f t="shared" si="12"/>
        <v>0</v>
      </c>
      <c r="E131" s="11">
        <f t="shared" si="18"/>
        <v>569999</v>
      </c>
      <c r="F131" s="11">
        <f t="shared" si="17"/>
        <v>4131758</v>
      </c>
      <c r="G131" s="11">
        <f t="shared" si="14"/>
        <v>379110</v>
      </c>
      <c r="H131" s="11">
        <f t="shared" si="14"/>
        <v>8991532.6408329383</v>
      </c>
      <c r="I131" s="26">
        <f t="shared" si="15"/>
        <v>14072399.640832938</v>
      </c>
      <c r="J131" s="11">
        <f t="shared" si="16"/>
        <v>57647038.591023885</v>
      </c>
      <c r="K131" s="39">
        <v>0.46762427972767689</v>
      </c>
    </row>
    <row r="132" spans="2:32" x14ac:dyDescent="0.25">
      <c r="C132" s="171" t="s">
        <v>256</v>
      </c>
      <c r="D132" s="11">
        <f t="shared" si="12"/>
        <v>0</v>
      </c>
      <c r="E132" s="11">
        <f t="shared" si="18"/>
        <v>569999</v>
      </c>
      <c r="F132" s="11">
        <f t="shared" si="17"/>
        <v>3753336</v>
      </c>
      <c r="G132" s="11">
        <f t="shared" si="14"/>
        <v>379110</v>
      </c>
      <c r="H132" s="11">
        <f t="shared" si="14"/>
        <v>8964930.8794537727</v>
      </c>
      <c r="I132" s="26">
        <f t="shared" si="15"/>
        <v>13667375.879453773</v>
      </c>
      <c r="J132" s="11">
        <f t="shared" si="16"/>
        <v>60140406.663254656</v>
      </c>
      <c r="K132" s="39">
        <v>0.47817631512458791</v>
      </c>
    </row>
    <row r="133" spans="2:32" x14ac:dyDescent="0.25">
      <c r="C133" s="171" t="s">
        <v>257</v>
      </c>
      <c r="D133" s="11">
        <f t="shared" si="12"/>
        <v>0</v>
      </c>
      <c r="E133" s="11">
        <f t="shared" si="18"/>
        <v>569999</v>
      </c>
      <c r="F133" s="11">
        <f t="shared" si="17"/>
        <v>3317762</v>
      </c>
      <c r="G133" s="11">
        <f t="shared" si="14"/>
        <v>379110</v>
      </c>
      <c r="H133" s="11">
        <f t="shared" si="14"/>
        <v>8938462.1268815044</v>
      </c>
      <c r="I133" s="26">
        <f t="shared" si="15"/>
        <v>13205333.126881504</v>
      </c>
      <c r="J133" s="11">
        <f t="shared" si="16"/>
        <v>62576657.835295893</v>
      </c>
      <c r="K133" s="39">
        <v>0.48896645931063754</v>
      </c>
    </row>
    <row r="134" spans="2:32" x14ac:dyDescent="0.25">
      <c r="C134" s="171" t="s">
        <v>258</v>
      </c>
      <c r="D134" s="11">
        <f t="shared" si="12"/>
        <v>0</v>
      </c>
      <c r="E134" s="11">
        <f t="shared" si="18"/>
        <v>0</v>
      </c>
      <c r="F134" s="11">
        <f t="shared" si="17"/>
        <v>2861749</v>
      </c>
      <c r="G134" s="11">
        <f t="shared" si="14"/>
        <v>379110</v>
      </c>
      <c r="H134" s="11">
        <f t="shared" si="14"/>
        <v>8912125.7180720977</v>
      </c>
      <c r="I134" s="26">
        <f t="shared" si="15"/>
        <v>12152984.718072098</v>
      </c>
      <c r="J134" s="11">
        <f t="shared" si="16"/>
        <v>65734826.971726134</v>
      </c>
      <c r="K134" s="39">
        <v>0.50000008525827411</v>
      </c>
    </row>
    <row r="135" spans="2:32" x14ac:dyDescent="0.25">
      <c r="C135" s="171" t="s">
        <v>259</v>
      </c>
      <c r="D135" s="11">
        <f t="shared" si="12"/>
        <v>0</v>
      </c>
      <c r="E135" s="11">
        <f t="shared" si="18"/>
        <v>0</v>
      </c>
      <c r="F135" s="11">
        <f t="shared" si="17"/>
        <v>2716521</v>
      </c>
      <c r="G135" s="11">
        <f t="shared" si="14"/>
        <v>379110</v>
      </c>
      <c r="H135" s="11">
        <f t="shared" si="14"/>
        <v>8885920.9913067371</v>
      </c>
      <c r="I135" s="26">
        <f t="shared" si="15"/>
        <v>11981551.991306737</v>
      </c>
      <c r="J135" s="11">
        <f t="shared" si="16"/>
        <v>66206154.65736495</v>
      </c>
      <c r="K135" s="39">
        <v>0.5</v>
      </c>
    </row>
    <row r="136" spans="2:32" x14ac:dyDescent="0.25">
      <c r="C136" s="171" t="s">
        <v>260</v>
      </c>
      <c r="D136" s="11">
        <f t="shared" si="12"/>
        <v>0</v>
      </c>
      <c r="E136" s="11">
        <f t="shared" si="18"/>
        <v>0</v>
      </c>
      <c r="F136" s="11"/>
      <c r="G136" s="11">
        <f t="shared" si="14"/>
        <v>379110</v>
      </c>
      <c r="H136" s="11">
        <f t="shared" si="14"/>
        <v>8859847.2881752029</v>
      </c>
      <c r="I136" s="26">
        <f t="shared" si="15"/>
        <v>9238957.2881752029</v>
      </c>
      <c r="J136" s="11">
        <f t="shared" si="16"/>
        <v>69258920.477158636</v>
      </c>
      <c r="K136" s="39">
        <v>0.5</v>
      </c>
    </row>
    <row r="138" spans="2:32" x14ac:dyDescent="0.25">
      <c r="B138" s="31" t="s">
        <v>286</v>
      </c>
    </row>
    <row r="140" spans="2:32" ht="45" x14ac:dyDescent="0.25">
      <c r="C140" s="13" t="s">
        <v>1</v>
      </c>
      <c r="D140" s="13" t="s">
        <v>196</v>
      </c>
      <c r="E140" s="13" t="s">
        <v>287</v>
      </c>
      <c r="F140" s="13" t="s">
        <v>288</v>
      </c>
      <c r="G140" s="13" t="s">
        <v>289</v>
      </c>
      <c r="J140" s="1"/>
      <c r="K140" s="171" t="s">
        <v>242</v>
      </c>
      <c r="L140" s="171" t="s">
        <v>243</v>
      </c>
      <c r="M140" s="171" t="s">
        <v>244</v>
      </c>
      <c r="N140" s="171" t="s">
        <v>245</v>
      </c>
      <c r="O140" s="171" t="s">
        <v>246</v>
      </c>
      <c r="P140" s="171" t="s">
        <v>247</v>
      </c>
      <c r="Q140" s="171" t="s">
        <v>248</v>
      </c>
      <c r="R140" s="171" t="s">
        <v>249</v>
      </c>
      <c r="S140" s="171" t="s">
        <v>250</v>
      </c>
      <c r="T140" s="171" t="s">
        <v>251</v>
      </c>
      <c r="U140" s="171" t="s">
        <v>252</v>
      </c>
      <c r="V140" s="171" t="s">
        <v>253</v>
      </c>
      <c r="W140" s="171" t="s">
        <v>254</v>
      </c>
      <c r="X140" s="171" t="s">
        <v>255</v>
      </c>
      <c r="Y140" s="171" t="s">
        <v>256</v>
      </c>
      <c r="Z140" s="171" t="s">
        <v>257</v>
      </c>
      <c r="AA140" s="171" t="s">
        <v>258</v>
      </c>
      <c r="AB140" s="171" t="s">
        <v>259</v>
      </c>
      <c r="AC140" s="171" t="s">
        <v>260</v>
      </c>
      <c r="AD140" s="176"/>
      <c r="AE140" s="176"/>
    </row>
    <row r="141" spans="2:32" x14ac:dyDescent="0.25">
      <c r="C141" s="171" t="s">
        <v>238</v>
      </c>
      <c r="D141" s="172">
        <f>'REC Spend projected'!O4</f>
        <v>11261800.036503479</v>
      </c>
      <c r="E141" s="172">
        <f>'REC Spend projected'!N4</f>
        <v>0</v>
      </c>
      <c r="F141" s="172">
        <f>'REC Spend projected'!M4</f>
        <v>6757080.0219020871</v>
      </c>
      <c r="G141" s="172">
        <f>D141+E141+F141</f>
        <v>18018880.058405567</v>
      </c>
      <c r="J141" t="s">
        <v>183</v>
      </c>
      <c r="K141" s="176" cm="1">
        <f t="array" ref="K141:AC141">TRANSPOSE(I118:I136)</f>
        <v>8539707.5745999999</v>
      </c>
      <c r="L141" s="176">
        <v>11741346.51980548</v>
      </c>
      <c r="M141" s="176">
        <v>13498628.329120548</v>
      </c>
      <c r="N141" s="176">
        <v>16284639.088135274</v>
      </c>
      <c r="O141" s="176">
        <v>20376708.329397313</v>
      </c>
      <c r="P141" s="176">
        <v>21581073.218818195</v>
      </c>
      <c r="Q141" s="176">
        <v>21527315.361434095</v>
      </c>
      <c r="R141" s="176">
        <v>21472399.634324927</v>
      </c>
      <c r="S141" s="176">
        <v>19555629.665851302</v>
      </c>
      <c r="T141" s="176">
        <v>19069887.767220046</v>
      </c>
      <c r="U141" s="176">
        <v>18377123.253081948</v>
      </c>
      <c r="V141" s="176">
        <v>18549685.441514537</v>
      </c>
      <c r="W141" s="176">
        <v>14310028.079404963</v>
      </c>
      <c r="X141" s="176">
        <v>14072399.640832938</v>
      </c>
      <c r="Y141" s="176">
        <v>13667375.879453773</v>
      </c>
      <c r="Z141" s="176">
        <v>13205333.126881504</v>
      </c>
      <c r="AA141" s="176">
        <v>12152984.718072098</v>
      </c>
      <c r="AB141" s="176">
        <v>11981551.991306737</v>
      </c>
      <c r="AC141" s="176">
        <v>9238957.2881752029</v>
      </c>
      <c r="AD141" s="281"/>
      <c r="AE141" s="281"/>
    </row>
    <row r="142" spans="2:32" x14ac:dyDescent="0.25">
      <c r="C142" s="171" t="s">
        <v>239</v>
      </c>
      <c r="D142" s="172">
        <f>'REC Spend projected'!O5</f>
        <v>50000000</v>
      </c>
      <c r="E142" s="172">
        <f>'REC Spend projected'!N5</f>
        <v>10000000</v>
      </c>
      <c r="F142" s="172">
        <f>'REC Spend projected'!M5</f>
        <v>13942135.092404015</v>
      </c>
      <c r="G142" s="172">
        <f t="shared" ref="G142:G163" si="19">D142+E142+F142</f>
        <v>73942135.092404008</v>
      </c>
      <c r="J142" s="174"/>
      <c r="K142" s="190"/>
      <c r="L142" s="176"/>
      <c r="M142" s="176"/>
      <c r="N142" s="176"/>
      <c r="O142" s="176"/>
      <c r="P142" s="176"/>
      <c r="Q142" s="176"/>
      <c r="R142" s="176"/>
      <c r="S142" s="176"/>
      <c r="T142" s="176"/>
      <c r="U142" s="176"/>
      <c r="V142" s="176"/>
      <c r="W142" s="176"/>
      <c r="X142" s="176"/>
      <c r="Y142" s="176"/>
      <c r="Z142" s="176"/>
      <c r="AA142" s="176"/>
      <c r="AB142" s="176"/>
      <c r="AC142" s="176"/>
      <c r="AD142" s="281"/>
      <c r="AE142" s="281"/>
    </row>
    <row r="143" spans="2:32" x14ac:dyDescent="0.25">
      <c r="C143" s="171" t="s">
        <v>240</v>
      </c>
      <c r="D143" s="172">
        <f>'REC Spend projected'!O6</f>
        <v>50000000</v>
      </c>
      <c r="E143" s="172">
        <f>'REC Spend projected'!N6</f>
        <v>0</v>
      </c>
      <c r="F143" s="172">
        <f>'REC Spend projected'!M6</f>
        <v>17623889.800951708</v>
      </c>
      <c r="G143" s="172">
        <f t="shared" si="19"/>
        <v>67623889.800951704</v>
      </c>
      <c r="J143" s="1" t="s">
        <v>290</v>
      </c>
      <c r="L143" s="176">
        <f>'Projected ABP RECs'!C175</f>
        <v>397808.0692683431</v>
      </c>
      <c r="M143" s="176">
        <f>'Projected ABP RECs'!D175</f>
        <v>1150981.3031365303</v>
      </c>
      <c r="N143" s="176">
        <f>'Projected ABP RECs'!E175</f>
        <v>1512527.5902208472</v>
      </c>
      <c r="O143" s="176">
        <f>'Projected ABP RECs'!F175+'Indexed REC Activities'!J91</f>
        <v>2992037.6641190583</v>
      </c>
      <c r="P143" s="176">
        <f>'Projected ABP RECs'!G175+'Indexed REC Activities'!K91</f>
        <v>8460451.6318049692</v>
      </c>
      <c r="Q143" s="176">
        <f>'Projected ABP RECs'!H175+'Indexed REC Activities'!L91</f>
        <v>9393295.2894706018</v>
      </c>
      <c r="R143" s="176">
        <f>'Projected ABP RECs'!I175+'Indexed REC Activities'!M91</f>
        <v>9373063.1114232484</v>
      </c>
      <c r="S143" s="176">
        <f>'Projected ABP RECs'!J175+'Indexed REC Activities'!N91</f>
        <v>9352932.0942661315</v>
      </c>
      <c r="T143" s="176">
        <f>'Projected ABP RECs'!K175+'Indexed REC Activities'!O91</f>
        <v>9332901.7321948018</v>
      </c>
      <c r="U143" s="176">
        <f>'Projected ABP RECs'!L175+'Indexed REC Activities'!P91</f>
        <v>9312971.5219338275</v>
      </c>
      <c r="V143" s="176">
        <f>'Projected ABP RECs'!M175+'Indexed REC Activities'!Q91</f>
        <v>9293140.9627241585</v>
      </c>
      <c r="W143" s="176">
        <f>'Projected ABP RECs'!N175+'Indexed REC Activities'!R91</f>
        <v>9273409.5563105382</v>
      </c>
      <c r="X143" s="176">
        <f>'Projected ABP RECs'!O175+'Indexed REC Activities'!S91</f>
        <v>9253776.8069289848</v>
      </c>
      <c r="Y143" s="176">
        <f>'Projected ABP RECs'!P175+'Indexed REC Activities'!T91</f>
        <v>9234242.2212943416</v>
      </c>
      <c r="Z143" s="176">
        <f>'Projected ABP RECs'!Q175+'Indexed REC Activities'!U91</f>
        <v>9214805.3085878696</v>
      </c>
      <c r="AA143" s="176">
        <f>'Projected ABP RECs'!R175+'Indexed REC Activities'!V91</f>
        <v>9021527.0043001603</v>
      </c>
      <c r="AB143" s="176">
        <f>'Projected ABP RECs'!S175+'Indexed REC Activities'!W91</f>
        <v>8475980.9839695729</v>
      </c>
      <c r="AC143" s="176">
        <f>'Projected ABP RECs'!T175+'Indexed REC Activities'!X91</f>
        <v>8416374.4497860745</v>
      </c>
      <c r="AD143" s="176"/>
      <c r="AE143" s="176"/>
      <c r="AF143" s="176"/>
    </row>
    <row r="144" spans="2:32" x14ac:dyDescent="0.25">
      <c r="C144" s="171" t="s">
        <v>241</v>
      </c>
      <c r="D144" s="172">
        <f>'REC Spend projected'!O7</f>
        <v>50000000</v>
      </c>
      <c r="E144" s="172">
        <f>'REC Spend projected'!N7</f>
        <v>0</v>
      </c>
      <c r="F144" s="172">
        <f>'REC Spend projected'!M7</f>
        <v>17322647.088471591</v>
      </c>
      <c r="G144" s="172">
        <f t="shared" si="19"/>
        <v>67322647.088471591</v>
      </c>
      <c r="J144" s="1" t="s">
        <v>291</v>
      </c>
      <c r="L144" s="176">
        <f>'Projected ABP RECs'!C176</f>
        <v>0</v>
      </c>
      <c r="M144" s="176">
        <f>'Projected ABP RECs'!D176</f>
        <v>0</v>
      </c>
      <c r="N144" s="176">
        <f>'Projected ABP RECs'!E176</f>
        <v>722367.5232145288</v>
      </c>
      <c r="O144" s="176">
        <f>'Projected ABP RECs'!F176+'Indexed REC Activities'!J92</f>
        <v>1808424.4024129848</v>
      </c>
      <c r="P144" s="176">
        <f>'Projected ABP RECs'!G176+'Indexed REC Activities'!K92</f>
        <v>2166683.4740009196</v>
      </c>
      <c r="Q144" s="176">
        <f>'Projected ABP RECs'!H176+'Indexed REC Activities'!L92</f>
        <v>6240850.056630915</v>
      </c>
      <c r="R144" s="176">
        <f>'Projected ABP RECs'!I176+'Indexed REC Activities'!M92</f>
        <v>10307145.806347761</v>
      </c>
      <c r="S144" s="176">
        <f>'Projected ABP RECs'!J176+'Indexed REC Activities'!N92</f>
        <v>10280610.077316022</v>
      </c>
      <c r="T144" s="176">
        <f>'Projected ABP RECs'!K176+'Indexed REC Activities'!O92</f>
        <v>10254207.026929442</v>
      </c>
      <c r="U144" s="176">
        <f>'Projected ABP RECs'!L176+'Indexed REC Activities'!P92</f>
        <v>10227935.991794795</v>
      </c>
      <c r="V144" s="176">
        <f>'Projected ABP RECs'!M176+'Indexed REC Activities'!Q92</f>
        <v>10201796.311835822</v>
      </c>
      <c r="W144" s="176">
        <f>'Projected ABP RECs'!N176+'Indexed REC Activities'!R92</f>
        <v>10175787.330276642</v>
      </c>
      <c r="X144" s="176">
        <f>'Projected ABP RECs'!O176+'Indexed REC Activities'!S92</f>
        <v>10149908.393625259</v>
      </c>
      <c r="Y144" s="176">
        <f>'Projected ABP RECs'!P176+'Indexed REC Activities'!T92</f>
        <v>10124158.851657134</v>
      </c>
      <c r="Z144" s="176">
        <f>'Projected ABP RECs'!Q176+'Indexed REC Activities'!U92</f>
        <v>10098538.057398846</v>
      </c>
      <c r="AA144" s="176">
        <f>'Projected ABP RECs'!R176+'Indexed REC Activities'!V92</f>
        <v>10073045.367111852</v>
      </c>
      <c r="AB144" s="176">
        <f>'Projected ABP RECs'!S176+'Indexed REC Activities'!W92</f>
        <v>10047680.140276292</v>
      </c>
      <c r="AC144" s="176">
        <f>'Projected ABP RECs'!T176+'Indexed REC Activities'!X92</f>
        <v>9495269.0558658261</v>
      </c>
      <c r="AD144" s="176"/>
      <c r="AE144" s="176"/>
      <c r="AF144" s="176"/>
    </row>
    <row r="145" spans="3:32" x14ac:dyDescent="0.25">
      <c r="C145" s="171" t="s">
        <v>242</v>
      </c>
      <c r="D145" s="172">
        <f>'REC Spend projected'!O8</f>
        <v>50000000</v>
      </c>
      <c r="E145" s="172">
        <f>'REC Spend projected'!N8</f>
        <v>10000000</v>
      </c>
      <c r="F145" s="172">
        <f>'REC Spend projected'!M8</f>
        <v>17198419.557390258</v>
      </c>
      <c r="G145" s="172">
        <f t="shared" si="19"/>
        <v>77198419.557390258</v>
      </c>
      <c r="J145" s="1" t="s">
        <v>292</v>
      </c>
      <c r="L145" s="176">
        <f>'Projected ABP RECs'!C177</f>
        <v>0</v>
      </c>
      <c r="M145" s="176">
        <f>'Projected ABP RECs'!D177</f>
        <v>0</v>
      </c>
      <c r="N145" s="176">
        <f>'Projected ABP RECs'!E177</f>
        <v>0</v>
      </c>
      <c r="O145" s="176">
        <f>'Projected ABP RECs'!F177+'Indexed REC Activities'!J93</f>
        <v>0</v>
      </c>
      <c r="P145" s="176">
        <f>'Projected ABP RECs'!G177+'Indexed REC Activities'!K93</f>
        <v>722367.5232145288</v>
      </c>
      <c r="Q145" s="176">
        <f>'Projected ABP RECs'!H177+'Indexed REC Activities'!L93</f>
        <v>1808424.4024129848</v>
      </c>
      <c r="R145" s="176">
        <f>'Projected ABP RECs'!I177+'Indexed REC Activities'!M93</f>
        <v>2166683.4740009196</v>
      </c>
      <c r="S145" s="176">
        <f>'Projected ABP RECs'!J177+'Indexed REC Activities'!N93</f>
        <v>5740850.056630915</v>
      </c>
      <c r="T145" s="176">
        <f>'Projected ABP RECs'!K177+'Indexed REC Activities'!O93</f>
        <v>9309645.8063477613</v>
      </c>
      <c r="U145" s="176">
        <f>'Projected ABP RECs'!L177+'Indexed REC Activities'!P93</f>
        <v>9288097.5773160215</v>
      </c>
      <c r="V145" s="176">
        <f>'Projected ABP RECs'!M177+'Indexed REC Activities'!Q93</f>
        <v>9266657.0894294418</v>
      </c>
      <c r="W145" s="176">
        <f>'Projected ABP RECs'!N177+'Indexed REC Activities'!R93</f>
        <v>9245323.8039822951</v>
      </c>
      <c r="X145" s="176">
        <f>'Projected ABP RECs'!O177+'Indexed REC Activities'!S93</f>
        <v>9224097.1849623844</v>
      </c>
      <c r="Y145" s="176">
        <f>'Projected ABP RECs'!P177+'Indexed REC Activities'!T93</f>
        <v>9202976.6990375705</v>
      </c>
      <c r="Z145" s="176">
        <f>'Projected ABP RECs'!Q177+'Indexed REC Activities'!U93</f>
        <v>9181961.8155423831</v>
      </c>
      <c r="AA145" s="176">
        <f>'Projected ABP RECs'!R177+'Indexed REC Activities'!V93</f>
        <v>9161052.0064646713</v>
      </c>
      <c r="AB145" s="176">
        <f>'Projected ABP RECs'!S177+'Indexed REC Activities'!W93</f>
        <v>9140246.7464323472</v>
      </c>
      <c r="AC145" s="176">
        <f>'Projected ABP RECs'!T177+'Indexed REC Activities'!X93</f>
        <v>9119545.5127001852</v>
      </c>
      <c r="AD145" s="176"/>
      <c r="AE145" s="176"/>
      <c r="AF145" s="176"/>
    </row>
    <row r="146" spans="3:32" x14ac:dyDescent="0.25">
      <c r="C146" s="171" t="s">
        <v>243</v>
      </c>
      <c r="D146" s="172">
        <f>'REC Spend projected'!O9</f>
        <v>50000000</v>
      </c>
      <c r="E146" s="172">
        <f>'REC Spend projected'!N9</f>
        <v>0</v>
      </c>
      <c r="F146" s="172">
        <f>'REC Spend projected'!M9</f>
        <v>17145711.256652039</v>
      </c>
      <c r="G146" s="172">
        <f t="shared" si="19"/>
        <v>67145711.256652042</v>
      </c>
      <c r="J146" s="1" t="s">
        <v>293</v>
      </c>
      <c r="L146" s="176">
        <f>'Projected ABP RECs'!C178</f>
        <v>0</v>
      </c>
      <c r="M146" s="176">
        <f>'Projected ABP RECs'!D178</f>
        <v>0</v>
      </c>
      <c r="N146" s="176">
        <f>'Projected ABP RECs'!E178</f>
        <v>0</v>
      </c>
      <c r="O146" s="176">
        <f>'Projected ABP RECs'!F178+'Indexed REC Activities'!J94</f>
        <v>0</v>
      </c>
      <c r="P146" s="176">
        <f>'Projected ABP RECs'!G178+'Indexed REC Activities'!K94</f>
        <v>0</v>
      </c>
      <c r="Q146" s="176">
        <f>'Projected ABP RECs'!H178+'Indexed REC Activities'!L94</f>
        <v>0</v>
      </c>
      <c r="R146" s="176">
        <f>'Projected ABP RECs'!I178+'Indexed REC Activities'!M94</f>
        <v>722367.5232145288</v>
      </c>
      <c r="S146" s="176">
        <f>'Projected ABP RECs'!J178+'Indexed REC Activities'!N94</f>
        <v>1808424.4024129848</v>
      </c>
      <c r="T146" s="176">
        <f>'Projected ABP RECs'!K178+'Indexed REC Activities'!O94</f>
        <v>2166683.4740009196</v>
      </c>
      <c r="U146" s="176">
        <f>'Projected ABP RECs'!L178+'Indexed REC Activities'!P94</f>
        <v>3990850.056630915</v>
      </c>
      <c r="V146" s="176">
        <f>'Projected ABP RECs'!M178+'Indexed REC Activities'!Q94</f>
        <v>5810895.8063477604</v>
      </c>
      <c r="W146" s="176">
        <f>'Projected ABP RECs'!N178+'Indexed REC Activities'!R94</f>
        <v>5791841.3273160215</v>
      </c>
      <c r="X146" s="176">
        <f>'Projected ABP RECs'!O178+'Indexed REC Activities'!S94</f>
        <v>5772882.1206794418</v>
      </c>
      <c r="Y146" s="176">
        <f>'Projected ABP RECs'!P178+'Indexed REC Activities'!T94</f>
        <v>5754017.7100760452</v>
      </c>
      <c r="Z146" s="176">
        <f>'Projected ABP RECs'!Q178+'Indexed REC Activities'!U94</f>
        <v>5735247.6215256648</v>
      </c>
      <c r="AA146" s="176">
        <f>'Projected ABP RECs'!R178+'Indexed REC Activities'!V94</f>
        <v>5716571.3834180366</v>
      </c>
      <c r="AB146" s="176">
        <f>'Projected ABP RECs'!S178+'Indexed REC Activities'!W94</f>
        <v>5697988.5265009459</v>
      </c>
      <c r="AC146" s="176">
        <f>'Projected ABP RECs'!T178+'Indexed REC Activities'!X94</f>
        <v>5679498.5838684412</v>
      </c>
      <c r="AD146" s="176"/>
      <c r="AE146" s="176"/>
      <c r="AF146" s="176"/>
    </row>
    <row r="147" spans="3:32" x14ac:dyDescent="0.25">
      <c r="C147" s="171" t="s">
        <v>244</v>
      </c>
      <c r="D147" s="172">
        <f>'REC Spend projected'!O10</f>
        <v>50000000</v>
      </c>
      <c r="E147" s="172">
        <f>'REC Spend projected'!N10</f>
        <v>0</v>
      </c>
      <c r="F147" s="172">
        <f>'REC Spend projected'!M10</f>
        <v>17095059.275192287</v>
      </c>
      <c r="G147" s="172">
        <f t="shared" si="19"/>
        <v>67095059.275192291</v>
      </c>
      <c r="J147" s="1" t="s">
        <v>294</v>
      </c>
      <c r="L147" s="176">
        <f>'Projected ABP RECs'!C179</f>
        <v>0</v>
      </c>
      <c r="M147" s="176">
        <f>'Projected ABP RECs'!D179</f>
        <v>0</v>
      </c>
      <c r="N147" s="176">
        <f>'Projected ABP RECs'!E179</f>
        <v>0</v>
      </c>
      <c r="O147" s="176">
        <f>'Projected ABP RECs'!F179+'Indexed REC Activities'!J95</f>
        <v>0</v>
      </c>
      <c r="P147" s="176">
        <f>'Projected ABP RECs'!G179+'Indexed REC Activities'!K95</f>
        <v>0</v>
      </c>
      <c r="Q147" s="176">
        <f>'Projected ABP RECs'!H179+'Indexed REC Activities'!L95</f>
        <v>0</v>
      </c>
      <c r="R147" s="176">
        <f>'Projected ABP RECs'!I179+'Indexed REC Activities'!M95</f>
        <v>0</v>
      </c>
      <c r="S147" s="176">
        <f>'Projected ABP RECs'!J179+'Indexed REC Activities'!N95</f>
        <v>0</v>
      </c>
      <c r="T147" s="176">
        <f>'Projected ABP RECs'!K179+'Indexed REC Activities'!O95</f>
        <v>722367.5232145288</v>
      </c>
      <c r="U147" s="176">
        <f>'Projected ABP RECs'!L179+'Indexed REC Activities'!P95</f>
        <v>1447240.6408057204</v>
      </c>
      <c r="V147" s="176">
        <f>'Projected ABP RECs'!M179+'Indexed REC Activities'!Q95</f>
        <v>1623655.034401692</v>
      </c>
      <c r="W147" s="176">
        <f>'Projected ABP RECs'!N179+'Indexed REC Activities'!R95</f>
        <v>3450536.7592296833</v>
      </c>
      <c r="X147" s="176">
        <f>'Projected ABP RECs'!O179+'Indexed REC Activities'!S95</f>
        <v>5273284.0754335355</v>
      </c>
      <c r="Y147" s="176">
        <f>'Projected ABP RECs'!P179+'Indexed REC Activities'!T95</f>
        <v>5256917.6550563676</v>
      </c>
      <c r="Z147" s="176">
        <f>'Projected ABP RECs'!Q179+'Indexed REC Activities'!U95</f>
        <v>5240633.066781085</v>
      </c>
      <c r="AA147" s="176">
        <f>'Projected ABP RECs'!R179+'Indexed REC Activities'!V95</f>
        <v>5224429.9014471797</v>
      </c>
      <c r="AB147" s="176">
        <f>'Projected ABP RECs'!S179+'Indexed REC Activities'!W95</f>
        <v>5208307.7519399449</v>
      </c>
      <c r="AC147" s="176">
        <f>'Projected ABP RECs'!T179+'Indexed REC Activities'!X95</f>
        <v>5192266.2131802449</v>
      </c>
      <c r="AD147" s="176"/>
      <c r="AE147" s="176"/>
      <c r="AF147" s="176"/>
    </row>
    <row r="148" spans="3:32" x14ac:dyDescent="0.25">
      <c r="C148" s="171" t="s">
        <v>245</v>
      </c>
      <c r="D148" s="172">
        <f>'REC Spend projected'!O11</f>
        <v>50000000</v>
      </c>
      <c r="E148" s="172">
        <f>'REC Spend projected'!N11</f>
        <v>10000000</v>
      </c>
      <c r="F148" s="172">
        <f>'REC Spend projected'!M11</f>
        <v>17304402.141023751</v>
      </c>
      <c r="G148" s="172">
        <f t="shared" si="19"/>
        <v>77304402.141023755</v>
      </c>
      <c r="J148" s="1" t="s">
        <v>295</v>
      </c>
      <c r="L148" s="176">
        <f>'Projected ABP RECs'!C180</f>
        <v>0</v>
      </c>
      <c r="M148" s="176">
        <f>'Projected ABP RECs'!D180</f>
        <v>0</v>
      </c>
      <c r="N148" s="176">
        <f>'Projected ABP RECs'!E180</f>
        <v>0</v>
      </c>
      <c r="O148" s="176">
        <f>'Projected ABP RECs'!F180+'Indexed REC Activities'!J96</f>
        <v>0</v>
      </c>
      <c r="P148" s="176">
        <f>'Projected ABP RECs'!G180+'Indexed REC Activities'!K96</f>
        <v>0</v>
      </c>
      <c r="Q148" s="176">
        <f>'Projected ABP RECs'!H180+'Indexed REC Activities'!L96</f>
        <v>0</v>
      </c>
      <c r="R148" s="176">
        <f>'Projected ABP RECs'!I180+'Indexed REC Activities'!M96</f>
        <v>0</v>
      </c>
      <c r="S148" s="176">
        <f>'Projected ABP RECs'!J180+'Indexed REC Activities'!N96</f>
        <v>0</v>
      </c>
      <c r="T148" s="176">
        <f>'Projected ABP RECs'!K180+'Indexed REC Activities'!O96</f>
        <v>0</v>
      </c>
      <c r="U148" s="176">
        <f>'Projected ABP RECs'!L180+'Indexed REC Activities'!P96</f>
        <v>0</v>
      </c>
      <c r="V148" s="176">
        <f>'Projected ABP RECs'!M180+'Indexed REC Activities'!Q96</f>
        <v>361183.7616072644</v>
      </c>
      <c r="W148" s="176">
        <f>'Projected ABP RECs'!N180+'Indexed REC Activities'!R96</f>
        <v>904212.20120649238</v>
      </c>
      <c r="X148" s="176">
        <f>'Projected ABP RECs'!O180+'Indexed REC Activities'!S96</f>
        <v>1083341.7370004598</v>
      </c>
      <c r="Y148" s="176">
        <f>'Projected ABP RECs'!P180+'Indexed REC Activities'!T96</f>
        <v>2912925.0283154575</v>
      </c>
      <c r="Z148" s="176">
        <f>'Projected ABP RECs'!Q180+'Indexed REC Activities'!U96</f>
        <v>4738360.4031738807</v>
      </c>
      <c r="AA148" s="176">
        <f>'Projected ABP RECs'!R180+'Indexed REC Activities'!V96</f>
        <v>4724668.6011580108</v>
      </c>
      <c r="AB148" s="176">
        <f>'Projected ABP RECs'!S180+'Indexed REC Activities'!W96</f>
        <v>4711045.2581522204</v>
      </c>
      <c r="AC148" s="176">
        <f>'Projected ABP RECs'!T180+'Indexed REC Activities'!X96</f>
        <v>4697490.0318614598</v>
      </c>
      <c r="AD148" s="176"/>
      <c r="AE148" s="176"/>
      <c r="AF148" s="176"/>
    </row>
    <row r="149" spans="3:32" x14ac:dyDescent="0.25">
      <c r="C149" s="171" t="s">
        <v>246</v>
      </c>
      <c r="D149" s="172">
        <f>'REC Spend projected'!O12</f>
        <v>50000000</v>
      </c>
      <c r="E149" s="172">
        <f>'REC Spend projected'!N12</f>
        <v>0</v>
      </c>
      <c r="F149" s="172">
        <f>'REC Spend projected'!M12</f>
        <v>17640600.719584882</v>
      </c>
      <c r="G149" s="172">
        <f t="shared" si="19"/>
        <v>67640600.719584882</v>
      </c>
      <c r="J149" s="1" t="s">
        <v>296</v>
      </c>
      <c r="L149" s="176">
        <f>'Projected ABP RECs'!C181</f>
        <v>0</v>
      </c>
      <c r="M149" s="176">
        <f>'Projected ABP RECs'!D181</f>
        <v>0</v>
      </c>
      <c r="N149" s="176">
        <f>'Projected ABP RECs'!E181</f>
        <v>0</v>
      </c>
      <c r="O149" s="176">
        <f>'Projected ABP RECs'!F181+'Indexed REC Activities'!J97</f>
        <v>0</v>
      </c>
      <c r="P149" s="176">
        <f>'Projected ABP RECs'!G181+'Indexed REC Activities'!K97</f>
        <v>0</v>
      </c>
      <c r="Q149" s="176">
        <f>'Projected ABP RECs'!H181+'Indexed REC Activities'!L97</f>
        <v>0</v>
      </c>
      <c r="R149" s="176">
        <f>'Projected ABP RECs'!I181+'Indexed REC Activities'!M97</f>
        <v>0</v>
      </c>
      <c r="S149" s="176">
        <f>'Projected ABP RECs'!J181+'Indexed REC Activities'!N97</f>
        <v>0</v>
      </c>
      <c r="T149" s="176">
        <f>'Projected ABP RECs'!K181+'Indexed REC Activities'!O97</f>
        <v>0</v>
      </c>
      <c r="U149" s="176">
        <f>'Projected ABP RECs'!L181+'Indexed REC Activities'!P97</f>
        <v>0</v>
      </c>
      <c r="V149" s="176">
        <f>'Projected ABP RECs'!M181+'Indexed REC Activities'!Q97</f>
        <v>0</v>
      </c>
      <c r="W149" s="176">
        <f>'Projected ABP RECs'!N181+'Indexed REC Activities'!R97</f>
        <v>0</v>
      </c>
      <c r="X149" s="176">
        <f>'Projected ABP RECs'!O181+'Indexed REC Activities'!S97</f>
        <v>361183.7616072644</v>
      </c>
      <c r="Y149" s="176">
        <f>'Projected ABP RECs'!P181+'Indexed REC Activities'!T97</f>
        <v>904212.20120649238</v>
      </c>
      <c r="Z149" s="176">
        <f>'Projected ABP RECs'!Q181+'Indexed REC Activities'!U97</f>
        <v>1083341.7370004598</v>
      </c>
      <c r="AA149" s="176">
        <f>'Projected ABP RECs'!R181+'Indexed REC Activities'!V97</f>
        <v>2912925.0283154575</v>
      </c>
      <c r="AB149" s="176">
        <f>'Projected ABP RECs'!S181+'Indexed REC Activities'!W97</f>
        <v>4738360.4031738807</v>
      </c>
      <c r="AC149" s="176">
        <f>'Projected ABP RECs'!T181+'Indexed REC Activities'!X97</f>
        <v>4724668.6011580108</v>
      </c>
      <c r="AD149" s="176"/>
      <c r="AE149" s="176"/>
      <c r="AF149" s="176"/>
    </row>
    <row r="150" spans="3:32" x14ac:dyDescent="0.25">
      <c r="C150" s="171" t="s">
        <v>247</v>
      </c>
      <c r="D150" s="172">
        <f>'REC Spend projected'!O13</f>
        <v>50000000</v>
      </c>
      <c r="E150" s="172">
        <f>'REC Spend projected'!N13</f>
        <v>0</v>
      </c>
      <c r="F150" s="172">
        <f>'REC Spend projected'!M13</f>
        <v>18123785.490454581</v>
      </c>
      <c r="G150" s="172">
        <f t="shared" si="19"/>
        <v>68123785.490454584</v>
      </c>
      <c r="J150" s="1" t="s">
        <v>297</v>
      </c>
      <c r="L150" s="176">
        <f>'Projected ABP RECs'!C182</f>
        <v>0</v>
      </c>
      <c r="M150" s="176">
        <f>'Projected ABP RECs'!D182</f>
        <v>0</v>
      </c>
      <c r="N150" s="176">
        <f>'Projected ABP RECs'!E182</f>
        <v>0</v>
      </c>
      <c r="O150" s="176">
        <f>'Projected ABP RECs'!F182+'Indexed REC Activities'!J98</f>
        <v>0</v>
      </c>
      <c r="P150" s="176">
        <f>'Projected ABP RECs'!G182+'Indexed REC Activities'!K98</f>
        <v>0</v>
      </c>
      <c r="Q150" s="176">
        <f>'Projected ABP RECs'!H182+'Indexed REC Activities'!L98</f>
        <v>0</v>
      </c>
      <c r="R150" s="176">
        <f>'Projected ABP RECs'!I182+'Indexed REC Activities'!M98</f>
        <v>0</v>
      </c>
      <c r="S150" s="176">
        <f>'Projected ABP RECs'!J182+'Indexed REC Activities'!N98</f>
        <v>0</v>
      </c>
      <c r="T150" s="176">
        <f>'Projected ABP RECs'!K182+'Indexed REC Activities'!O98</f>
        <v>0</v>
      </c>
      <c r="U150" s="176">
        <f>'Projected ABP RECs'!L182+'Indexed REC Activities'!P98</f>
        <v>0</v>
      </c>
      <c r="V150" s="176">
        <f>'Projected ABP RECs'!M182+'Indexed REC Activities'!Q98</f>
        <v>0</v>
      </c>
      <c r="W150" s="176">
        <f>'Projected ABP RECs'!N182+'Indexed REC Activities'!R98</f>
        <v>0</v>
      </c>
      <c r="X150" s="176">
        <f>'Projected ABP RECs'!O182+'Indexed REC Activities'!S98</f>
        <v>0</v>
      </c>
      <c r="Y150" s="176">
        <f>'Projected ABP RECs'!P182+'Indexed REC Activities'!T98</f>
        <v>0</v>
      </c>
      <c r="Z150" s="176">
        <f>'Projected ABP RECs'!Q182+'Indexed REC Activities'!U98</f>
        <v>361183.7616072644</v>
      </c>
      <c r="AA150" s="176">
        <f>'Projected ABP RECs'!R182+'Indexed REC Activities'!V98</f>
        <v>904212.20120649238</v>
      </c>
      <c r="AB150" s="176">
        <f>'Projected ABP RECs'!S182+'Indexed REC Activities'!W98</f>
        <v>1083341.7370004598</v>
      </c>
      <c r="AC150" s="176">
        <f>'Projected ABP RECs'!T182+'Indexed REC Activities'!X98</f>
        <v>2912925.0283154575</v>
      </c>
      <c r="AD150" s="176"/>
      <c r="AE150" s="176"/>
      <c r="AF150" s="176"/>
    </row>
    <row r="151" spans="3:32" x14ac:dyDescent="0.25">
      <c r="C151" s="171" t="s">
        <v>248</v>
      </c>
      <c r="D151" s="172">
        <f>'REC Spend projected'!O14</f>
        <v>50000000</v>
      </c>
      <c r="E151" s="172">
        <f>'REC Spend projected'!N14</f>
        <v>10000000</v>
      </c>
      <c r="F151" s="172">
        <f>'REC Spend projected'!M14</f>
        <v>18786284.459790569</v>
      </c>
      <c r="G151" s="172">
        <f t="shared" si="19"/>
        <v>78786284.459790573</v>
      </c>
      <c r="J151" s="1" t="s">
        <v>298</v>
      </c>
      <c r="L151" s="176">
        <f>'Projected ABP RECs'!C183</f>
        <v>0</v>
      </c>
      <c r="M151" s="176">
        <f>'Projected ABP RECs'!D183</f>
        <v>0</v>
      </c>
      <c r="N151" s="176">
        <f>'Projected ABP RECs'!E183</f>
        <v>0</v>
      </c>
      <c r="O151" s="176">
        <f>'Projected ABP RECs'!F183+'Indexed REC Activities'!J99</f>
        <v>0</v>
      </c>
      <c r="P151" s="176">
        <f>'Projected ABP RECs'!G183+'Indexed REC Activities'!K99</f>
        <v>0</v>
      </c>
      <c r="Q151" s="176">
        <f>'Projected ABP RECs'!H183+'Indexed REC Activities'!L99</f>
        <v>0</v>
      </c>
      <c r="R151" s="176">
        <f>'Projected ABP RECs'!I183+'Indexed REC Activities'!M99</f>
        <v>0</v>
      </c>
      <c r="S151" s="176">
        <f>'Projected ABP RECs'!J183+'Indexed REC Activities'!N99</f>
        <v>0</v>
      </c>
      <c r="T151" s="176">
        <f>'Projected ABP RECs'!K183+'Indexed REC Activities'!O99</f>
        <v>0</v>
      </c>
      <c r="U151" s="176">
        <f>'Projected ABP RECs'!L183+'Indexed REC Activities'!P99</f>
        <v>0</v>
      </c>
      <c r="V151" s="176">
        <f>'Projected ABP RECs'!M183+'Indexed REC Activities'!Q99</f>
        <v>0</v>
      </c>
      <c r="W151" s="176">
        <f>'Projected ABP RECs'!N183+'Indexed REC Activities'!R99</f>
        <v>0</v>
      </c>
      <c r="X151" s="176">
        <f>'Projected ABP RECs'!O183+'Indexed REC Activities'!S99</f>
        <v>0</v>
      </c>
      <c r="Y151" s="176">
        <f>'Projected ABP RECs'!P183+'Indexed REC Activities'!T99</f>
        <v>0</v>
      </c>
      <c r="Z151" s="176">
        <f>'Projected ABP RECs'!Q183+'Indexed REC Activities'!U99</f>
        <v>0</v>
      </c>
      <c r="AA151" s="176">
        <f>'Projected ABP RECs'!R183+'Indexed REC Activities'!V99</f>
        <v>0</v>
      </c>
      <c r="AB151" s="176">
        <f>'Projected ABP RECs'!S183+'Indexed REC Activities'!W99</f>
        <v>722367.5232145288</v>
      </c>
      <c r="AC151" s="176">
        <f>'Projected ABP RECs'!T183+'Indexed REC Activities'!X99</f>
        <v>1086056.879198456</v>
      </c>
      <c r="AD151" s="176"/>
      <c r="AE151" s="176"/>
      <c r="AF151" s="176"/>
    </row>
    <row r="152" spans="3:32" x14ac:dyDescent="0.25">
      <c r="C152" s="30" t="s">
        <v>249</v>
      </c>
      <c r="D152" s="172">
        <f>'REC Spend projected'!O15</f>
        <v>50000000</v>
      </c>
      <c r="E152" s="172">
        <f>'REC Spend projected'!N15</f>
        <v>0</v>
      </c>
      <c r="F152" s="172">
        <f>'REC Spend projected'!M15</f>
        <v>19538734.721551601</v>
      </c>
      <c r="G152" s="172">
        <f t="shared" si="19"/>
        <v>69538734.721551597</v>
      </c>
      <c r="J152" s="163" t="s">
        <v>299</v>
      </c>
      <c r="K152" s="163" cm="1">
        <f t="array" ref="K152:AC152">TRANSPOSE('Collections and ACP'!F11:F29)</f>
        <v>27600405.588387385</v>
      </c>
      <c r="L152" s="163">
        <v>29269236.747776389</v>
      </c>
      <c r="M152">
        <v>32647446.76482071</v>
      </c>
      <c r="N152">
        <v>36564970.261851996</v>
      </c>
      <c r="O152">
        <v>40854560.463967174</v>
      </c>
      <c r="P152">
        <v>45635924.231572881</v>
      </c>
      <c r="Q152">
        <v>51084223.557349876</v>
      </c>
      <c r="R152">
        <v>54278954.691606775</v>
      </c>
      <c r="S152">
        <v>57647567.180061609</v>
      </c>
      <c r="T152">
        <v>60901985.082138978</v>
      </c>
      <c r="U152">
        <v>64130812.506270096</v>
      </c>
      <c r="V152">
        <v>67051743.884838134</v>
      </c>
      <c r="W152">
        <v>69669123.749054149</v>
      </c>
      <c r="X152">
        <v>71719438.231856823</v>
      </c>
      <c r="Y152">
        <v>73807782.542708427</v>
      </c>
      <c r="Z152">
        <v>75781990.962177396</v>
      </c>
      <c r="AA152">
        <v>77887811.689798236</v>
      </c>
      <c r="AB152">
        <v>78187706.648671687</v>
      </c>
      <c r="AC152">
        <v>78497877.765333831</v>
      </c>
    </row>
    <row r="153" spans="3:32" x14ac:dyDescent="0.25">
      <c r="C153" s="171" t="s">
        <v>250</v>
      </c>
      <c r="D153" s="172">
        <f>'REC Spend projected'!O16</f>
        <v>50000000</v>
      </c>
      <c r="E153" s="172">
        <f>'REC Spend projected'!N16</f>
        <v>0</v>
      </c>
      <c r="F153" s="172">
        <f>'REC Spend projected'!M16</f>
        <v>20311109.983324051</v>
      </c>
      <c r="G153" s="172">
        <f t="shared" si="19"/>
        <v>70311109.983324051</v>
      </c>
      <c r="J153" s="163"/>
      <c r="K153" s="163"/>
      <c r="L153" s="163"/>
      <c r="M153" s="163"/>
      <c r="N153" s="163"/>
      <c r="O153" s="163"/>
      <c r="P153" s="163"/>
      <c r="Q153" s="163"/>
      <c r="R153" s="163"/>
    </row>
    <row r="154" spans="3:32" x14ac:dyDescent="0.25">
      <c r="C154" s="171" t="s">
        <v>251</v>
      </c>
      <c r="D154" s="172">
        <f>'REC Spend projected'!O17</f>
        <v>50000000</v>
      </c>
      <c r="E154" s="172">
        <f>'REC Spend projected'!N17</f>
        <v>0</v>
      </c>
      <c r="F154" s="172">
        <f>'REC Spend projected'!M17</f>
        <v>20999871.477821622</v>
      </c>
      <c r="G154" s="172">
        <f t="shared" si="19"/>
        <v>70999871.477821618</v>
      </c>
      <c r="J154" s="163"/>
      <c r="K154" s="163"/>
      <c r="L154" s="163"/>
      <c r="M154" s="163"/>
      <c r="N154" s="163"/>
      <c r="O154" s="163"/>
      <c r="P154" s="163"/>
      <c r="Q154" s="163"/>
      <c r="R154" s="163"/>
    </row>
    <row r="155" spans="3:32" x14ac:dyDescent="0.25">
      <c r="C155" s="171" t="s">
        <v>252</v>
      </c>
      <c r="D155" s="172">
        <f>'REC Spend projected'!O18</f>
        <v>50000000</v>
      </c>
      <c r="E155" s="172">
        <f>'REC Spend projected'!N18</f>
        <v>0</v>
      </c>
      <c r="F155" s="172">
        <f>'REC Spend projected'!M18</f>
        <v>21638874.837884035</v>
      </c>
      <c r="G155" s="172">
        <f t="shared" si="19"/>
        <v>71638874.837884039</v>
      </c>
      <c r="J155" s="163"/>
      <c r="K155" s="163"/>
      <c r="L155" s="163"/>
      <c r="M155" s="163"/>
      <c r="N155" s="163"/>
      <c r="O155" s="163"/>
      <c r="P155" s="163"/>
      <c r="Q155" s="163"/>
      <c r="R155" s="163"/>
    </row>
    <row r="156" spans="3:32" x14ac:dyDescent="0.25">
      <c r="C156" s="171" t="s">
        <v>253</v>
      </c>
      <c r="D156" s="172">
        <f>'REC Spend projected'!O19</f>
        <v>50000000</v>
      </c>
      <c r="E156" s="172">
        <f>'REC Spend projected'!N19</f>
        <v>0</v>
      </c>
      <c r="F156" s="172">
        <f>'REC Spend projected'!M19</f>
        <v>22135547.577141877</v>
      </c>
      <c r="G156" s="172">
        <f t="shared" si="19"/>
        <v>72135547.577141881</v>
      </c>
      <c r="J156" s="163"/>
      <c r="K156" s="163"/>
      <c r="L156" s="163"/>
      <c r="M156" s="163"/>
      <c r="N156" s="163"/>
      <c r="O156" s="163"/>
      <c r="P156" s="163"/>
      <c r="Q156" s="163"/>
      <c r="R156" s="163"/>
    </row>
    <row r="157" spans="3:32" x14ac:dyDescent="0.25">
      <c r="C157" s="171" t="s">
        <v>254</v>
      </c>
      <c r="D157" s="172">
        <f>'REC Spend projected'!O20</f>
        <v>50000000</v>
      </c>
      <c r="E157" s="172">
        <f>'REC Spend projected'!N20</f>
        <v>0</v>
      </c>
      <c r="F157" s="172">
        <f>'REC Spend projected'!M20</f>
        <v>22499312.827168688</v>
      </c>
      <c r="G157" s="172">
        <f t="shared" si="19"/>
        <v>72499312.827168688</v>
      </c>
      <c r="J157" s="163"/>
      <c r="K157" s="163"/>
      <c r="L157" s="163"/>
      <c r="M157" s="163"/>
      <c r="N157" s="163"/>
      <c r="O157" s="163"/>
      <c r="P157" s="163"/>
      <c r="Q157" s="163"/>
      <c r="R157" s="163"/>
    </row>
    <row r="158" spans="3:32" x14ac:dyDescent="0.25">
      <c r="C158" s="171" t="s">
        <v>255</v>
      </c>
      <c r="D158" s="172">
        <f>'REC Spend projected'!O21</f>
        <v>50000000</v>
      </c>
      <c r="E158" s="172">
        <f>'REC Spend projected'!N21</f>
        <v>0</v>
      </c>
      <c r="F158" s="172">
        <f>'REC Spend projected'!M21</f>
        <v>22653690.409483574</v>
      </c>
      <c r="G158" s="172">
        <f t="shared" si="19"/>
        <v>72653690.409483582</v>
      </c>
      <c r="J158" s="163"/>
      <c r="K158" s="163"/>
      <c r="L158" s="163"/>
      <c r="M158" s="163"/>
      <c r="N158" s="163"/>
      <c r="O158" s="163"/>
      <c r="P158" s="163"/>
      <c r="Q158" s="163"/>
      <c r="R158" s="163"/>
    </row>
    <row r="159" spans="3:32" x14ac:dyDescent="0.25">
      <c r="C159" s="171" t="s">
        <v>256</v>
      </c>
      <c r="D159" s="172">
        <f>'REC Spend projected'!O22</f>
        <v>50000000</v>
      </c>
      <c r="E159" s="172">
        <f>'REC Spend projected'!N22</f>
        <v>0</v>
      </c>
      <c r="F159" s="172">
        <f>'REC Spend projected'!M22</f>
        <v>22801622.582818713</v>
      </c>
      <c r="G159" s="172">
        <f t="shared" si="19"/>
        <v>72801622.582818717</v>
      </c>
      <c r="J159" s="163"/>
      <c r="K159" s="163"/>
      <c r="L159" s="163"/>
      <c r="M159" s="163"/>
      <c r="N159" s="163"/>
      <c r="O159" s="163"/>
      <c r="P159" s="163"/>
      <c r="Q159" s="163"/>
      <c r="R159" s="163"/>
    </row>
    <row r="160" spans="3:32" x14ac:dyDescent="0.25">
      <c r="C160" s="171" t="s">
        <v>257</v>
      </c>
      <c r="D160" s="172">
        <f>'REC Spend projected'!O23</f>
        <v>50000000</v>
      </c>
      <c r="E160" s="172">
        <f>'REC Spend projected'!N23</f>
        <v>0</v>
      </c>
      <c r="F160" s="172">
        <f>'REC Spend projected'!M23</f>
        <v>22896692.408557206</v>
      </c>
      <c r="G160" s="172">
        <f t="shared" si="19"/>
        <v>72896692.408557206</v>
      </c>
      <c r="J160" s="163"/>
      <c r="K160" s="163"/>
      <c r="L160" s="163"/>
      <c r="M160" s="163"/>
      <c r="N160" s="163"/>
      <c r="O160" s="163"/>
      <c r="P160" s="163"/>
      <c r="Q160" s="163"/>
      <c r="R160" s="163"/>
    </row>
    <row r="161" spans="2:18" x14ac:dyDescent="0.25">
      <c r="C161" s="171" t="s">
        <v>258</v>
      </c>
      <c r="D161" s="172">
        <f>'REC Spend projected'!O24</f>
        <v>50000000</v>
      </c>
      <c r="E161" s="172">
        <f>'REC Spend projected'!N24</f>
        <v>0</v>
      </c>
      <c r="F161" s="172">
        <f>'REC Spend projected'!M24</f>
        <v>23015743.307197146</v>
      </c>
      <c r="G161" s="172">
        <f t="shared" si="19"/>
        <v>73015743.307197154</v>
      </c>
      <c r="J161" s="163"/>
      <c r="K161" s="163"/>
      <c r="L161" s="163"/>
      <c r="M161" s="163"/>
      <c r="N161" s="163"/>
      <c r="O161" s="163"/>
      <c r="P161" s="163"/>
      <c r="Q161" s="163"/>
      <c r="R161" s="163"/>
    </row>
    <row r="162" spans="2:18" x14ac:dyDescent="0.25">
      <c r="C162" s="171" t="s">
        <v>259</v>
      </c>
      <c r="D162" s="172">
        <f>'REC Spend projected'!O25</f>
        <v>50000000</v>
      </c>
      <c r="E162" s="172">
        <f>'REC Spend projected'!N25</f>
        <v>0</v>
      </c>
      <c r="F162" s="172">
        <f>'REC Spend projected'!M25</f>
        <v>23106390.458387073</v>
      </c>
      <c r="G162" s="172">
        <f t="shared" si="19"/>
        <v>73106390.458387077</v>
      </c>
      <c r="J162" s="163"/>
      <c r="K162" s="163"/>
      <c r="L162" s="163"/>
      <c r="M162" s="163"/>
      <c r="N162" s="163"/>
      <c r="O162" s="163"/>
      <c r="P162" s="163"/>
      <c r="Q162" s="163"/>
      <c r="R162" s="163"/>
    </row>
    <row r="163" spans="2:18" x14ac:dyDescent="0.25">
      <c r="C163" s="171" t="s">
        <v>260</v>
      </c>
      <c r="D163" s="172">
        <f>'REC Spend projected'!O26</f>
        <v>50000000</v>
      </c>
      <c r="E163" s="172">
        <f>'REC Spend projected'!N26</f>
        <v>0</v>
      </c>
      <c r="F163" s="172">
        <f>'REC Spend projected'!M26</f>
        <v>23199678.287410907</v>
      </c>
      <c r="G163" s="172">
        <f t="shared" si="19"/>
        <v>73199678.287410915</v>
      </c>
      <c r="J163" s="163"/>
      <c r="K163" s="163"/>
      <c r="L163" s="163"/>
      <c r="M163" s="163"/>
      <c r="N163" s="163"/>
      <c r="O163" s="163"/>
      <c r="P163" s="163"/>
      <c r="Q163" s="163"/>
      <c r="R163" s="163"/>
    </row>
    <row r="164" spans="2:18" x14ac:dyDescent="0.25">
      <c r="F164" s="37"/>
      <c r="J164" s="163"/>
      <c r="K164" s="163"/>
      <c r="L164" s="163"/>
      <c r="M164" s="163"/>
      <c r="N164" s="163"/>
      <c r="O164" s="163"/>
      <c r="P164" s="163"/>
      <c r="Q164" s="163"/>
      <c r="R164" s="163"/>
    </row>
    <row r="165" spans="2:18" x14ac:dyDescent="0.25">
      <c r="B165" s="31" t="s">
        <v>300</v>
      </c>
      <c r="F165" s="37"/>
      <c r="J165" s="163"/>
    </row>
    <row r="166" spans="2:18" ht="30" x14ac:dyDescent="0.25">
      <c r="C166" s="13" t="s">
        <v>1</v>
      </c>
      <c r="D166" s="13" t="s">
        <v>301</v>
      </c>
      <c r="E166" s="13" t="s">
        <v>302</v>
      </c>
      <c r="F166" s="13" t="s">
        <v>303</v>
      </c>
      <c r="H166" s="240"/>
      <c r="I166" s="240"/>
    </row>
    <row r="167" spans="2:18" x14ac:dyDescent="0.25">
      <c r="C167" s="171" t="s">
        <v>238</v>
      </c>
      <c r="D167" s="26">
        <f>E5</f>
        <v>777880.89229999995</v>
      </c>
      <c r="E167" s="211">
        <f>D5</f>
        <v>2560409</v>
      </c>
      <c r="F167" s="35">
        <f>F5</f>
        <v>3338289.8922999999</v>
      </c>
      <c r="H167" s="50"/>
      <c r="J167" s="240"/>
      <c r="K167" s="240"/>
    </row>
    <row r="168" spans="2:18" x14ac:dyDescent="0.25">
      <c r="C168" s="171" t="s">
        <v>239</v>
      </c>
      <c r="D168" s="26">
        <f t="shared" ref="D168:D189" si="20">E6</f>
        <v>2089427.1079333334</v>
      </c>
      <c r="E168" s="211">
        <f t="shared" ref="E168:E189" si="21">D6</f>
        <v>3895928</v>
      </c>
      <c r="F168" s="35">
        <f t="shared" ref="F168:F189" si="22">F6</f>
        <v>5985355.1079333331</v>
      </c>
      <c r="H168" s="50"/>
      <c r="I168" s="163"/>
    </row>
    <row r="169" spans="2:18" x14ac:dyDescent="0.25">
      <c r="C169" s="171" t="s">
        <v>240</v>
      </c>
      <c r="D169" s="26">
        <f t="shared" si="20"/>
        <v>3340278.2002666667</v>
      </c>
      <c r="E169" s="211">
        <f t="shared" si="21"/>
        <v>3895928</v>
      </c>
      <c r="F169" s="35">
        <f t="shared" si="22"/>
        <v>7236206.2002666667</v>
      </c>
      <c r="H169" s="50"/>
      <c r="I169" s="163"/>
      <c r="J169" s="19"/>
      <c r="K169" s="37"/>
    </row>
    <row r="170" spans="2:18" x14ac:dyDescent="0.25">
      <c r="C170" s="171" t="s">
        <v>241</v>
      </c>
      <c r="D170" s="26">
        <f t="shared" si="20"/>
        <v>3851954.9221383333</v>
      </c>
      <c r="E170" s="211">
        <f t="shared" si="21"/>
        <v>3895928</v>
      </c>
      <c r="F170" s="35">
        <f t="shared" si="22"/>
        <v>7747882.9221383333</v>
      </c>
      <c r="H170" s="50"/>
      <c r="I170" s="163"/>
      <c r="J170" s="19"/>
      <c r="K170" s="37"/>
    </row>
    <row r="171" spans="2:18" x14ac:dyDescent="0.25">
      <c r="C171" s="171" t="s">
        <v>242</v>
      </c>
      <c r="D171" s="26">
        <f t="shared" si="20"/>
        <v>4707988.2654006416</v>
      </c>
      <c r="E171" s="211">
        <f t="shared" si="21"/>
        <v>3895928</v>
      </c>
      <c r="F171" s="35">
        <f t="shared" si="22"/>
        <v>8603916.2654006407</v>
      </c>
      <c r="H171" s="50"/>
      <c r="I171" s="163"/>
      <c r="J171" s="19"/>
      <c r="K171" s="37"/>
    </row>
    <row r="172" spans="2:18" x14ac:dyDescent="0.25">
      <c r="C172" s="171" t="s">
        <v>243</v>
      </c>
      <c r="D172" s="26">
        <f t="shared" si="20"/>
        <v>7453972.0027685557</v>
      </c>
      <c r="E172" s="211">
        <f t="shared" si="21"/>
        <v>3972152.1643835618</v>
      </c>
      <c r="F172" s="35">
        <f t="shared" si="22"/>
        <v>11426124.167152118</v>
      </c>
      <c r="H172" s="50"/>
      <c r="I172" s="163"/>
      <c r="J172" s="19"/>
      <c r="K172" s="37"/>
    </row>
    <row r="173" spans="2:18" x14ac:dyDescent="0.25">
      <c r="C173" s="171" t="s">
        <v>244</v>
      </c>
      <c r="D173" s="26">
        <f t="shared" si="20"/>
        <v>8706884.1876140162</v>
      </c>
      <c r="E173" s="211">
        <f t="shared" si="21"/>
        <v>4476202.3506164383</v>
      </c>
      <c r="F173" s="35">
        <f t="shared" si="22"/>
        <v>13183086.538230455</v>
      </c>
      <c r="H173" s="50"/>
      <c r="I173" s="163"/>
      <c r="J173" s="19"/>
      <c r="K173" s="37"/>
    </row>
    <row r="174" spans="2:18" x14ac:dyDescent="0.25">
      <c r="C174" s="171" t="s">
        <v>245</v>
      </c>
      <c r="D174" s="26">
        <f t="shared" si="20"/>
        <v>10261910.32880237</v>
      </c>
      <c r="E174" s="211">
        <f t="shared" si="21"/>
        <v>5706869.1273972597</v>
      </c>
      <c r="F174" s="35">
        <f t="shared" si="22"/>
        <v>15968779.456199629</v>
      </c>
      <c r="H174" s="50"/>
      <c r="I174" s="163"/>
      <c r="J174" s="19"/>
      <c r="K174" s="37"/>
    </row>
    <row r="175" spans="2:18" x14ac:dyDescent="0.25">
      <c r="C175" s="171" t="s">
        <v>246</v>
      </c>
      <c r="D175" s="26">
        <f t="shared" si="20"/>
        <v>13059235.39021039</v>
      </c>
      <c r="E175" s="211">
        <f t="shared" si="21"/>
        <v>7001297.0554109588</v>
      </c>
      <c r="F175" s="35">
        <f t="shared" si="22"/>
        <v>20060532.445621349</v>
      </c>
      <c r="H175" s="50"/>
      <c r="I175" s="163"/>
      <c r="J175" s="19"/>
      <c r="K175" s="37"/>
    </row>
    <row r="176" spans="2:18" x14ac:dyDescent="0.25">
      <c r="C176" s="171" t="s">
        <v>247</v>
      </c>
      <c r="D176" s="26">
        <f t="shared" si="20"/>
        <v>13697474.299461108</v>
      </c>
      <c r="E176" s="211">
        <f t="shared" si="21"/>
        <v>7567108.3650000002</v>
      </c>
      <c r="F176" s="35">
        <f t="shared" si="22"/>
        <v>21264582.664461106</v>
      </c>
      <c r="H176" s="50"/>
      <c r="I176" s="163"/>
      <c r="J176" s="19"/>
      <c r="K176" s="37"/>
    </row>
    <row r="177" spans="2:11" x14ac:dyDescent="0.25">
      <c r="C177" s="171" t="s">
        <v>248</v>
      </c>
      <c r="D177" s="26">
        <f t="shared" si="20"/>
        <v>13643403.344848795</v>
      </c>
      <c r="E177" s="211">
        <f t="shared" si="21"/>
        <v>7567108.3650000002</v>
      </c>
      <c r="F177" s="35">
        <f t="shared" si="22"/>
        <v>21210511.709848795</v>
      </c>
      <c r="H177" s="50"/>
      <c r="I177" s="163"/>
      <c r="J177" s="19"/>
      <c r="K177" s="37"/>
    </row>
    <row r="178" spans="2:11" x14ac:dyDescent="0.25">
      <c r="C178" s="171" t="s">
        <v>249</v>
      </c>
      <c r="D178" s="26">
        <f t="shared" si="20"/>
        <v>13588176.085997552</v>
      </c>
      <c r="E178" s="211">
        <f t="shared" si="21"/>
        <v>7567108.3650000002</v>
      </c>
      <c r="F178" s="35">
        <f t="shared" si="22"/>
        <v>21155284.450997554</v>
      </c>
      <c r="H178" s="50"/>
      <c r="I178" s="163"/>
      <c r="J178" s="19"/>
      <c r="K178" s="37"/>
    </row>
    <row r="179" spans="2:11" x14ac:dyDescent="0.25">
      <c r="C179" s="171" t="s">
        <v>250</v>
      </c>
      <c r="D179" s="26">
        <f t="shared" si="20"/>
        <v>13501505.143440565</v>
      </c>
      <c r="E179" s="211">
        <f t="shared" si="21"/>
        <v>5736699.3650000002</v>
      </c>
      <c r="F179" s="35">
        <f t="shared" si="22"/>
        <v>19238204.508440565</v>
      </c>
      <c r="H179" s="50"/>
      <c r="I179" s="163"/>
      <c r="J179" s="19"/>
      <c r="K179" s="37"/>
    </row>
    <row r="180" spans="2:11" x14ac:dyDescent="0.25">
      <c r="C180" s="171" t="s">
        <v>251</v>
      </c>
      <c r="D180" s="26">
        <f t="shared" si="20"/>
        <v>13445454.820596362</v>
      </c>
      <c r="E180" s="211">
        <f t="shared" si="21"/>
        <v>5306699.3650000002</v>
      </c>
      <c r="F180" s="35">
        <f t="shared" si="22"/>
        <v>18752154.185596362</v>
      </c>
      <c r="H180" s="50"/>
      <c r="I180" s="163"/>
      <c r="J180" s="19"/>
      <c r="K180" s="37"/>
    </row>
    <row r="181" spans="2:11" x14ac:dyDescent="0.25">
      <c r="C181" s="171" t="s">
        <v>252</v>
      </c>
      <c r="D181" s="26">
        <f t="shared" si="20"/>
        <v>12752383.424366381</v>
      </c>
      <c r="E181" s="211">
        <f t="shared" si="21"/>
        <v>5306699.3650000002</v>
      </c>
      <c r="F181" s="35">
        <f t="shared" si="22"/>
        <v>18059082.789366379</v>
      </c>
      <c r="H181" s="50"/>
      <c r="I181" s="163"/>
      <c r="J181" s="19"/>
      <c r="K181" s="37"/>
    </row>
    <row r="182" spans="2:11" x14ac:dyDescent="0.25">
      <c r="C182" s="171" t="s">
        <v>253</v>
      </c>
      <c r="D182" s="26">
        <f t="shared" si="20"/>
        <v>13224640.265117548</v>
      </c>
      <c r="E182" s="211">
        <f t="shared" si="21"/>
        <v>5006699.3650000002</v>
      </c>
      <c r="F182" s="35">
        <f t="shared" si="22"/>
        <v>18231339.63011755</v>
      </c>
      <c r="H182" s="50"/>
      <c r="I182" s="163"/>
      <c r="J182" s="19"/>
      <c r="K182" s="37"/>
    </row>
    <row r="183" spans="2:11" x14ac:dyDescent="0.25">
      <c r="C183" s="171" t="s">
        <v>254</v>
      </c>
      <c r="D183" s="26">
        <f t="shared" si="20"/>
        <v>10320198.08206496</v>
      </c>
      <c r="E183" s="211">
        <f t="shared" si="21"/>
        <v>3671180.3649999998</v>
      </c>
      <c r="F183" s="35">
        <f t="shared" si="22"/>
        <v>13991378.44706496</v>
      </c>
      <c r="H183" s="50"/>
      <c r="I183" s="163"/>
      <c r="J183" s="19"/>
      <c r="K183" s="37"/>
    </row>
    <row r="184" spans="2:11" x14ac:dyDescent="0.25">
      <c r="C184" s="171" t="s">
        <v>255</v>
      </c>
      <c r="D184" s="26">
        <f t="shared" si="20"/>
        <v>10082267.341654636</v>
      </c>
      <c r="E184" s="211">
        <f t="shared" si="21"/>
        <v>3671180.3649999998</v>
      </c>
      <c r="F184" s="35">
        <f t="shared" si="22"/>
        <v>13753447.706654636</v>
      </c>
      <c r="H184" s="50"/>
      <c r="I184" s="163"/>
      <c r="J184" s="19"/>
      <c r="K184" s="37"/>
    </row>
    <row r="185" spans="2:11" x14ac:dyDescent="0.25">
      <c r="C185" s="171" t="s">
        <v>256</v>
      </c>
      <c r="D185" s="26">
        <f t="shared" si="20"/>
        <v>9676942.7899463624</v>
      </c>
      <c r="E185" s="211">
        <f t="shared" si="21"/>
        <v>3671180.3649999998</v>
      </c>
      <c r="F185" s="35">
        <f t="shared" si="22"/>
        <v>13348123.154946363</v>
      </c>
      <c r="H185" s="50"/>
      <c r="I185" s="163"/>
      <c r="J185" s="19"/>
      <c r="K185" s="37"/>
    </row>
    <row r="186" spans="2:11" x14ac:dyDescent="0.25">
      <c r="C186" s="171" t="s">
        <v>257</v>
      </c>
      <c r="D186" s="26">
        <f t="shared" si="20"/>
        <v>9214600.7509966306</v>
      </c>
      <c r="E186" s="211">
        <f t="shared" si="21"/>
        <v>3671180.3649999998</v>
      </c>
      <c r="F186" s="35">
        <f t="shared" si="22"/>
        <v>12885781.115996631</v>
      </c>
      <c r="H186" s="50"/>
      <c r="I186" s="163"/>
      <c r="J186" s="19"/>
      <c r="K186" s="37"/>
    </row>
    <row r="187" spans="2:11" x14ac:dyDescent="0.25">
      <c r="C187" s="171" t="s">
        <v>258</v>
      </c>
      <c r="D187" s="26">
        <f t="shared" si="20"/>
        <v>8161954.5522416467</v>
      </c>
      <c r="E187" s="211">
        <f t="shared" si="21"/>
        <v>3671180.3649999998</v>
      </c>
      <c r="F187" s="35">
        <f t="shared" si="22"/>
        <v>11833134.917241646</v>
      </c>
      <c r="H187" s="50"/>
      <c r="I187" s="163"/>
      <c r="J187" s="19"/>
      <c r="K187" s="37"/>
    </row>
    <row r="188" spans="2:11" x14ac:dyDescent="0.25">
      <c r="C188" s="171" t="s">
        <v>259</v>
      </c>
      <c r="D188" s="26">
        <f t="shared" si="20"/>
        <v>7990225.5244804388</v>
      </c>
      <c r="E188" s="211">
        <f t="shared" si="21"/>
        <v>3671180.3649999998</v>
      </c>
      <c r="F188" s="35">
        <f t="shared" si="22"/>
        <v>11661405.889480438</v>
      </c>
      <c r="H188" s="50"/>
      <c r="I188" s="163"/>
      <c r="J188" s="19"/>
      <c r="K188" s="37"/>
    </row>
    <row r="189" spans="2:11" x14ac:dyDescent="0.25">
      <c r="C189" s="171" t="s">
        <v>260</v>
      </c>
      <c r="D189" s="26">
        <f t="shared" si="20"/>
        <v>7950117.001858037</v>
      </c>
      <c r="E189" s="211">
        <f t="shared" si="21"/>
        <v>3671180.3649999998</v>
      </c>
      <c r="F189" s="35">
        <f t="shared" si="22"/>
        <v>11621297.366858037</v>
      </c>
      <c r="H189" s="50"/>
      <c r="I189" s="163"/>
      <c r="J189" s="19"/>
      <c r="K189" s="37"/>
    </row>
    <row r="190" spans="2:11" x14ac:dyDescent="0.25">
      <c r="J190" s="19"/>
      <c r="K190" s="37"/>
    </row>
    <row r="192" spans="2:11" ht="15.75" thickBot="1" x14ac:dyDescent="0.3">
      <c r="B192" t="s">
        <v>304</v>
      </c>
    </row>
    <row r="193" spans="2:10" ht="45.75" thickBot="1" x14ac:dyDescent="0.3">
      <c r="C193" s="212" t="s">
        <v>3</v>
      </c>
      <c r="D193" s="214" t="s">
        <v>305</v>
      </c>
      <c r="E193" s="214" t="s">
        <v>306</v>
      </c>
      <c r="F193" s="214" t="s">
        <v>307</v>
      </c>
      <c r="G193" s="213" t="s">
        <v>308</v>
      </c>
    </row>
    <row r="194" spans="2:10" ht="15.75" thickBot="1" x14ac:dyDescent="0.3">
      <c r="C194" s="215" t="s">
        <v>309</v>
      </c>
      <c r="D194" s="216">
        <f>'Collections and ACP'!E43</f>
        <v>33963264.598822832</v>
      </c>
      <c r="E194" s="217">
        <v>4.5754999999999999</v>
      </c>
      <c r="F194" s="218">
        <f>E194*D194</f>
        <v>155398917.17191386</v>
      </c>
      <c r="G194" s="219">
        <f>D194/$D$197</f>
        <v>0.28917572081192372</v>
      </c>
    </row>
    <row r="195" spans="2:10" ht="15.75" thickBot="1" x14ac:dyDescent="0.3">
      <c r="C195" s="215" t="s">
        <v>42</v>
      </c>
      <c r="D195" s="216">
        <f>'Collections and ACP'!E76</f>
        <v>82956872.015999988</v>
      </c>
      <c r="E195" s="217">
        <v>5.0247999999999999</v>
      </c>
      <c r="F195" s="218">
        <f>E195*D195</f>
        <v>416841690.5059967</v>
      </c>
      <c r="G195" s="219">
        <f>D195/$D$197</f>
        <v>0.70632530602964361</v>
      </c>
    </row>
    <row r="196" spans="2:10" ht="15.75" thickBot="1" x14ac:dyDescent="0.3">
      <c r="C196" s="220" t="s">
        <v>310</v>
      </c>
      <c r="D196" s="216">
        <f>'Collections and ACP'!E109</f>
        <v>528397.803846856</v>
      </c>
      <c r="E196" s="217">
        <v>2.625</v>
      </c>
      <c r="F196" s="218">
        <f>E196*D196</f>
        <v>1387044.2350979969</v>
      </c>
      <c r="G196" s="219">
        <f>D196/$D$197</f>
        <v>4.4989731584327173E-3</v>
      </c>
    </row>
    <row r="197" spans="2:10" x14ac:dyDescent="0.25">
      <c r="D197" s="19">
        <f>SUM(D194:D196)</f>
        <v>117448534.41866967</v>
      </c>
    </row>
    <row r="198" spans="2:10" ht="15.75" thickBot="1" x14ac:dyDescent="0.3">
      <c r="B198" t="s">
        <v>311</v>
      </c>
      <c r="D198" s="19"/>
    </row>
    <row r="199" spans="2:10" ht="26.25" thickBot="1" x14ac:dyDescent="0.3">
      <c r="C199" s="296" t="s">
        <v>1</v>
      </c>
      <c r="D199" s="296" t="s">
        <v>273</v>
      </c>
      <c r="E199" s="296" t="s">
        <v>312</v>
      </c>
      <c r="F199" s="296" t="s">
        <v>313</v>
      </c>
      <c r="G199" s="296" t="s">
        <v>314</v>
      </c>
      <c r="H199" s="296" t="s">
        <v>315</v>
      </c>
      <c r="I199" s="296" t="s">
        <v>316</v>
      </c>
      <c r="J199" s="338"/>
    </row>
    <row r="200" spans="2:10" x14ac:dyDescent="0.25">
      <c r="C200" s="297" t="s">
        <v>241</v>
      </c>
      <c r="D200" s="278">
        <f>SUM('REC Spend projected'!B7:G7)</f>
        <v>472820169.50000006</v>
      </c>
      <c r="E200" s="278">
        <f>SUM('REC Spend projected'!H7:L7)</f>
        <v>40315921.562919624</v>
      </c>
      <c r="F200" s="278"/>
      <c r="G200" s="278"/>
      <c r="H200" s="278">
        <f>SUM('REC Spend projected'!M7:O7)</f>
        <v>67322647.088471591</v>
      </c>
      <c r="I200" s="337">
        <f>SUM(D200:H200)</f>
        <v>580458738.15139127</v>
      </c>
    </row>
    <row r="201" spans="2:10" x14ac:dyDescent="0.25">
      <c r="C201" s="297" t="s">
        <v>242</v>
      </c>
      <c r="D201" s="278">
        <f>SUM('REC Spend projected'!B8:G8)</f>
        <v>392806235.59699994</v>
      </c>
      <c r="E201" s="278">
        <f>SUM('REC Spend projected'!H8:L8)</f>
        <v>40060781.008816466</v>
      </c>
      <c r="F201" s="278"/>
      <c r="G201" s="278"/>
      <c r="H201" s="278">
        <f>SUM('REC Spend projected'!M8:O8)</f>
        <v>77198419.557390258</v>
      </c>
      <c r="I201" s="278">
        <f t="shared" ref="I201:I219" si="23">SUM(D201:H201)</f>
        <v>510065436.1632067</v>
      </c>
    </row>
    <row r="202" spans="2:10" x14ac:dyDescent="0.25">
      <c r="C202" s="297" t="s">
        <v>243</v>
      </c>
      <c r="D202" s="278">
        <f>SUM('REC Spend projected'!B9:G9)</f>
        <v>246373354.34999999</v>
      </c>
      <c r="E202" s="278">
        <f>SUM('REC Spend projected'!H9:L9)</f>
        <v>67422694.729594275</v>
      </c>
      <c r="F202" s="278">
        <f>'Projected ABP Spend'!C187</f>
        <v>33640118.733321041</v>
      </c>
      <c r="G202" s="278"/>
      <c r="H202" s="278">
        <f>SUM('REC Spend projected'!M9:O9)</f>
        <v>67145711.256652042</v>
      </c>
      <c r="I202" s="278">
        <f t="shared" si="23"/>
        <v>414581879.06956738</v>
      </c>
    </row>
    <row r="203" spans="2:10" x14ac:dyDescent="0.25">
      <c r="C203" s="297" t="s">
        <v>244</v>
      </c>
      <c r="D203" s="278">
        <f>SUM('REC Spend projected'!B10:G10)</f>
        <v>231482171.71000004</v>
      </c>
      <c r="E203" s="278">
        <f>SUM('REC Spend projected'!H10:L10)</f>
        <v>142850053.38376001</v>
      </c>
      <c r="F203" s="278">
        <f>'Projected ABP Spend'!C188</f>
        <v>255395715.96154535</v>
      </c>
      <c r="G203" s="278"/>
      <c r="H203" s="278">
        <f>SUM('REC Spend projected'!M10:O10)</f>
        <v>67095059.275192291</v>
      </c>
      <c r="I203" s="278">
        <f t="shared" si="23"/>
        <v>696823000.33049762</v>
      </c>
    </row>
    <row r="204" spans="2:10" x14ac:dyDescent="0.25">
      <c r="C204" s="297" t="s">
        <v>245</v>
      </c>
      <c r="D204" s="278">
        <f>SUM('REC Spend projected'!B11:G11)</f>
        <v>205957602.71000004</v>
      </c>
      <c r="E204" s="278">
        <f>SUM('REC Spend projected'!H11:L11)</f>
        <v>246039364.40916383</v>
      </c>
      <c r="F204" s="278">
        <f>'Projected ABP Spend'!C189</f>
        <v>90806226.475636244</v>
      </c>
      <c r="G204" s="278">
        <f>'REC Spend projected'!Z11-'Ch. 3 Tables and Graphs'!F204</f>
        <v>284088874.1125356</v>
      </c>
      <c r="H204" s="278">
        <f>SUM('REC Spend projected'!M11:O11)</f>
        <v>77304402.141023755</v>
      </c>
      <c r="I204" s="278">
        <f t="shared" si="23"/>
        <v>904196469.84835947</v>
      </c>
    </row>
    <row r="205" spans="2:10" x14ac:dyDescent="0.25">
      <c r="C205" s="297" t="s">
        <v>246</v>
      </c>
      <c r="D205" s="278">
        <f>SUM('REC Spend projected'!B12:G12)</f>
        <v>187942968.04000002</v>
      </c>
      <c r="E205" s="278">
        <f>SUM('REC Spend projected'!H12:L12)</f>
        <v>278875762.2696225</v>
      </c>
      <c r="F205" s="278">
        <f>'Projected ABP Spend'!C190</f>
        <v>90266979.397690177</v>
      </c>
      <c r="G205" s="278">
        <f>'REC Spend projected'!Z12-'Ch. 3 Tables and Graphs'!F205</f>
        <v>442713405.57342541</v>
      </c>
      <c r="H205" s="278">
        <f>SUM('REC Spend projected'!M12:O12)</f>
        <v>67640600.719584882</v>
      </c>
      <c r="I205" s="278">
        <f t="shared" si="23"/>
        <v>1067439716.0003231</v>
      </c>
    </row>
    <row r="206" spans="2:10" x14ac:dyDescent="0.25">
      <c r="C206" s="297" t="s">
        <v>247</v>
      </c>
      <c r="D206" s="278">
        <f>SUM('REC Spend projected'!B13:G13)</f>
        <v>186366143.07000002</v>
      </c>
      <c r="E206" s="278">
        <f>SUM('REC Spend projected'!H13:L13)</f>
        <v>284784894.9956435</v>
      </c>
      <c r="F206" s="278">
        <f>'Projected ABP Spend'!C191</f>
        <v>90089171.530284151</v>
      </c>
      <c r="G206" s="278">
        <f>'REC Spend projected'!Z13-'Ch. 3 Tables and Graphs'!F206</f>
        <v>612167720.6512506</v>
      </c>
      <c r="H206" s="278">
        <f>SUM('REC Spend projected'!M13:O13)</f>
        <v>68123785.490454584</v>
      </c>
      <c r="I206" s="278">
        <f t="shared" si="23"/>
        <v>1241531715.737633</v>
      </c>
    </row>
    <row r="207" spans="2:10" x14ac:dyDescent="0.25">
      <c r="C207" s="297" t="s">
        <v>248</v>
      </c>
      <c r="D207" s="278">
        <f>SUM('REC Spend projected'!B14:G14)</f>
        <v>183073305.22000003</v>
      </c>
      <c r="E207" s="278">
        <f>SUM('REC Spend projected'!H14:L14)</f>
        <v>284621828.6759482</v>
      </c>
      <c r="F207" s="278">
        <f>'Projected ABP Spend'!C192</f>
        <v>89912252.702215135</v>
      </c>
      <c r="G207" s="278">
        <f>'REC Spend projected'!Z14-'Ch. 3 Tables and Graphs'!F207</f>
        <v>785268774.16397595</v>
      </c>
      <c r="H207" s="278">
        <f>SUM('REC Spend projected'!M14:O14)</f>
        <v>78786284.459790573</v>
      </c>
      <c r="I207" s="278">
        <f t="shared" si="23"/>
        <v>1421662445.2219298</v>
      </c>
    </row>
    <row r="208" spans="2:10" x14ac:dyDescent="0.25">
      <c r="C208" s="297" t="s">
        <v>249</v>
      </c>
      <c r="D208" s="278">
        <f>SUM('REC Spend projected'!B15:G15)</f>
        <v>107017629.06</v>
      </c>
      <c r="E208" s="278">
        <f>SUM('REC Spend projected'!H15:L15)</f>
        <v>291568601.97725523</v>
      </c>
      <c r="F208" s="278">
        <f>'Projected ABP Spend'!C193</f>
        <v>89736218.468286499</v>
      </c>
      <c r="G208" s="278">
        <f>'REC Spend projected'!Z15-'Ch. 3 Tables and Graphs'!F208</f>
        <v>934045283.95451462</v>
      </c>
      <c r="H208" s="278">
        <f>SUM('REC Spend projected'!M15:O15)</f>
        <v>69538734.721551597</v>
      </c>
      <c r="I208" s="278">
        <f t="shared" si="23"/>
        <v>1491906468.181608</v>
      </c>
    </row>
    <row r="209" spans="2:12" x14ac:dyDescent="0.25">
      <c r="C209" s="297" t="s">
        <v>250</v>
      </c>
      <c r="D209" s="278">
        <f>SUM('REC Spend projected'!B16:G16)</f>
        <v>106550267.81999999</v>
      </c>
      <c r="E209" s="278">
        <f>SUM('REC Spend projected'!H16:L16)</f>
        <v>287641383.84036225</v>
      </c>
      <c r="F209" s="278">
        <f>'Projected ABP Spend'!C194</f>
        <v>79418412.286194623</v>
      </c>
      <c r="G209" s="278">
        <f>'REC Spend projected'!Z16-'Ch. 3 Tables and Graphs'!F209</f>
        <v>1071230164.376704</v>
      </c>
      <c r="H209" s="278">
        <f>SUM('REC Spend projected'!M16:O16)</f>
        <v>70311109.983324051</v>
      </c>
      <c r="I209" s="278">
        <f t="shared" si="23"/>
        <v>1615151338.3065848</v>
      </c>
      <c r="L209" s="338"/>
    </row>
    <row r="210" spans="2:12" x14ac:dyDescent="0.25">
      <c r="C210" s="297" t="s">
        <v>251</v>
      </c>
      <c r="D210" s="278">
        <f>SUM('REC Spend projected'!B17:G17)</f>
        <v>74565519.069999993</v>
      </c>
      <c r="E210" s="278">
        <f>SUM('REC Spend projected'!H17:L17)</f>
        <v>270497588.02017182</v>
      </c>
      <c r="F210" s="278">
        <f>'Projected ABP Spend'!C195</f>
        <v>40810657.158965126</v>
      </c>
      <c r="G210" s="278">
        <f>'REC Spend projected'!Z17-'Ch. 3 Tables and Graphs'!F210</f>
        <v>1095345370.2196388</v>
      </c>
      <c r="H210" s="278">
        <f>SUM('REC Spend projected'!M17:O17)</f>
        <v>70999871.477821618</v>
      </c>
      <c r="I210" s="278">
        <f t="shared" si="23"/>
        <v>1552219005.9465973</v>
      </c>
    </row>
    <row r="211" spans="2:12" x14ac:dyDescent="0.25">
      <c r="C211" s="297" t="s">
        <v>252</v>
      </c>
      <c r="D211" s="278">
        <f>SUM('REC Spend projected'!B18:G18)</f>
        <v>74192270.920000002</v>
      </c>
      <c r="E211" s="278">
        <f>SUM('REC Spend projected'!H18:L18)</f>
        <v>255985925.03000638</v>
      </c>
      <c r="F211" s="278">
        <f>'Projected ABP Spend'!C196</f>
        <v>34507973.295614906</v>
      </c>
      <c r="G211" s="278">
        <f>'REC Spend projected'!Z18-'Ch. 3 Tables and Graphs'!F211</f>
        <v>1128237367.7864742</v>
      </c>
      <c r="H211" s="278">
        <f>SUM('REC Spend projected'!M18:O18)</f>
        <v>71638874.837884039</v>
      </c>
      <c r="I211" s="278">
        <f t="shared" si="23"/>
        <v>1564562411.8699794</v>
      </c>
    </row>
    <row r="212" spans="2:12" x14ac:dyDescent="0.25">
      <c r="C212" s="297" t="s">
        <v>253</v>
      </c>
      <c r="D212" s="278">
        <f>SUM('REC Spend projected'!B19:G19)</f>
        <v>73821682.230000004</v>
      </c>
      <c r="E212" s="278">
        <f>SUM('REC Spend projected'!H19:L19)</f>
        <v>279606406.59768355</v>
      </c>
      <c r="F212" s="278">
        <f>'Projected ABP Spend'!C197</f>
        <v>34335433.429136835</v>
      </c>
      <c r="G212" s="278">
        <f>'REC Spend projected'!Z19-'Ch. 3 Tables and Graphs'!F212</f>
        <v>1127927613.2919779</v>
      </c>
      <c r="H212" s="278">
        <f>SUM('REC Spend projected'!M19:O19)</f>
        <v>72135547.577141881</v>
      </c>
      <c r="I212" s="278">
        <f t="shared" si="23"/>
        <v>1587826683.1259403</v>
      </c>
    </row>
    <row r="213" spans="2:12" x14ac:dyDescent="0.25">
      <c r="C213" s="297" t="s">
        <v>254</v>
      </c>
      <c r="D213" s="278">
        <f>SUM('REC Spend projected'!B20:G20)</f>
        <v>73452727.300000012</v>
      </c>
      <c r="E213" s="278">
        <f>SUM('REC Spend projected'!H20:L20)</f>
        <v>279196522.26924002</v>
      </c>
      <c r="F213" s="278">
        <f>'Projected ABP Spend'!C198</f>
        <v>34163756.261991158</v>
      </c>
      <c r="G213" s="278">
        <f>'REC Spend projected'!Z20-'Ch. 3 Tables and Graphs'!F213</f>
        <v>1164619387.5725577</v>
      </c>
      <c r="H213" s="278">
        <f>SUM('REC Spend projected'!M20:O20)</f>
        <v>72499312.827168688</v>
      </c>
      <c r="I213" s="278">
        <f t="shared" si="23"/>
        <v>1623931706.2309575</v>
      </c>
    </row>
    <row r="214" spans="2:12" x14ac:dyDescent="0.25">
      <c r="C214" s="297" t="s">
        <v>255</v>
      </c>
      <c r="D214" s="278">
        <f>SUM('REC Spend projected'!B21:G21)</f>
        <v>73085050.659999996</v>
      </c>
      <c r="E214" s="278">
        <f>SUM('REC Spend projected'!H21:L21)</f>
        <v>275816323.53312123</v>
      </c>
      <c r="F214" s="278">
        <f>'Projected ABP Spend'!C199</f>
        <v>33992937.480681196</v>
      </c>
      <c r="G214" s="278">
        <f>'REC Spend projected'!Z21-'Ch. 3 Tables and Graphs'!F214</f>
        <v>1265899260.4290736</v>
      </c>
      <c r="H214" s="278">
        <f>SUM('REC Spend projected'!M21:O21)</f>
        <v>72653690.409483582</v>
      </c>
      <c r="I214" s="278">
        <f t="shared" si="23"/>
        <v>1721447262.5123596</v>
      </c>
    </row>
    <row r="215" spans="2:12" x14ac:dyDescent="0.25">
      <c r="C215" s="297" t="s">
        <v>256</v>
      </c>
      <c r="D215" s="278">
        <f>SUM('REC Spend projected'!B22:G22)</f>
        <v>72719608.260000005</v>
      </c>
      <c r="E215" s="278">
        <f>SUM('REC Spend projected'!H22:L22)</f>
        <v>283722681.36973345</v>
      </c>
      <c r="F215" s="278">
        <f>'Projected ABP Spend'!C200</f>
        <v>33822972.793277793</v>
      </c>
      <c r="G215" s="278">
        <f>'REC Spend projected'!Z22-'Ch. 3 Tables and Graphs'!F215</f>
        <v>1334632776.9729743</v>
      </c>
      <c r="H215" s="278">
        <f>SUM('REC Spend projected'!M22:O22)</f>
        <v>72801622.582818717</v>
      </c>
      <c r="I215" s="278">
        <f t="shared" si="23"/>
        <v>1797699661.9788043</v>
      </c>
    </row>
    <row r="216" spans="2:12" x14ac:dyDescent="0.25">
      <c r="C216" s="297" t="s">
        <v>257</v>
      </c>
      <c r="D216" s="278">
        <f>SUM('REC Spend projected'!B23:G23)</f>
        <v>72355995.260000005</v>
      </c>
      <c r="E216" s="278">
        <f>SUM('REC Spend projected'!H23:L23)</f>
        <v>290866031.92163402</v>
      </c>
      <c r="F216" s="278">
        <f>'Projected ABP Spend'!C201</f>
        <v>33653857.929311402</v>
      </c>
      <c r="G216" s="278">
        <f>'REC Spend projected'!Z23-'Ch. 3 Tables and Graphs'!F216</f>
        <v>1395327846.3482699</v>
      </c>
      <c r="H216" s="278">
        <f>SUM('REC Spend projected'!M23:O23)</f>
        <v>72896692.408557206</v>
      </c>
      <c r="I216" s="278">
        <f t="shared" si="23"/>
        <v>1865100423.8677726</v>
      </c>
    </row>
    <row r="217" spans="2:12" x14ac:dyDescent="0.25">
      <c r="C217" s="297" t="s">
        <v>258</v>
      </c>
      <c r="D217" s="278">
        <f>SUM('REC Spend projected'!B24:G24)</f>
        <v>71993881.060000002</v>
      </c>
      <c r="E217" s="278">
        <f>SUM('REC Spend projected'!H24:L24)</f>
        <v>290499322.58059925</v>
      </c>
      <c r="F217" s="278">
        <f>'Projected ABP Spend'!C202</f>
        <v>33485588.639664844</v>
      </c>
      <c r="G217" s="278">
        <f>'REC Spend projected'!Z24-'Ch. 3 Tables and Graphs'!F217</f>
        <v>1484038386.5235693</v>
      </c>
      <c r="H217" s="278">
        <f>SUM('REC Spend projected'!M24:O24)</f>
        <v>73015743.307197154</v>
      </c>
      <c r="I217" s="278">
        <f t="shared" si="23"/>
        <v>1953032922.1110306</v>
      </c>
    </row>
    <row r="218" spans="2:12" x14ac:dyDescent="0.25">
      <c r="C218" s="297" t="s">
        <v>259</v>
      </c>
      <c r="D218" s="278">
        <f>SUM('REC Spend projected'!B25:G25)</f>
        <v>71634615.859999999</v>
      </c>
      <c r="E218" s="278">
        <f>SUM('REC Spend projected'!H25:L25)</f>
        <v>294650133.34819967</v>
      </c>
      <c r="F218" s="278">
        <f>'Projected ABP Spend'!C203</f>
        <v>33318160.69646652</v>
      </c>
      <c r="G218" s="278">
        <f>'REC Spend projected'!Z25-'Ch. 3 Tables and Graphs'!F218</f>
        <v>1508079188.3844452</v>
      </c>
      <c r="H218" s="278">
        <f>SUM('REC Spend projected'!M25:O25)</f>
        <v>73106390.458387077</v>
      </c>
      <c r="I218" s="278">
        <f t="shared" si="23"/>
        <v>1980788488.7474985</v>
      </c>
    </row>
    <row r="219" spans="2:12" x14ac:dyDescent="0.25">
      <c r="C219" s="297" t="s">
        <v>260</v>
      </c>
      <c r="D219" s="278">
        <f>SUM('REC Spend projected'!B26:G26)</f>
        <v>71276306.540000007</v>
      </c>
      <c r="E219" s="278">
        <f>SUM('REC Spend projected'!H26:L26)</f>
        <v>286661355.48314369</v>
      </c>
      <c r="F219" s="278">
        <f>'Projected ABP Spend'!C204</f>
        <v>33151569.892984189</v>
      </c>
      <c r="G219" s="278">
        <f>'REC Spend projected'!Z26-'Ch. 3 Tables and Graphs'!F219</f>
        <v>1570221223.2854068</v>
      </c>
      <c r="H219" s="278">
        <f>SUM('REC Spend projected'!M26:O26)</f>
        <v>73199678.287410915</v>
      </c>
      <c r="I219" s="278">
        <f t="shared" si="23"/>
        <v>2034510133.4889457</v>
      </c>
    </row>
    <row r="220" spans="2:12" x14ac:dyDescent="0.25">
      <c r="D220" s="3"/>
      <c r="E220" s="3"/>
      <c r="F220" s="3"/>
      <c r="G220" s="3"/>
      <c r="H220" s="3"/>
      <c r="I220" s="3"/>
    </row>
    <row r="223" spans="2:12" ht="15.75" thickBot="1" x14ac:dyDescent="0.3"/>
    <row r="224" spans="2:12" ht="26.25" thickBot="1" x14ac:dyDescent="0.3">
      <c r="B224" t="s">
        <v>317</v>
      </c>
      <c r="C224" s="222" t="s">
        <v>1</v>
      </c>
      <c r="D224" s="223" t="s">
        <v>318</v>
      </c>
      <c r="E224" s="223" t="s">
        <v>319</v>
      </c>
      <c r="F224" s="223" t="s">
        <v>320</v>
      </c>
      <c r="G224" s="223" t="s">
        <v>321</v>
      </c>
      <c r="H224" s="223" t="s">
        <v>322</v>
      </c>
    </row>
    <row r="225" spans="3:8" x14ac:dyDescent="0.25">
      <c r="C225" s="171" t="s">
        <v>241</v>
      </c>
      <c r="D225" s="173">
        <f>'REC Spend projected'!AA7</f>
        <v>607275723.95881271</v>
      </c>
      <c r="E225" s="173">
        <f>'REC Spend projected'!AB7</f>
        <v>577421569.61571968</v>
      </c>
      <c r="F225" s="173">
        <f>'REC Spend projected'!AC7</f>
        <v>1184697293.5745325</v>
      </c>
      <c r="G225" s="173">
        <f>'REC Spend projected'!AD7</f>
        <v>580458738.15139127</v>
      </c>
      <c r="H225" s="173">
        <f>'REC Spend projected'!AE7</f>
        <v>604238555.42314124</v>
      </c>
    </row>
    <row r="226" spans="3:8" x14ac:dyDescent="0.25">
      <c r="C226" s="171" t="s">
        <v>242</v>
      </c>
      <c r="D226" s="173">
        <f>'REC Spend projected'!AA8</f>
        <v>604238555.42314124</v>
      </c>
      <c r="E226" s="173">
        <f>'REC Spend projected'!AB8</f>
        <v>573280651.91300857</v>
      </c>
      <c r="F226" s="173">
        <f>'REC Spend projected'!AC8</f>
        <v>1177519207.3361497</v>
      </c>
      <c r="G226" s="173">
        <f>'REC Spend projected'!AD8</f>
        <v>543705554.89652777</v>
      </c>
      <c r="H226" s="173">
        <f>'REC Spend projected'!AE8</f>
        <v>633813652.43962193</v>
      </c>
    </row>
    <row r="227" spans="3:8" x14ac:dyDescent="0.25">
      <c r="C227" s="171" t="s">
        <v>243</v>
      </c>
      <c r="D227" s="173">
        <f>'REC Spend projected'!AA9</f>
        <v>633813652.43962193</v>
      </c>
      <c r="E227" s="173">
        <f>'REC Spend projected'!AB9</f>
        <v>571523708.55506802</v>
      </c>
      <c r="F227" s="173">
        <f>'REC Spend projected'!AC9</f>
        <v>1205337360.9946899</v>
      </c>
      <c r="G227" s="173">
        <f>'REC Spend projected'!AD9</f>
        <v>636337476.2977916</v>
      </c>
      <c r="H227" s="173">
        <f>'REC Spend projected'!AE9</f>
        <v>568999884.69689834</v>
      </c>
    </row>
    <row r="228" spans="3:8" x14ac:dyDescent="0.25">
      <c r="C228" s="171" t="s">
        <v>244</v>
      </c>
      <c r="D228" s="173">
        <f>'REC Spend projected'!AA10</f>
        <v>568999884.69689834</v>
      </c>
      <c r="E228" s="173">
        <f>'REC Spend projected'!AB10</f>
        <v>569835309.17307627</v>
      </c>
      <c r="F228" s="173">
        <f>'REC Spend projected'!AC10</f>
        <v>1138835193.8699746</v>
      </c>
      <c r="G228" s="173">
        <f>'REC Spend projected'!AD10</f>
        <v>758042624.08781719</v>
      </c>
      <c r="H228" s="173">
        <f>'REC Spend projected'!AE10</f>
        <v>380792569.78215742</v>
      </c>
    </row>
    <row r="229" spans="3:8" x14ac:dyDescent="0.25">
      <c r="C229" s="171" t="s">
        <v>245</v>
      </c>
      <c r="D229" s="173">
        <f>'REC Spend projected'!AA11</f>
        <v>380792569.78215742</v>
      </c>
      <c r="E229" s="173">
        <f>'REC Spend projected'!AB11</f>
        <v>576813404.70079172</v>
      </c>
      <c r="F229" s="173">
        <f>'REC Spend projected'!AC11</f>
        <v>957605974.48294914</v>
      </c>
      <c r="G229" s="173">
        <f>'REC Spend projected'!AD11</f>
        <v>904196469.84835958</v>
      </c>
      <c r="H229" s="173">
        <f>'REC Spend projected'!AE11</f>
        <v>53409504.634589553</v>
      </c>
    </row>
    <row r="230" spans="3:8" x14ac:dyDescent="0.25">
      <c r="C230" s="171" t="s">
        <v>246</v>
      </c>
      <c r="D230" s="173">
        <f>'REC Spend projected'!AA12</f>
        <v>53409504.634589553</v>
      </c>
      <c r="E230" s="173">
        <f>'REC Spend projected'!AB12</f>
        <v>588020023.98616278</v>
      </c>
      <c r="F230" s="173">
        <f>'REC Spend projected'!AC12</f>
        <v>641429528.62075233</v>
      </c>
      <c r="G230" s="173">
        <f>'REC Spend projected'!AD12</f>
        <v>1067439716.0003231</v>
      </c>
      <c r="H230" s="173">
        <f>'REC Spend projected'!AE12</f>
        <v>-426010187.37957072</v>
      </c>
    </row>
    <row r="231" spans="3:8" x14ac:dyDescent="0.25">
      <c r="C231" s="171" t="s">
        <v>247</v>
      </c>
      <c r="D231" s="173">
        <f>'REC Spend projected'!AA13</f>
        <v>-426010187.37957072</v>
      </c>
      <c r="E231" s="173">
        <f>'REC Spend projected'!AB13</f>
        <v>604126183.01515269</v>
      </c>
      <c r="F231" s="173">
        <f>'REC Spend projected'!AC13</f>
        <v>178115995.63558197</v>
      </c>
      <c r="G231" s="173">
        <f>'REC Spend projected'!AD13</f>
        <v>1241531715.7376328</v>
      </c>
      <c r="H231" s="173">
        <f>'REC Spend projected'!AE13</f>
        <v>-1063415720.1020508</v>
      </c>
    </row>
    <row r="232" spans="3:8" x14ac:dyDescent="0.25">
      <c r="C232" s="171" t="s">
        <v>248</v>
      </c>
      <c r="D232" s="173">
        <f>'REC Spend projected'!AA14</f>
        <v>-1063415720.1020508</v>
      </c>
      <c r="E232" s="173">
        <f>'REC Spend projected'!AB14</f>
        <v>626209481.99301898</v>
      </c>
      <c r="F232" s="173">
        <f>'REC Spend projected'!AC14</f>
        <v>-437206238.1090318</v>
      </c>
      <c r="G232" s="173">
        <f>'REC Spend projected'!AD14</f>
        <v>1421662445.22193</v>
      </c>
      <c r="H232" s="173">
        <f>'REC Spend projected'!AE14</f>
        <v>-1858868683.3309617</v>
      </c>
    </row>
    <row r="233" spans="3:8" x14ac:dyDescent="0.25">
      <c r="C233" s="171" t="s">
        <v>249</v>
      </c>
      <c r="D233" s="173">
        <f>'REC Spend projected'!AA15</f>
        <v>-1858868683.3309617</v>
      </c>
      <c r="E233" s="173">
        <f>'REC Spend projected'!AB15</f>
        <v>651291157.3850534</v>
      </c>
      <c r="F233" s="173">
        <f>'REC Spend projected'!AC15</f>
        <v>-1207577525.9459083</v>
      </c>
      <c r="G233" s="173">
        <f>'REC Spend projected'!AD15</f>
        <v>1491906468.181608</v>
      </c>
      <c r="H233" s="173">
        <f>'REC Spend projected'!AE15</f>
        <v>-2699483994.1275163</v>
      </c>
    </row>
    <row r="234" spans="3:8" x14ac:dyDescent="0.25">
      <c r="C234" s="171" t="s">
        <v>250</v>
      </c>
      <c r="D234" s="173">
        <f>'REC Spend projected'!AA16</f>
        <v>-2699483994.1275163</v>
      </c>
      <c r="E234" s="173">
        <f>'REC Spend projected'!AB16</f>
        <v>677036999.44413507</v>
      </c>
      <c r="F234" s="173">
        <f>'REC Spend projected'!AC16</f>
        <v>-2022446994.6833811</v>
      </c>
      <c r="G234" s="173">
        <f>'REC Spend projected'!AD16</f>
        <v>1615151338.3065848</v>
      </c>
      <c r="H234" s="173">
        <f>'REC Spend projected'!AE16</f>
        <v>-3637598332.9899659</v>
      </c>
    </row>
    <row r="235" spans="3:8" x14ac:dyDescent="0.25">
      <c r="C235" s="171" t="s">
        <v>251</v>
      </c>
      <c r="D235" s="173">
        <f>'REC Spend projected'!AA17</f>
        <v>-3637598332.9899659</v>
      </c>
      <c r="E235" s="173">
        <f>'REC Spend projected'!AB17</f>
        <v>699995715.92738748</v>
      </c>
      <c r="F235" s="173">
        <f>'REC Spend projected'!AC17</f>
        <v>-2937602617.0625782</v>
      </c>
      <c r="G235" s="173">
        <f>'REC Spend projected'!AD17</f>
        <v>1552219005.9465973</v>
      </c>
      <c r="H235" s="173">
        <f>'REC Spend projected'!AE17</f>
        <v>-4489821623.0091753</v>
      </c>
    </row>
    <row r="236" spans="3:8" x14ac:dyDescent="0.25">
      <c r="C236" s="171" t="s">
        <v>252</v>
      </c>
      <c r="D236" s="173">
        <f>'REC Spend projected'!AA18</f>
        <v>-4489821623.0091753</v>
      </c>
      <c r="E236" s="173">
        <f>'REC Spend projected'!AB18</f>
        <v>721295827.92946792</v>
      </c>
      <c r="F236" s="173">
        <f>'REC Spend projected'!AC18</f>
        <v>-3768525795.0797071</v>
      </c>
      <c r="G236" s="173">
        <f>'REC Spend projected'!AD18</f>
        <v>1564562411.8699796</v>
      </c>
      <c r="H236" s="173">
        <f>'REC Spend projected'!AE18</f>
        <v>-5333088206.949687</v>
      </c>
    </row>
    <row r="237" spans="3:8" x14ac:dyDescent="0.25">
      <c r="C237" s="171" t="s">
        <v>253</v>
      </c>
      <c r="D237" s="173">
        <f>'REC Spend projected'!AA19</f>
        <v>-5333088206.949687</v>
      </c>
      <c r="E237" s="173">
        <f>'REC Spend projected'!AB19</f>
        <v>737851585.90472925</v>
      </c>
      <c r="F237" s="173">
        <f>'REC Spend projected'!AC19</f>
        <v>-4595236621.0449581</v>
      </c>
      <c r="G237" s="173">
        <f>'REC Spend projected'!AD19</f>
        <v>1587826683.1259401</v>
      </c>
      <c r="H237" s="173">
        <f>'REC Spend projected'!AE19</f>
        <v>-6183063304.1708984</v>
      </c>
    </row>
    <row r="238" spans="3:8" x14ac:dyDescent="0.25">
      <c r="C238" s="171" t="s">
        <v>254</v>
      </c>
      <c r="D238" s="173">
        <f>'REC Spend projected'!AA20</f>
        <v>-6183063304.1708984</v>
      </c>
      <c r="E238" s="173">
        <f>'REC Spend projected'!AB20</f>
        <v>749977094.23895633</v>
      </c>
      <c r="F238" s="173">
        <f>'REC Spend projected'!AC20</f>
        <v>-5433086209.931942</v>
      </c>
      <c r="G238" s="173">
        <f>'REC Spend projected'!AD20</f>
        <v>1623931706.2309577</v>
      </c>
      <c r="H238" s="173">
        <f>'REC Spend projected'!AE20</f>
        <v>-7057017916.1629</v>
      </c>
    </row>
    <row r="239" spans="3:8" x14ac:dyDescent="0.25">
      <c r="C239" s="171" t="s">
        <v>255</v>
      </c>
      <c r="D239" s="173">
        <f>'REC Spend projected'!AA21</f>
        <v>-7057017916.1629</v>
      </c>
      <c r="E239" s="173">
        <f>'REC Spend projected'!AB21</f>
        <v>755123013.64945257</v>
      </c>
      <c r="F239" s="173">
        <f>'REC Spend projected'!AC21</f>
        <v>-6301894902.5134478</v>
      </c>
      <c r="G239" s="173">
        <f>'REC Spend projected'!AD21</f>
        <v>1721447262.5123596</v>
      </c>
      <c r="H239" s="173">
        <f>'REC Spend projected'!AE21</f>
        <v>-8023342165.0258074</v>
      </c>
    </row>
    <row r="240" spans="3:8" x14ac:dyDescent="0.25">
      <c r="C240" s="171" t="s">
        <v>256</v>
      </c>
      <c r="D240" s="173">
        <f>'REC Spend projected'!AA22</f>
        <v>-8023342165.0258074</v>
      </c>
      <c r="E240" s="173">
        <f>'REC Spend projected'!AB22</f>
        <v>760054086.09395719</v>
      </c>
      <c r="F240" s="173">
        <f>'REC Spend projected'!AC22</f>
        <v>-7263288078.9318504</v>
      </c>
      <c r="G240" s="173">
        <f>'REC Spend projected'!AD22</f>
        <v>1797699661.9788041</v>
      </c>
      <c r="H240" s="173">
        <f>'REC Spend projected'!AE22</f>
        <v>-9060987740.9106541</v>
      </c>
    </row>
    <row r="241" spans="2:8" x14ac:dyDescent="0.25">
      <c r="C241" s="171" t="s">
        <v>257</v>
      </c>
      <c r="D241" s="173">
        <f>'REC Spend projected'!AA23</f>
        <v>-9060987740.9106541</v>
      </c>
      <c r="E241" s="173">
        <f>'REC Spend projected'!AB23</f>
        <v>763223080.28524029</v>
      </c>
      <c r="F241" s="173">
        <f>'REC Spend projected'!AC23</f>
        <v>-8297764660.6254139</v>
      </c>
      <c r="G241" s="173">
        <f>'REC Spend projected'!AD23</f>
        <v>1865100423.8677726</v>
      </c>
      <c r="H241" s="173">
        <f>'REC Spend projected'!AE23</f>
        <v>-10162865084.493187</v>
      </c>
    </row>
    <row r="242" spans="2:8" x14ac:dyDescent="0.25">
      <c r="C242" s="171" t="s">
        <v>258</v>
      </c>
      <c r="D242" s="173">
        <f>'REC Spend projected'!AA24</f>
        <v>-10162865084.493187</v>
      </c>
      <c r="E242" s="173">
        <f>'REC Spend projected'!AB24</f>
        <v>767191443.57323825</v>
      </c>
      <c r="F242" s="173">
        <f>'REC Spend projected'!AC24</f>
        <v>-9395673640.9199486</v>
      </c>
      <c r="G242" s="173">
        <f>'REC Spend projected'!AD24</f>
        <v>1953032922.1110306</v>
      </c>
      <c r="H242" s="173">
        <f>'REC Spend projected'!AE24</f>
        <v>-11348706563.030979</v>
      </c>
    </row>
    <row r="243" spans="2:8" x14ac:dyDescent="0.25">
      <c r="C243" s="171" t="s">
        <v>259</v>
      </c>
      <c r="D243" s="173">
        <f>'REC Spend projected'!AA25</f>
        <v>-11348706563.030979</v>
      </c>
      <c r="E243" s="173">
        <f>'REC Spend projected'!AB25</f>
        <v>770213015.27956915</v>
      </c>
      <c r="F243" s="173">
        <f>'REC Spend projected'!AC25</f>
        <v>-10578493547.75141</v>
      </c>
      <c r="G243" s="173">
        <f>'REC Spend projected'!AD25</f>
        <v>1980788488.7474985</v>
      </c>
      <c r="H243" s="173">
        <f>'REC Spend projected'!AE25</f>
        <v>-12559282036.498909</v>
      </c>
    </row>
    <row r="244" spans="2:8" x14ac:dyDescent="0.25">
      <c r="C244" s="171" t="s">
        <v>260</v>
      </c>
      <c r="D244" s="173">
        <f>'REC Spend projected'!AA26</f>
        <v>-12559282036.498909</v>
      </c>
      <c r="E244" s="173">
        <f>'REC Spend projected'!AB26</f>
        <v>773322609.58036363</v>
      </c>
      <c r="F244" s="173">
        <f>'REC Spend projected'!AC26</f>
        <v>-11785959426.918545</v>
      </c>
      <c r="G244" s="173">
        <f>'REC Spend projected'!AD26</f>
        <v>2034510133.4889455</v>
      </c>
      <c r="H244" s="173">
        <f>'REC Spend projected'!AE26</f>
        <v>-13820469560.40749</v>
      </c>
    </row>
    <row r="247" spans="2:8" ht="25.5" x14ac:dyDescent="0.25">
      <c r="B247" t="s">
        <v>323</v>
      </c>
      <c r="C247" s="224" t="s">
        <v>1</v>
      </c>
      <c r="D247" s="224" t="s">
        <v>324</v>
      </c>
      <c r="E247" s="224" t="s">
        <v>325</v>
      </c>
      <c r="F247" s="224" t="s">
        <v>326</v>
      </c>
    </row>
    <row r="248" spans="2:8" x14ac:dyDescent="0.25">
      <c r="C248" s="171" t="s">
        <v>241</v>
      </c>
      <c r="D248" s="173">
        <v>604656241.99530864</v>
      </c>
      <c r="E248" s="173">
        <v>604656241.99530864</v>
      </c>
      <c r="F248" s="173">
        <v>604656241.99530864</v>
      </c>
      <c r="G248" s="4"/>
      <c r="H248" t="s">
        <v>327</v>
      </c>
    </row>
    <row r="249" spans="2:8" x14ac:dyDescent="0.25">
      <c r="C249" s="171" t="s">
        <v>242</v>
      </c>
      <c r="D249" s="173">
        <v>468642630.45007873</v>
      </c>
      <c r="E249" s="173">
        <v>482723674.84044647</v>
      </c>
      <c r="F249" s="173">
        <v>454561586.05971098</v>
      </c>
      <c r="H249" t="s">
        <v>328</v>
      </c>
    </row>
    <row r="250" spans="2:8" x14ac:dyDescent="0.25">
      <c r="C250" s="171" t="s">
        <v>243</v>
      </c>
      <c r="D250" s="173">
        <v>333254583.3620677</v>
      </c>
      <c r="E250" s="173">
        <v>377730043.76061523</v>
      </c>
      <c r="F250" s="173">
        <v>288779122.96352005</v>
      </c>
    </row>
    <row r="251" spans="2:8" x14ac:dyDescent="0.25">
      <c r="C251" s="171" t="s">
        <v>244</v>
      </c>
      <c r="D251" s="173">
        <v>203593725.46508837</v>
      </c>
      <c r="E251" s="173">
        <v>284316562.82055759</v>
      </c>
      <c r="F251" s="173">
        <v>122870888.1096189</v>
      </c>
    </row>
    <row r="252" spans="2:8" x14ac:dyDescent="0.25">
      <c r="C252" s="171" t="s">
        <v>245</v>
      </c>
      <c r="D252" s="173">
        <v>31891499.106424332</v>
      </c>
      <c r="E252" s="173">
        <v>189825569.13809967</v>
      </c>
      <c r="F252" s="173">
        <v>-126042570.92525125</v>
      </c>
    </row>
    <row r="253" spans="2:8" x14ac:dyDescent="0.25">
      <c r="C253" s="171" t="s">
        <v>246</v>
      </c>
      <c r="D253" s="173">
        <v>-167344967.04357708</v>
      </c>
      <c r="E253" s="173">
        <v>95257334.579501987</v>
      </c>
      <c r="F253" s="173">
        <v>-429947268.66665649</v>
      </c>
    </row>
    <row r="254" spans="2:8" x14ac:dyDescent="0.25">
      <c r="C254" s="171" t="s">
        <v>247</v>
      </c>
      <c r="D254" s="173">
        <v>-413828076.31385303</v>
      </c>
      <c r="E254" s="173">
        <v>-17321068.729015946</v>
      </c>
      <c r="F254" s="173">
        <v>-810335083.89869046</v>
      </c>
    </row>
    <row r="255" spans="2:8" x14ac:dyDescent="0.25">
      <c r="C255" s="171" t="s">
        <v>248</v>
      </c>
      <c r="D255" s="173">
        <v>-676206743.40501845</v>
      </c>
      <c r="E255" s="173">
        <v>-112886492.49810696</v>
      </c>
      <c r="F255" s="173">
        <v>-1239526994.3119302</v>
      </c>
    </row>
    <row r="256" spans="2:8" x14ac:dyDescent="0.25">
      <c r="C256" s="171" t="s">
        <v>249</v>
      </c>
      <c r="D256" s="173">
        <v>-933272625.60694325</v>
      </c>
      <c r="E256" s="173">
        <v>-183813439.54228592</v>
      </c>
      <c r="F256" s="173">
        <v>-1682731811.6716006</v>
      </c>
    </row>
    <row r="257" spans="3:6" x14ac:dyDescent="0.25">
      <c r="C257" s="171" t="s">
        <v>250</v>
      </c>
      <c r="D257" s="173">
        <v>-1278286086.428921</v>
      </c>
      <c r="E257" s="173">
        <v>-329318165.70337951</v>
      </c>
      <c r="F257" s="173">
        <v>-2227254007.1544628</v>
      </c>
    </row>
    <row r="258" spans="3:6" x14ac:dyDescent="0.25">
      <c r="C258" s="171" t="s">
        <v>251</v>
      </c>
      <c r="D258" s="173">
        <v>-1570910717.7168217</v>
      </c>
      <c r="E258" s="173">
        <v>-422330881.20032537</v>
      </c>
      <c r="F258" s="173">
        <v>-2719490554.2333193</v>
      </c>
    </row>
    <row r="259" spans="3:6" x14ac:dyDescent="0.25">
      <c r="C259" s="171" t="s">
        <v>252</v>
      </c>
      <c r="D259" s="173">
        <v>-1812779719.217381</v>
      </c>
      <c r="E259" s="173">
        <v>-447680864.14543927</v>
      </c>
      <c r="F259" s="173">
        <v>-3177878574.2893238</v>
      </c>
    </row>
    <row r="260" spans="3:6" x14ac:dyDescent="0.25">
      <c r="C260" s="171" t="s">
        <v>253</v>
      </c>
      <c r="D260" s="173">
        <v>-1964677868.139348</v>
      </c>
      <c r="E260" s="173">
        <v>-351142033.75452673</v>
      </c>
      <c r="F260" s="173">
        <v>-3578213702.5241709</v>
      </c>
    </row>
    <row r="261" spans="3:6" x14ac:dyDescent="0.25">
      <c r="C261" s="171" t="s">
        <v>254</v>
      </c>
      <c r="D261" s="173">
        <v>-2038366983.1641808</v>
      </c>
      <c r="E261" s="173">
        <v>-167468269.52080619</v>
      </c>
      <c r="F261" s="173">
        <v>-3909265696.8075571</v>
      </c>
    </row>
    <row r="262" spans="3:6" x14ac:dyDescent="0.25">
      <c r="C262" s="171" t="s">
        <v>255</v>
      </c>
      <c r="D262" s="173">
        <v>-2046321754.8185134</v>
      </c>
      <c r="E262" s="173">
        <v>100399685.50890219</v>
      </c>
      <c r="F262" s="173">
        <v>-4193043195.1459308</v>
      </c>
    </row>
    <row r="263" spans="3:6" x14ac:dyDescent="0.25">
      <c r="C263" s="171" t="s">
        <v>256</v>
      </c>
      <c r="D263" s="173">
        <v>-1988196866.708487</v>
      </c>
      <c r="E263" s="173">
        <v>453465425.51983714</v>
      </c>
      <c r="F263" s="173">
        <v>-4429859158.9368134</v>
      </c>
    </row>
    <row r="264" spans="3:6" x14ac:dyDescent="0.25">
      <c r="C264" s="171" t="s">
        <v>257</v>
      </c>
      <c r="D264" s="173">
        <v>-1869002163.2465363</v>
      </c>
      <c r="E264" s="173">
        <v>886170951.81474829</v>
      </c>
      <c r="F264" s="173">
        <v>-4624175278.3078232</v>
      </c>
    </row>
    <row r="265" spans="3:6" x14ac:dyDescent="0.25">
      <c r="C265" s="171" t="s">
        <v>258</v>
      </c>
      <c r="D265" s="173">
        <v>-1698224950.725493</v>
      </c>
      <c r="E265" s="173">
        <v>1389278146.1640034</v>
      </c>
      <c r="F265" s="173">
        <v>-4785728047.6149921</v>
      </c>
    </row>
    <row r="266" spans="3:6" x14ac:dyDescent="0.25">
      <c r="C266" s="171" t="s">
        <v>259</v>
      </c>
      <c r="D266" s="173">
        <v>-1401526054.7433996</v>
      </c>
      <c r="E266" s="173">
        <v>2050672018.7957058</v>
      </c>
      <c r="F266" s="173">
        <v>-4853724128.2825079</v>
      </c>
    </row>
    <row r="267" spans="3:6" x14ac:dyDescent="0.25">
      <c r="C267" s="171" t="s">
        <v>260</v>
      </c>
      <c r="D267" s="173">
        <v>-965568633.12917709</v>
      </c>
      <c r="E267" s="173">
        <v>2859581186.906673</v>
      </c>
      <c r="F267" s="173">
        <v>-4790718453.1650305</v>
      </c>
    </row>
  </sheetData>
  <mergeCells count="4">
    <mergeCell ref="C58:C59"/>
    <mergeCell ref="D58:E58"/>
    <mergeCell ref="F58:G58"/>
    <mergeCell ref="H58:I58"/>
  </mergeCells>
  <phoneticPr fontId="13" type="noConversion"/>
  <hyperlinks>
    <hyperlink ref="D193" location="_ftn1" display="_ftn1" xr:uid="{990F3C04-FDF9-4C55-A792-C7210237C7DE}"/>
    <hyperlink ref="E193" location="_ftn2" display="_ftn2" xr:uid="{926B6FB1-9714-46D0-8048-07331A1AF539}"/>
    <hyperlink ref="F193" location="_ftn3" display="_ftn3" xr:uid="{17F3EAC8-164F-404E-9F70-4BA588F9115B}"/>
    <hyperlink ref="C196" location="_ftn4" display="_ftn4" xr:uid="{7AC0BF0F-3BB2-45C1-8339-C7AB2CE36FB2}"/>
  </hyperlinks>
  <printOptions horizontalCentered="1" verticalCentered="1"/>
  <pageMargins left="0.7" right="0.7" top="0.75" bottom="0.75" header="0.3" footer="0.3"/>
  <pageSetup scale="40" orientation="landscape" r:id="rId1"/>
  <headerFooter>
    <oddHeader>&amp;A</oddHeader>
  </headerFooter>
  <rowBreaks count="1" manualBreakCount="1">
    <brk id="84" max="16383" man="1"/>
  </rowBreaks>
  <customProperties>
    <customPr name="GU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FF027-ED16-483C-9250-E109D7860407}">
  <dimension ref="B1:AA175"/>
  <sheetViews>
    <sheetView zoomScale="90" zoomScaleNormal="90" workbookViewId="0">
      <selection activeCell="V16" sqref="V16"/>
    </sheetView>
  </sheetViews>
  <sheetFormatPr defaultRowHeight="15" x14ac:dyDescent="0.25"/>
  <cols>
    <col min="1" max="1" width="4.42578125" customWidth="1"/>
    <col min="2" max="2" width="10.5703125" bestFit="1" customWidth="1"/>
    <col min="3" max="3" width="13.42578125" bestFit="1" customWidth="1"/>
    <col min="4" max="4" width="14.42578125" bestFit="1" customWidth="1"/>
    <col min="5" max="5" width="13.5703125" customWidth="1"/>
    <col min="6" max="6" width="15" bestFit="1" customWidth="1"/>
    <col min="7" max="7" width="17.5703125" bestFit="1" customWidth="1"/>
    <col min="8" max="8" width="14.42578125" bestFit="1" customWidth="1"/>
    <col min="9" max="9" width="13.5703125" bestFit="1" customWidth="1"/>
    <col min="10" max="10" width="14.5703125" bestFit="1" customWidth="1"/>
    <col min="11" max="12" width="13.42578125" bestFit="1" customWidth="1"/>
    <col min="13" max="13" width="14.5703125" bestFit="1" customWidth="1"/>
    <col min="14" max="14" width="16.140625" bestFit="1" customWidth="1"/>
    <col min="15" max="15" width="16.140625" customWidth="1"/>
    <col min="16" max="16" width="15.5703125" bestFit="1" customWidth="1"/>
    <col min="17" max="18" width="22.42578125" bestFit="1" customWidth="1"/>
    <col min="19" max="19" width="16.140625" bestFit="1" customWidth="1"/>
    <col min="20" max="20" width="14.5703125" bestFit="1" customWidth="1"/>
    <col min="21" max="21" width="14.42578125" bestFit="1" customWidth="1"/>
    <col min="22" max="22" width="14.5703125" bestFit="1" customWidth="1"/>
    <col min="23" max="23" width="13.42578125" bestFit="1" customWidth="1"/>
    <col min="24" max="24" width="16.140625" bestFit="1" customWidth="1"/>
    <col min="25" max="25" width="13.85546875" bestFit="1" customWidth="1"/>
    <col min="26" max="26" width="16.140625" bestFit="1" customWidth="1"/>
    <col min="27" max="27" width="8.28515625" customWidth="1"/>
  </cols>
  <sheetData>
    <row r="1" spans="2:26" ht="15.75" thickBot="1" x14ac:dyDescent="0.3">
      <c r="B1" s="1" t="s">
        <v>0</v>
      </c>
    </row>
    <row r="2" spans="2:26" ht="15.75" thickBot="1" x14ac:dyDescent="0.3">
      <c r="B2" s="352"/>
      <c r="C2" s="353"/>
      <c r="D2" s="353"/>
      <c r="E2" s="354"/>
      <c r="F2" s="355"/>
      <c r="G2" s="353"/>
      <c r="H2" s="356"/>
      <c r="I2" s="357"/>
      <c r="J2" s="359"/>
      <c r="K2" s="357"/>
      <c r="L2" s="72"/>
      <c r="M2" s="299"/>
      <c r="N2" s="300"/>
      <c r="O2" s="300"/>
      <c r="P2" s="299"/>
      <c r="Q2" s="299"/>
      <c r="R2" s="299"/>
      <c r="S2" s="299"/>
    </row>
    <row r="3" spans="2:26" ht="63.6" customHeight="1" thickBot="1" x14ac:dyDescent="0.3">
      <c r="B3" s="73" t="s">
        <v>1</v>
      </c>
      <c r="C3" s="74" t="s">
        <v>273</v>
      </c>
      <c r="D3" s="74" t="s">
        <v>312</v>
      </c>
      <c r="E3" s="75" t="s">
        <v>88</v>
      </c>
      <c r="F3" s="75" t="s">
        <v>89</v>
      </c>
      <c r="G3" s="75" t="s">
        <v>90</v>
      </c>
      <c r="H3" s="75" t="s">
        <v>91</v>
      </c>
      <c r="I3" s="75" t="s">
        <v>92</v>
      </c>
      <c r="J3" s="75" t="s">
        <v>93</v>
      </c>
      <c r="K3" s="75" t="s">
        <v>94</v>
      </c>
      <c r="L3" s="75" t="s">
        <v>95</v>
      </c>
      <c r="M3" s="192" t="s">
        <v>96</v>
      </c>
      <c r="N3" s="192" t="s">
        <v>314</v>
      </c>
      <c r="O3" s="75" t="s">
        <v>329</v>
      </c>
      <c r="P3" s="75" t="s">
        <v>316</v>
      </c>
      <c r="Q3" s="75" t="s">
        <v>330</v>
      </c>
      <c r="R3" s="75" t="s">
        <v>228</v>
      </c>
      <c r="T3" s="77" t="s">
        <v>1</v>
      </c>
      <c r="U3" s="76" t="s">
        <v>183</v>
      </c>
      <c r="V3" s="76"/>
      <c r="W3" s="76" t="s">
        <v>331</v>
      </c>
      <c r="X3" s="76" t="s">
        <v>332</v>
      </c>
      <c r="Y3" s="76" t="s">
        <v>333</v>
      </c>
      <c r="Z3" s="76" t="s">
        <v>334</v>
      </c>
    </row>
    <row r="4" spans="2:26" ht="15.75" thickBot="1" x14ac:dyDescent="0.3">
      <c r="B4" s="78" t="s">
        <v>16</v>
      </c>
      <c r="C4" s="79">
        <f>SUM('ABP Under Contract'!K4:P4)</f>
        <v>216561392.63</v>
      </c>
      <c r="D4" s="79">
        <f>'REC Spend projected'!H4+'REC Spend projected'!I4+'REC Spend projected'!J4+'REC Spend projected'!K4+'REC Spend projected'!L4</f>
        <v>36245650.070711426</v>
      </c>
      <c r="E4" s="79"/>
      <c r="F4" s="79"/>
      <c r="G4" s="79"/>
      <c r="H4" s="79"/>
      <c r="I4" s="79"/>
      <c r="J4" s="79"/>
      <c r="K4" s="79"/>
      <c r="L4" s="79"/>
      <c r="M4" s="79"/>
      <c r="N4" s="79">
        <f>SUM(F4:M4)</f>
        <v>0</v>
      </c>
      <c r="O4" s="79">
        <f>'REC Spend projected'!M4+'REC Spend projected'!N4+'REC Spend projected'!O4</f>
        <v>18018880.058405567</v>
      </c>
      <c r="P4" s="79">
        <f>C4+D4+E4+N4+O4</f>
        <v>270825922.75911701</v>
      </c>
      <c r="Q4" s="79">
        <f>'REC Spend projected'!AA4</f>
        <v>293790554.98094952</v>
      </c>
      <c r="R4" s="79">
        <f>'REC Spend projected'!AE4</f>
        <v>248200632.95190209</v>
      </c>
      <c r="S4" s="82"/>
      <c r="T4" s="78" t="s">
        <v>16</v>
      </c>
      <c r="U4" s="210">
        <f t="shared" ref="U4:U26" si="0">SUM(C4:D4)</f>
        <v>252807042.70071143</v>
      </c>
      <c r="V4" s="210"/>
      <c r="W4" s="210">
        <f>E4</f>
        <v>0</v>
      </c>
      <c r="X4" s="210">
        <f>SUM(F4:M4)</f>
        <v>0</v>
      </c>
      <c r="Y4" s="210">
        <f t="shared" ref="Y4" si="1">O4</f>
        <v>18018880.058405567</v>
      </c>
      <c r="Z4" s="210">
        <f t="shared" ref="Z4:Z26" si="2">Q4</f>
        <v>293790554.98094952</v>
      </c>
    </row>
    <row r="5" spans="2:26" ht="15.75" thickBot="1" x14ac:dyDescent="0.3">
      <c r="B5" s="78" t="s">
        <v>17</v>
      </c>
      <c r="C5" s="79">
        <f>SUM('ABP Under Contract'!K5:P5)</f>
        <v>206843524.29000002</v>
      </c>
      <c r="D5" s="79">
        <f>'REC Spend projected'!H5+'REC Spend projected'!I5+'REC Spend projected'!J5+'REC Spend projected'!K5+'REC Spend projected'!L5</f>
        <v>43402846.540514499</v>
      </c>
      <c r="E5" s="79"/>
      <c r="F5" s="79"/>
      <c r="G5" s="79"/>
      <c r="H5" s="79"/>
      <c r="I5" s="79"/>
      <c r="J5" s="79"/>
      <c r="K5" s="79"/>
      <c r="L5" s="79"/>
      <c r="M5" s="79"/>
      <c r="N5" s="79">
        <f t="shared" ref="N5:N26" si="3">SUM(F5:M5)</f>
        <v>0</v>
      </c>
      <c r="O5" s="79">
        <f>'REC Spend projected'!M5+'REC Spend projected'!N5+'REC Spend projected'!O5</f>
        <v>73942135.092404008</v>
      </c>
      <c r="P5" s="79">
        <f t="shared" ref="P5:P26" si="4">C5+D5+E5+N5+O5</f>
        <v>324188505.92291856</v>
      </c>
      <c r="Q5" s="79">
        <f>'REC Spend projected'!AA5</f>
        <v>248200632.95190209</v>
      </c>
      <c r="R5" s="79">
        <f>'REC Spend projected'!AE5</f>
        <v>388749963.44245076</v>
      </c>
      <c r="S5" s="82"/>
      <c r="T5" s="78" t="s">
        <v>17</v>
      </c>
      <c r="U5" s="210">
        <f t="shared" si="0"/>
        <v>250246370.83051452</v>
      </c>
      <c r="V5" s="210"/>
      <c r="W5" s="210">
        <f t="shared" ref="W5:W26" si="5">E5</f>
        <v>0</v>
      </c>
      <c r="X5" s="210">
        <f t="shared" ref="X5:X26" si="6">SUM(F5:M5)</f>
        <v>0</v>
      </c>
      <c r="Y5" s="210">
        <f t="shared" ref="Y5:Y26" si="7">O5</f>
        <v>73942135.092404008</v>
      </c>
      <c r="Z5" s="210">
        <f t="shared" si="2"/>
        <v>248200632.95190209</v>
      </c>
    </row>
    <row r="6" spans="2:26" ht="15.75" thickBot="1" x14ac:dyDescent="0.3">
      <c r="B6" s="78" t="s">
        <v>18</v>
      </c>
      <c r="C6" s="79">
        <f>SUM('ABP Under Contract'!K6:P6)</f>
        <v>256275587.24000001</v>
      </c>
      <c r="D6" s="79">
        <f>'REC Spend projected'!H6+'REC Spend projected'!I6+'REC Spend projected'!J6+'REC Spend projected'!K6+'REC Spend projected'!L6</f>
        <v>45037755.807743326</v>
      </c>
      <c r="E6" s="79"/>
      <c r="F6" s="79"/>
      <c r="G6" s="79"/>
      <c r="H6" s="79"/>
      <c r="I6" s="79"/>
      <c r="J6" s="79"/>
      <c r="K6" s="79"/>
      <c r="L6" s="79"/>
      <c r="M6" s="79"/>
      <c r="N6" s="79">
        <f t="shared" si="3"/>
        <v>0</v>
      </c>
      <c r="O6" s="79">
        <f>'REC Spend projected'!M6+'REC Spend projected'!N6+'REC Spend projected'!O6</f>
        <v>67623889.800951704</v>
      </c>
      <c r="P6" s="79">
        <f t="shared" si="4"/>
        <v>368937232.84869504</v>
      </c>
      <c r="Q6" s="79">
        <f>'REC Spend projected'!AA6</f>
        <v>388749963.44245076</v>
      </c>
      <c r="R6" s="79">
        <f>'REC Spend projected'!AE6</f>
        <v>607275723.95881271</v>
      </c>
      <c r="S6" s="82"/>
      <c r="T6" s="78" t="s">
        <v>18</v>
      </c>
      <c r="U6" s="210">
        <f t="shared" si="0"/>
        <v>301313343.04774332</v>
      </c>
      <c r="V6" s="210"/>
      <c r="W6" s="210">
        <f t="shared" si="5"/>
        <v>0</v>
      </c>
      <c r="X6" s="210">
        <f t="shared" si="6"/>
        <v>0</v>
      </c>
      <c r="Y6" s="210">
        <f t="shared" si="7"/>
        <v>67623889.800951704</v>
      </c>
      <c r="Z6" s="210">
        <f t="shared" si="2"/>
        <v>388749963.44245076</v>
      </c>
    </row>
    <row r="7" spans="2:26" ht="15.75" thickBot="1" x14ac:dyDescent="0.3">
      <c r="B7" s="78" t="s">
        <v>19</v>
      </c>
      <c r="C7" s="79">
        <f>SUM('ABP Under Contract'!K7:P7)</f>
        <v>472820169.50000006</v>
      </c>
      <c r="D7" s="79">
        <f>'REC Spend projected'!H7+'REC Spend projected'!I7+'REC Spend projected'!J7+'REC Spend projected'!K7+'REC Spend projected'!L7</f>
        <v>40315921.562919624</v>
      </c>
      <c r="E7" s="79"/>
      <c r="F7" s="79"/>
      <c r="G7" s="85"/>
      <c r="H7" s="85"/>
      <c r="I7" s="85"/>
      <c r="J7" s="85"/>
      <c r="K7" s="85"/>
      <c r="L7" s="79"/>
      <c r="M7" s="79"/>
      <c r="N7" s="79">
        <f t="shared" si="3"/>
        <v>0</v>
      </c>
      <c r="O7" s="79">
        <f>'REC Spend projected'!M7+'REC Spend projected'!N7+'REC Spend projected'!O7</f>
        <v>67322647.088471591</v>
      </c>
      <c r="P7" s="79">
        <f t="shared" si="4"/>
        <v>580458738.15139127</v>
      </c>
      <c r="Q7" s="79">
        <f>'REC Spend projected'!AA7</f>
        <v>607275723.95881271</v>
      </c>
      <c r="R7" s="79">
        <f>'REC Spend projected'!AE7</f>
        <v>604238555.42314124</v>
      </c>
      <c r="S7" s="82"/>
      <c r="T7" s="78" t="s">
        <v>19</v>
      </c>
      <c r="U7" s="210">
        <f t="shared" si="0"/>
        <v>513136091.06291968</v>
      </c>
      <c r="V7" s="210"/>
      <c r="W7" s="210">
        <f t="shared" si="5"/>
        <v>0</v>
      </c>
      <c r="X7" s="210">
        <f t="shared" si="6"/>
        <v>0</v>
      </c>
      <c r="Y7" s="210">
        <f t="shared" si="7"/>
        <v>67322647.088471591</v>
      </c>
      <c r="Z7" s="210">
        <f t="shared" si="2"/>
        <v>607275723.95881271</v>
      </c>
    </row>
    <row r="8" spans="2:26" ht="15.75" thickBot="1" x14ac:dyDescent="0.3">
      <c r="B8" s="78" t="s">
        <v>21</v>
      </c>
      <c r="C8" s="79">
        <f>SUM('ABP Under Contract'!K8:P8)</f>
        <v>392806235.59699994</v>
      </c>
      <c r="D8" s="79">
        <f>'REC Spend projected'!H8+'REC Spend projected'!I8+'REC Spend projected'!J8+'REC Spend projected'!K8+'REC Spend projected'!L8</f>
        <v>40060781.008816466</v>
      </c>
      <c r="E8" s="79"/>
      <c r="F8" s="79"/>
      <c r="G8" s="79"/>
      <c r="H8" s="79"/>
      <c r="I8" s="79"/>
      <c r="J8" s="79"/>
      <c r="K8" s="79"/>
      <c r="L8" s="79"/>
      <c r="M8" s="79"/>
      <c r="N8" s="79">
        <f t="shared" si="3"/>
        <v>0</v>
      </c>
      <c r="O8" s="79">
        <f>'REC Spend projected'!M8+'REC Spend projected'!N8+'REC Spend projected'!O8</f>
        <v>77198419.557390258</v>
      </c>
      <c r="P8" s="79">
        <f t="shared" si="4"/>
        <v>510065436.1632067</v>
      </c>
      <c r="Q8" s="79">
        <f>'REC Spend projected'!AA8</f>
        <v>604238555.42314124</v>
      </c>
      <c r="R8" s="79">
        <f>'REC Spend projected'!AE8</f>
        <v>633813652.43962193</v>
      </c>
      <c r="S8" s="82"/>
      <c r="T8" s="78" t="s">
        <v>21</v>
      </c>
      <c r="U8" s="210">
        <f t="shared" si="0"/>
        <v>432867016.60581642</v>
      </c>
      <c r="V8" s="210"/>
      <c r="W8" s="210">
        <f t="shared" si="5"/>
        <v>0</v>
      </c>
      <c r="X8" s="210">
        <f t="shared" si="6"/>
        <v>0</v>
      </c>
      <c r="Y8" s="210">
        <f t="shared" si="7"/>
        <v>77198419.557390258</v>
      </c>
      <c r="Z8" s="210">
        <f t="shared" si="2"/>
        <v>604238555.42314124</v>
      </c>
    </row>
    <row r="9" spans="2:26" ht="15.75" thickBot="1" x14ac:dyDescent="0.3">
      <c r="B9" s="78" t="s">
        <v>22</v>
      </c>
      <c r="C9" s="79">
        <f>SUM('ABP Under Contract'!K9:P9)</f>
        <v>460768532.98999989</v>
      </c>
      <c r="D9" s="79">
        <f>'REC Spend projected'!H9+'REC Spend projected'!I9+'REC Spend projected'!J9+'REC Spend projected'!K9+'REC Spend projected'!L9</f>
        <v>67422694.729594275</v>
      </c>
      <c r="E9" s="79">
        <f>'Projected ABP Spend'!C187</f>
        <v>33640118.733321041</v>
      </c>
      <c r="F9" s="79"/>
      <c r="G9" s="85"/>
      <c r="H9" s="85"/>
      <c r="I9" s="85"/>
      <c r="J9" s="85"/>
      <c r="K9" s="85"/>
      <c r="L9" s="79"/>
      <c r="M9" s="79"/>
      <c r="N9" s="79">
        <f t="shared" si="3"/>
        <v>0</v>
      </c>
      <c r="O9" s="79">
        <f>'REC Spend projected'!M9+'REC Spend projected'!N9+'REC Spend projected'!O9</f>
        <v>67145711.256652042</v>
      </c>
      <c r="P9" s="79">
        <f t="shared" si="4"/>
        <v>628977057.70956719</v>
      </c>
      <c r="Q9" s="79">
        <f>'REC Spend projected'!AA9</f>
        <v>633813652.43962193</v>
      </c>
      <c r="R9" s="79">
        <f>'REC Spend projected'!AE9</f>
        <v>568999884.69689834</v>
      </c>
      <c r="S9" s="82"/>
      <c r="T9" s="78" t="s">
        <v>22</v>
      </c>
      <c r="U9" s="210">
        <f t="shared" si="0"/>
        <v>528191227.71959418</v>
      </c>
      <c r="V9" s="210"/>
      <c r="W9" s="210">
        <f t="shared" si="5"/>
        <v>33640118.733321041</v>
      </c>
      <c r="X9" s="210">
        <f t="shared" si="6"/>
        <v>0</v>
      </c>
      <c r="Y9" s="210">
        <f t="shared" si="7"/>
        <v>67145711.256652042</v>
      </c>
      <c r="Z9" s="210">
        <f t="shared" si="2"/>
        <v>633813652.43962193</v>
      </c>
    </row>
    <row r="10" spans="2:26" ht="15.75" thickBot="1" x14ac:dyDescent="0.3">
      <c r="B10" s="78" t="s">
        <v>23</v>
      </c>
      <c r="C10" s="79">
        <f>SUM('ABP Under Contract'!K10:P10)</f>
        <v>314241892.60000002</v>
      </c>
      <c r="D10" s="79">
        <f>'REC Spend projected'!H10+'REC Spend projected'!I10+'REC Spend projected'!J10+'REC Spend projected'!K10+'REC Spend projected'!L10</f>
        <v>142850053.38376001</v>
      </c>
      <c r="E10" s="79">
        <f>'Projected ABP Spend'!C187</f>
        <v>33640118.733321041</v>
      </c>
      <c r="F10" s="79"/>
      <c r="G10" s="79"/>
      <c r="H10" s="79"/>
      <c r="I10" s="79"/>
      <c r="J10" s="79"/>
      <c r="K10" s="79"/>
      <c r="L10" s="79"/>
      <c r="M10" s="79"/>
      <c r="N10" s="79">
        <f>SUM(F10:M10)</f>
        <v>0</v>
      </c>
      <c r="O10" s="79">
        <f>'REC Spend projected'!M10+'REC Spend projected'!N10+'REC Spend projected'!O10</f>
        <v>67095059.275192291</v>
      </c>
      <c r="P10" s="79">
        <f t="shared" si="4"/>
        <v>557827123.99227333</v>
      </c>
      <c r="Q10" s="79">
        <f>'REC Spend projected'!AA10</f>
        <v>568999884.69689834</v>
      </c>
      <c r="R10" s="79">
        <f>'REC Spend projected'!AE10</f>
        <v>380792569.78215742</v>
      </c>
      <c r="S10" s="82"/>
      <c r="T10" s="78" t="s">
        <v>23</v>
      </c>
      <c r="U10" s="210">
        <f t="shared" si="0"/>
        <v>457091945.98376</v>
      </c>
      <c r="V10" s="210"/>
      <c r="W10" s="210">
        <f t="shared" si="5"/>
        <v>33640118.733321041</v>
      </c>
      <c r="X10" s="210">
        <f t="shared" si="6"/>
        <v>0</v>
      </c>
      <c r="Y10" s="210">
        <f t="shared" si="7"/>
        <v>67095059.275192291</v>
      </c>
      <c r="Z10" s="210">
        <f t="shared" si="2"/>
        <v>568999884.69689834</v>
      </c>
    </row>
    <row r="11" spans="2:26" ht="15.75" thickBot="1" x14ac:dyDescent="0.3">
      <c r="B11" s="78" t="s">
        <v>24</v>
      </c>
      <c r="C11" s="79">
        <f>SUM('ABP Under Contract'!K11:P11)</f>
        <v>254706619.06000003</v>
      </c>
      <c r="D11" s="79">
        <f>'REC Spend projected'!H11+'REC Spend projected'!I11+'REC Spend projected'!J11+'REC Spend projected'!K11+'REC Spend projected'!L11</f>
        <v>246039364.40916383</v>
      </c>
      <c r="E11" s="79">
        <f>'Projected ABP Spend'!C189+'Indexed REC Spend'!H102</f>
        <v>153781299.59728101</v>
      </c>
      <c r="F11" s="79">
        <f>'Projected ABP Spend'!D188+'Indexed REC Spend'!J102</f>
        <v>0</v>
      </c>
      <c r="G11" s="79">
        <f>'Projected ABP Spend'!E188+'Indexed REC Spend'!K102</f>
        <v>0</v>
      </c>
      <c r="H11" s="79">
        <f>'Projected ABP Spend'!F188+'Indexed REC Spend'!L102</f>
        <v>0</v>
      </c>
      <c r="I11" s="79">
        <f>'Projected ABP Spend'!G188+'Indexed REC Spend'!M102</f>
        <v>0</v>
      </c>
      <c r="J11" s="79">
        <f>'Projected ABP Spend'!H188+'Indexed REC Spend'!N102</f>
        <v>0</v>
      </c>
      <c r="K11" s="79">
        <f>'Projected ABP Spend'!I188+'Indexed REC Spend'!O102</f>
        <v>0</v>
      </c>
      <c r="L11" s="79">
        <f>'Projected ABP Spend'!J188+'Indexed REC Spend'!P102</f>
        <v>0</v>
      </c>
      <c r="M11" s="79">
        <f>'Projected ABP Spend'!K188+'Indexed REC Spend'!Q102</f>
        <v>0</v>
      </c>
      <c r="N11" s="79">
        <f>SUM(F11:M11)</f>
        <v>0</v>
      </c>
      <c r="O11" s="79">
        <f>'REC Spend projected'!M11+'REC Spend projected'!N11+'REC Spend projected'!O11</f>
        <v>77304402.141023755</v>
      </c>
      <c r="P11" s="79">
        <f t="shared" si="4"/>
        <v>731831685.20746863</v>
      </c>
      <c r="Q11" s="79">
        <f>'REC Spend projected'!AA11</f>
        <v>380792569.78215742</v>
      </c>
      <c r="R11" s="79">
        <f>'REC Spend projected'!AE11</f>
        <v>53409504.634589553</v>
      </c>
      <c r="S11" s="82"/>
      <c r="T11" s="78" t="s">
        <v>24</v>
      </c>
      <c r="U11" s="210">
        <f t="shared" si="0"/>
        <v>500745983.46916389</v>
      </c>
      <c r="V11" s="210"/>
      <c r="W11" s="210">
        <f t="shared" si="5"/>
        <v>153781299.59728101</v>
      </c>
      <c r="X11" s="210">
        <f t="shared" si="6"/>
        <v>0</v>
      </c>
      <c r="Y11" s="210">
        <f t="shared" si="7"/>
        <v>77304402.141023755</v>
      </c>
      <c r="Z11" s="210">
        <f t="shared" si="2"/>
        <v>380792569.78215742</v>
      </c>
    </row>
    <row r="12" spans="2:26" ht="15.75" thickBot="1" x14ac:dyDescent="0.3">
      <c r="B12" s="81" t="s">
        <v>25</v>
      </c>
      <c r="C12" s="79">
        <f>SUM('ABP Under Contract'!K12:P12)</f>
        <v>236451278.43000001</v>
      </c>
      <c r="D12" s="79">
        <f>'REC Spend projected'!H12+'REC Spend projected'!I12+'REC Spend projected'!J12+'REC Spend projected'!K12+'REC Spend projected'!L12</f>
        <v>278875762.2696225</v>
      </c>
      <c r="E12" s="79">
        <f>'Projected ABP Spend'!C190+'Indexed REC Spend'!H103</f>
        <v>198051503.09884429</v>
      </c>
      <c r="F12" s="79">
        <f>'Projected ABP Spend'!D189+'Indexed REC Spend'!J103</f>
        <v>225809113.2432285</v>
      </c>
      <c r="G12" s="79">
        <f>'Projected ABP Spend'!E189+'Indexed REC Spend'!K103</f>
        <v>0</v>
      </c>
      <c r="H12" s="79">
        <f>'Projected ABP Spend'!F189+'Indexed REC Spend'!L103</f>
        <v>0</v>
      </c>
      <c r="I12" s="79">
        <f>'Projected ABP Spend'!G189+'Indexed REC Spend'!M103</f>
        <v>0</v>
      </c>
      <c r="J12" s="79">
        <f>'Projected ABP Spend'!H189+'Indexed REC Spend'!N103</f>
        <v>0</v>
      </c>
      <c r="K12" s="79">
        <f>'Projected ABP Spend'!I189+'Indexed REC Spend'!O103</f>
        <v>0</v>
      </c>
      <c r="L12" s="79">
        <f>'Projected ABP Spend'!J189+'Indexed REC Spend'!P103</f>
        <v>0</v>
      </c>
      <c r="M12" s="79">
        <f>'Projected ABP Spend'!K189+'Indexed REC Spend'!Q103</f>
        <v>0</v>
      </c>
      <c r="N12" s="79">
        <f t="shared" si="3"/>
        <v>225809113.2432285</v>
      </c>
      <c r="O12" s="79">
        <f>'REC Spend projected'!M12+'REC Spend projected'!N12+'REC Spend projected'!O12</f>
        <v>67640600.719584882</v>
      </c>
      <c r="P12" s="79">
        <f t="shared" si="4"/>
        <v>1006828257.7612803</v>
      </c>
      <c r="Q12" s="79">
        <f>'REC Spend projected'!AA12</f>
        <v>53409504.634589553</v>
      </c>
      <c r="R12" s="79">
        <f>'REC Spend projected'!AE12</f>
        <v>-426010187.37957072</v>
      </c>
      <c r="S12" s="82"/>
      <c r="T12" s="81" t="s">
        <v>25</v>
      </c>
      <c r="U12" s="210">
        <f t="shared" si="0"/>
        <v>515327040.69962251</v>
      </c>
      <c r="V12" s="210"/>
      <c r="W12" s="210">
        <f t="shared" si="5"/>
        <v>198051503.09884429</v>
      </c>
      <c r="X12" s="210">
        <f t="shared" si="6"/>
        <v>225809113.2432285</v>
      </c>
      <c r="Y12" s="210">
        <f t="shared" si="7"/>
        <v>67640600.719584882</v>
      </c>
      <c r="Z12" s="210">
        <f t="shared" si="2"/>
        <v>53409504.634589553</v>
      </c>
    </row>
    <row r="13" spans="2:26" ht="15.75" thickBot="1" x14ac:dyDescent="0.3">
      <c r="B13" s="78" t="s">
        <v>26</v>
      </c>
      <c r="C13" s="79">
        <f>SUM('ABP Under Contract'!K13:P13)</f>
        <v>234634480.03000003</v>
      </c>
      <c r="D13" s="79">
        <f>'REC Spend projected'!H13+'REC Spend projected'!I13+'REC Spend projected'!J13+'REC Spend projected'!K13+'REC Spend projected'!L13</f>
        <v>284784894.9956435</v>
      </c>
      <c r="E13" s="79">
        <f>'Projected ABP Spend'!C191+'Indexed REC Spend'!H104</f>
        <v>204182096.60130417</v>
      </c>
      <c r="F13" s="79">
        <f>'Projected ABP Spend'!D190+'Indexed REC Spend'!J104</f>
        <v>405567540.18849742</v>
      </c>
      <c r="G13" s="79">
        <f>'Projected ABP Spend'!E190+'Indexed REC Spend'!K104</f>
        <v>0</v>
      </c>
      <c r="H13" s="79">
        <f>'Projected ABP Spend'!F190+'Indexed REC Spend'!L104</f>
        <v>0</v>
      </c>
      <c r="I13" s="79">
        <f>'Projected ABP Spend'!G190+'Indexed REC Spend'!M104</f>
        <v>0</v>
      </c>
      <c r="J13" s="79">
        <f>'Projected ABP Spend'!H190+'Indexed REC Spend'!N104</f>
        <v>0</v>
      </c>
      <c r="K13" s="79">
        <f>'Projected ABP Spend'!I190+'Indexed REC Spend'!O104</f>
        <v>0</v>
      </c>
      <c r="L13" s="79">
        <f>'Projected ABP Spend'!J190+'Indexed REC Spend'!P104</f>
        <v>0</v>
      </c>
      <c r="M13" s="79">
        <f>'Projected ABP Spend'!K190+'Indexed REC Spend'!Q104</f>
        <v>0</v>
      </c>
      <c r="N13" s="79">
        <f t="shared" si="3"/>
        <v>405567540.18849742</v>
      </c>
      <c r="O13" s="79">
        <f>'REC Spend projected'!M13+'REC Spend projected'!N13+'REC Spend projected'!O13</f>
        <v>68123785.490454584</v>
      </c>
      <c r="P13" s="79">
        <f t="shared" si="4"/>
        <v>1197292797.3058996</v>
      </c>
      <c r="Q13" s="79">
        <f>'REC Spend projected'!AA13</f>
        <v>-426010187.37957072</v>
      </c>
      <c r="R13" s="79">
        <f>'REC Spend projected'!AE13</f>
        <v>-1063415720.1020508</v>
      </c>
      <c r="S13" s="82"/>
      <c r="T13" s="78" t="s">
        <v>26</v>
      </c>
      <c r="U13" s="210">
        <f t="shared" si="0"/>
        <v>519419375.02564353</v>
      </c>
      <c r="V13" s="210"/>
      <c r="W13" s="210">
        <f t="shared" si="5"/>
        <v>204182096.60130417</v>
      </c>
      <c r="X13" s="210">
        <f t="shared" si="6"/>
        <v>405567540.18849742</v>
      </c>
      <c r="Y13" s="210">
        <f t="shared" si="7"/>
        <v>68123785.490454584</v>
      </c>
      <c r="Z13" s="210">
        <f t="shared" si="2"/>
        <v>-426010187.37957072</v>
      </c>
    </row>
    <row r="14" spans="2:26" ht="15.75" thickBot="1" x14ac:dyDescent="0.3">
      <c r="B14" s="78" t="s">
        <v>27</v>
      </c>
      <c r="C14" s="79">
        <f>SUM('ABP Under Contract'!K14:P14)</f>
        <v>231103315.06000003</v>
      </c>
      <c r="D14" s="79">
        <f>'REC Spend projected'!H14+'REC Spend projected'!I14+'REC Spend projected'!J14+'REC Spend projected'!K14+'REC Spend projected'!L14</f>
        <v>284621828.6759482</v>
      </c>
      <c r="E14" s="79">
        <f>'Projected ABP Spend'!C192+'Indexed REC Spend'!H105</f>
        <v>206899395.09235734</v>
      </c>
      <c r="F14" s="79">
        <f>'Projected ABP Spend'!D191+'Indexed REC Spend'!J105</f>
        <v>375336164.43657637</v>
      </c>
      <c r="G14" s="79">
        <f>'Projected ABP Spend'!E191+'Indexed REC Spend'!K105</f>
        <v>208105678.76495937</v>
      </c>
      <c r="H14" s="79">
        <f>'Projected ABP Spend'!F191+'Indexed REC Spend'!L105</f>
        <v>0</v>
      </c>
      <c r="I14" s="79">
        <f>'Projected ABP Spend'!G191+'Indexed REC Spend'!M105</f>
        <v>0</v>
      </c>
      <c r="J14" s="79">
        <f>'Projected ABP Spend'!H191+'Indexed REC Spend'!N105</f>
        <v>0</v>
      </c>
      <c r="K14" s="79">
        <f>'Projected ABP Spend'!I191+'Indexed REC Spend'!O105</f>
        <v>0</v>
      </c>
      <c r="L14" s="79">
        <f>'Projected ABP Spend'!J191+'Indexed REC Spend'!P105</f>
        <v>0</v>
      </c>
      <c r="M14" s="79">
        <f>'Projected ABP Spend'!K191+'Indexed REC Spend'!Q105</f>
        <v>0</v>
      </c>
      <c r="N14" s="79">
        <f t="shared" si="3"/>
        <v>583441843.2015357</v>
      </c>
      <c r="O14" s="79">
        <f>'REC Spend projected'!M14+'REC Spend projected'!N14+'REC Spend projected'!O14</f>
        <v>78786284.459790573</v>
      </c>
      <c r="P14" s="79">
        <f t="shared" si="4"/>
        <v>1384852666.4896317</v>
      </c>
      <c r="Q14" s="79">
        <f>'REC Spend projected'!AA14</f>
        <v>-1063415720.1020508</v>
      </c>
      <c r="R14" s="79">
        <f>'REC Spend projected'!AE14</f>
        <v>-1858868683.3309617</v>
      </c>
      <c r="S14" s="82"/>
      <c r="T14" s="78" t="s">
        <v>27</v>
      </c>
      <c r="U14" s="210">
        <f t="shared" si="0"/>
        <v>515725143.7359482</v>
      </c>
      <c r="V14" s="210"/>
      <c r="W14" s="210">
        <f t="shared" si="5"/>
        <v>206899395.09235734</v>
      </c>
      <c r="X14" s="210">
        <f t="shared" si="6"/>
        <v>583441843.2015357</v>
      </c>
      <c r="Y14" s="210">
        <f t="shared" si="7"/>
        <v>78786284.459790573</v>
      </c>
      <c r="Z14" s="210">
        <f t="shared" si="2"/>
        <v>-1063415720.1020508</v>
      </c>
    </row>
    <row r="15" spans="2:26" ht="15.75" thickBot="1" x14ac:dyDescent="0.3">
      <c r="B15" s="78" t="s">
        <v>28</v>
      </c>
      <c r="C15" s="79">
        <f>SUM('ABP Under Contract'!K15:P15)</f>
        <v>206967057.62</v>
      </c>
      <c r="D15" s="79">
        <f>'REC Spend projected'!H15+'REC Spend projected'!I15+'REC Spend projected'!J15+'REC Spend projected'!K15+'REC Spend projected'!L15</f>
        <v>291568601.97725523</v>
      </c>
      <c r="E15" s="79">
        <f>'Projected ABP Spend'!C193+'Indexed REC Spend'!H106</f>
        <v>206542600.30036467</v>
      </c>
      <c r="F15" s="79">
        <f>'Projected ABP Spend'!D192+'Indexed REC Spend'!J106</f>
        <v>378168156.52360439</v>
      </c>
      <c r="G15" s="79">
        <f>'Projected ABP Spend'!E192+'Indexed REC Spend'!K106</f>
        <v>366867587.00502086</v>
      </c>
      <c r="H15" s="79">
        <f>'Projected ABP Spend'!F192+'Indexed REC Spend'!L106</f>
        <v>0</v>
      </c>
      <c r="I15" s="79">
        <f>'Projected ABP Spend'!G192+'Indexed REC Spend'!M106</f>
        <v>0</v>
      </c>
      <c r="J15" s="79">
        <f>'Projected ABP Spend'!H192+'Indexed REC Spend'!N106</f>
        <v>0</v>
      </c>
      <c r="K15" s="79">
        <f>'Projected ABP Spend'!I192+'Indexed REC Spend'!O106</f>
        <v>0</v>
      </c>
      <c r="L15" s="79">
        <f>'Projected ABP Spend'!J192+'Indexed REC Spend'!P106</f>
        <v>0</v>
      </c>
      <c r="M15" s="79">
        <f>'Projected ABP Spend'!K192+'Indexed REC Spend'!Q106</f>
        <v>0</v>
      </c>
      <c r="N15" s="79">
        <f>SUM(F15:M15)</f>
        <v>745035743.52862525</v>
      </c>
      <c r="O15" s="79">
        <f>'REC Spend projected'!M15+'REC Spend projected'!N15+'REC Spend projected'!O15</f>
        <v>69538734.721551597</v>
      </c>
      <c r="P15" s="79">
        <f t="shared" si="4"/>
        <v>1519652738.1477969</v>
      </c>
      <c r="Q15" s="79">
        <f>'REC Spend projected'!AA15</f>
        <v>-1858868683.3309617</v>
      </c>
      <c r="R15" s="79">
        <f>'REC Spend projected'!AE15</f>
        <v>-2699483994.1275163</v>
      </c>
      <c r="S15" s="82"/>
      <c r="T15" s="78" t="s">
        <v>28</v>
      </c>
      <c r="U15" s="210">
        <f t="shared" si="0"/>
        <v>498535659.59725523</v>
      </c>
      <c r="V15" s="210"/>
      <c r="W15" s="210">
        <f t="shared" si="5"/>
        <v>206542600.30036467</v>
      </c>
      <c r="X15" s="210">
        <f t="shared" si="6"/>
        <v>745035743.52862525</v>
      </c>
      <c r="Y15" s="210">
        <f t="shared" si="7"/>
        <v>69538734.721551597</v>
      </c>
      <c r="Z15" s="210">
        <f t="shared" si="2"/>
        <v>-1858868683.3309617</v>
      </c>
    </row>
    <row r="16" spans="2:26" ht="15.75" thickBot="1" x14ac:dyDescent="0.3">
      <c r="B16" s="78" t="s">
        <v>29</v>
      </c>
      <c r="C16" s="79">
        <f>SUM('ABP Under Contract'!K16:P16)</f>
        <v>166032536.61000001</v>
      </c>
      <c r="D16" s="79">
        <f>'REC Spend projected'!H16+'REC Spend projected'!I16+'REC Spend projected'!J16+'REC Spend projected'!K16+'REC Spend projected'!L16</f>
        <v>287641383.84036225</v>
      </c>
      <c r="E16" s="79">
        <f>'Projected ABP Spend'!C194+'Indexed REC Spend'!H107</f>
        <v>199551961.90444404</v>
      </c>
      <c r="F16" s="79">
        <f>'Projected ABP Spend'!D193+'Indexed REC Spend'!J107</f>
        <v>380442801.06302172</v>
      </c>
      <c r="G16" s="79">
        <f>'Projected ABP Spend'!E193+'Indexed REC Spend'!K107</f>
        <v>341865820.98577142</v>
      </c>
      <c r="H16" s="79">
        <f>'Projected ABP Spend'!F193+'Indexed REC Spend'!L107</f>
        <v>191790193.54978654</v>
      </c>
      <c r="I16" s="79">
        <f>'Projected ABP Spend'!G193+'Indexed REC Spend'!M107</f>
        <v>0</v>
      </c>
      <c r="J16" s="79">
        <f>'Projected ABP Spend'!H193+'Indexed REC Spend'!N107</f>
        <v>0</v>
      </c>
      <c r="K16" s="79">
        <f>'Projected ABP Spend'!I193+'Indexed REC Spend'!O107</f>
        <v>0</v>
      </c>
      <c r="L16" s="79">
        <f>'Projected ABP Spend'!J193+'Indexed REC Spend'!P107</f>
        <v>0</v>
      </c>
      <c r="M16" s="79">
        <f>'Projected ABP Spend'!K193+'Indexed REC Spend'!Q107</f>
        <v>0</v>
      </c>
      <c r="N16" s="79">
        <f t="shared" si="3"/>
        <v>914098815.59857965</v>
      </c>
      <c r="O16" s="79">
        <f>'REC Spend projected'!M16+'REC Spend projected'!N16+'REC Spend projected'!O16</f>
        <v>70311109.983324051</v>
      </c>
      <c r="P16" s="79">
        <f t="shared" si="4"/>
        <v>1637635807.9367099</v>
      </c>
      <c r="Q16" s="79">
        <f>'REC Spend projected'!AA16</f>
        <v>-2699483994.1275163</v>
      </c>
      <c r="R16" s="79">
        <f>'REC Spend projected'!AE16</f>
        <v>-3637598332.9899659</v>
      </c>
      <c r="S16" s="82"/>
      <c r="T16" s="78" t="s">
        <v>29</v>
      </c>
      <c r="U16" s="210">
        <f t="shared" si="0"/>
        <v>453673920.45036227</v>
      </c>
      <c r="V16" s="210"/>
      <c r="W16" s="210">
        <f t="shared" si="5"/>
        <v>199551961.90444404</v>
      </c>
      <c r="X16" s="210">
        <f t="shared" si="6"/>
        <v>914098815.59857965</v>
      </c>
      <c r="Y16" s="210">
        <f t="shared" si="7"/>
        <v>70311109.983324051</v>
      </c>
      <c r="Z16" s="210">
        <f t="shared" si="2"/>
        <v>-2699483994.1275163</v>
      </c>
    </row>
    <row r="17" spans="2:26" ht="15.75" thickBot="1" x14ac:dyDescent="0.3">
      <c r="B17" s="78" t="s">
        <v>30</v>
      </c>
      <c r="C17" s="79">
        <f>SUM('ABP Under Contract'!K17:P17)</f>
        <v>121311654.28999999</v>
      </c>
      <c r="D17" s="79">
        <f>'REC Spend projected'!H17+'REC Spend projected'!I17+'REC Spend projected'!J17+'REC Spend projected'!K17+'REC Spend projected'!L17</f>
        <v>270497588.02017182</v>
      </c>
      <c r="E17" s="79">
        <f>'Projected ABP Spend'!C195+'Indexed REC Spend'!H108</f>
        <v>160987065.42226255</v>
      </c>
      <c r="F17" s="79">
        <f>'Projected ABP Spend'!D194+'Indexed REC Spend'!J108</f>
        <v>384330207.5980792</v>
      </c>
      <c r="G17" s="79">
        <f>'Projected ABP Spend'!E194+'Indexed REC Spend'!K108</f>
        <v>345492286.07581449</v>
      </c>
      <c r="H17" s="79">
        <f>'Projected ABP Spend'!F194+'Indexed REC Spend'!L108</f>
        <v>299829559.2631923</v>
      </c>
      <c r="I17" s="79">
        <f>'Projected ABP Spend'!G194+'Indexed REC Spend'!M108</f>
        <v>0</v>
      </c>
      <c r="J17" s="79">
        <f>'Projected ABP Spend'!H194+'Indexed REC Spend'!N108</f>
        <v>0</v>
      </c>
      <c r="K17" s="79">
        <f>'Projected ABP Spend'!I194+'Indexed REC Spend'!O108</f>
        <v>0</v>
      </c>
      <c r="L17" s="79">
        <f>'Projected ABP Spend'!J194+'Indexed REC Spend'!P108</f>
        <v>0</v>
      </c>
      <c r="M17" s="79">
        <f>'Projected ABP Spend'!K194+'Indexed REC Spend'!Q108</f>
        <v>0</v>
      </c>
      <c r="N17" s="79">
        <f t="shared" si="3"/>
        <v>1029652052.937086</v>
      </c>
      <c r="O17" s="79">
        <f>'REC Spend projected'!M17+'REC Spend projected'!N17+'REC Spend projected'!O17</f>
        <v>70999871.477821618</v>
      </c>
      <c r="P17" s="79">
        <f t="shared" si="4"/>
        <v>1653448232.147342</v>
      </c>
      <c r="Q17" s="79">
        <f>'REC Spend projected'!AA17</f>
        <v>-3637598332.9899659</v>
      </c>
      <c r="R17" s="79">
        <f>'REC Spend projected'!AE17</f>
        <v>-4489821623.0091753</v>
      </c>
      <c r="S17" s="82"/>
      <c r="T17" s="78" t="s">
        <v>30</v>
      </c>
      <c r="U17" s="210">
        <f t="shared" si="0"/>
        <v>391809242.31017184</v>
      </c>
      <c r="V17" s="210"/>
      <c r="W17" s="210">
        <f t="shared" si="5"/>
        <v>160987065.42226255</v>
      </c>
      <c r="X17" s="210">
        <f t="shared" si="6"/>
        <v>1029652052.937086</v>
      </c>
      <c r="Y17" s="210">
        <f t="shared" si="7"/>
        <v>70999871.477821618</v>
      </c>
      <c r="Z17" s="210">
        <f t="shared" si="2"/>
        <v>-3637598332.9899659</v>
      </c>
    </row>
    <row r="18" spans="2:26" ht="15.75" thickBot="1" x14ac:dyDescent="0.3">
      <c r="B18" s="78" t="s">
        <v>31</v>
      </c>
      <c r="C18" s="79">
        <f>SUM('ABP Under Contract'!K18:P18)</f>
        <v>120704522.56</v>
      </c>
      <c r="D18" s="79">
        <f>'REC Spend projected'!H18+'REC Spend projected'!I18+'REC Spend projected'!J18+'REC Spend projected'!K18+'REC Spend projected'!L18</f>
        <v>255985925.03000638</v>
      </c>
      <c r="E18" s="79">
        <f>'Projected ABP Spend'!C196+'Indexed REC Spend'!H109</f>
        <v>147318295.58543792</v>
      </c>
      <c r="F18" s="79">
        <f>'Projected ABP Spend'!D195+'Indexed REC Spend'!J109</f>
        <v>379438280.30825174</v>
      </c>
      <c r="G18" s="79">
        <f>'Projected ABP Spend'!E195+'Indexed REC Spend'!K109</f>
        <v>342233705.14348125</v>
      </c>
      <c r="H18" s="79">
        <f>'Projected ABP Spend'!F195+'Indexed REC Spend'!L109</f>
        <v>226260437.72785005</v>
      </c>
      <c r="I18" s="79">
        <f>'Projected ABP Spend'!G195+'Indexed REC Spend'!M109</f>
        <v>176753842.37548327</v>
      </c>
      <c r="J18" s="79">
        <f>'Projected ABP Spend'!H195+'Indexed REC Spend'!N109</f>
        <v>0</v>
      </c>
      <c r="K18" s="79">
        <f>'Projected ABP Spend'!I195+'Indexed REC Spend'!O109</f>
        <v>0</v>
      </c>
      <c r="L18" s="79">
        <f>'Projected ABP Spend'!J195+'Indexed REC Spend'!P109</f>
        <v>0</v>
      </c>
      <c r="M18" s="79">
        <f>'Projected ABP Spend'!K195+'Indexed REC Spend'!Q109</f>
        <v>0</v>
      </c>
      <c r="N18" s="79">
        <f t="shared" si="3"/>
        <v>1124686265.5550663</v>
      </c>
      <c r="O18" s="79">
        <f>'REC Spend projected'!M18+'REC Spend projected'!N18+'REC Spend projected'!O18</f>
        <v>71638874.837884039</v>
      </c>
      <c r="P18" s="79">
        <f t="shared" si="4"/>
        <v>1720333883.5683947</v>
      </c>
      <c r="Q18" s="79">
        <f>'REC Spend projected'!AA18</f>
        <v>-4489821623.0091753</v>
      </c>
      <c r="R18" s="79">
        <f>'REC Spend projected'!AE18</f>
        <v>-5333088206.949687</v>
      </c>
      <c r="S18" s="82"/>
      <c r="T18" s="78" t="s">
        <v>31</v>
      </c>
      <c r="U18" s="210">
        <f t="shared" si="0"/>
        <v>376690447.59000635</v>
      </c>
      <c r="V18" s="210"/>
      <c r="W18" s="210">
        <f t="shared" si="5"/>
        <v>147318295.58543792</v>
      </c>
      <c r="X18" s="210">
        <f t="shared" si="6"/>
        <v>1124686265.5550663</v>
      </c>
      <c r="Y18" s="210">
        <f t="shared" si="7"/>
        <v>71638874.837884039</v>
      </c>
      <c r="Z18" s="210">
        <f t="shared" si="2"/>
        <v>-4489821623.0091753</v>
      </c>
    </row>
    <row r="19" spans="2:26" ht="15.75" thickBot="1" x14ac:dyDescent="0.3">
      <c r="B19" s="78" t="s">
        <v>32</v>
      </c>
      <c r="C19" s="79">
        <f>SUM('ABP Under Contract'!K19:P19)</f>
        <v>120101192.79000001</v>
      </c>
      <c r="D19" s="79">
        <f>'REC Spend projected'!H19+'REC Spend projected'!I19+'REC Spend projected'!J19+'REC Spend projected'!K19+'REC Spend projected'!L19</f>
        <v>279606406.59768355</v>
      </c>
      <c r="E19" s="79">
        <f>'Projected ABP Spend'!C197+'Indexed REC Spend'!H110</f>
        <v>139909426.23480448</v>
      </c>
      <c r="F19" s="79">
        <f>'Projected ABP Spend'!D196+'Indexed REC Spend'!J110</f>
        <v>329449930.25629693</v>
      </c>
      <c r="G19" s="79">
        <f>'Projected ABP Spend'!E196+'Indexed REC Spend'!K110</f>
        <v>330744048.04268491</v>
      </c>
      <c r="H19" s="79">
        <f>'Projected ABP Spend'!F196+'Indexed REC Spend'!L110</f>
        <v>219912905.04852042</v>
      </c>
      <c r="I19" s="79">
        <f>'Projected ABP Spend'!G196+'Indexed REC Spend'!M110</f>
        <v>192059222.03934506</v>
      </c>
      <c r="J19" s="79">
        <f>'Projected ABP Spend'!H196+'Indexed REC Spend'!N110</f>
        <v>0</v>
      </c>
      <c r="K19" s="79">
        <f>'Projected ABP Spend'!I196+'Indexed REC Spend'!O110</f>
        <v>0</v>
      </c>
      <c r="L19" s="79">
        <f>'Projected ABP Spend'!J196+'Indexed REC Spend'!P110</f>
        <v>0</v>
      </c>
      <c r="M19" s="79">
        <f>'Projected ABP Spend'!K196+'Indexed REC Spend'!Q110</f>
        <v>0</v>
      </c>
      <c r="N19" s="79">
        <f t="shared" si="3"/>
        <v>1072166105.3868474</v>
      </c>
      <c r="O19" s="79">
        <f>'REC Spend projected'!M19+'REC Spend projected'!N19+'REC Spend projected'!O19</f>
        <v>72135547.577141881</v>
      </c>
      <c r="P19" s="79">
        <f t="shared" si="4"/>
        <v>1683918678.5864773</v>
      </c>
      <c r="Q19" s="79">
        <f>'REC Spend projected'!AA19</f>
        <v>-5333088206.949687</v>
      </c>
      <c r="R19" s="79">
        <f>'REC Spend projected'!AE19</f>
        <v>-6183063304.1708984</v>
      </c>
      <c r="S19" s="82"/>
      <c r="T19" s="78" t="s">
        <v>32</v>
      </c>
      <c r="U19" s="210">
        <f t="shared" si="0"/>
        <v>399707599.38768357</v>
      </c>
      <c r="V19" s="210"/>
      <c r="W19" s="210">
        <f t="shared" si="5"/>
        <v>139909426.23480448</v>
      </c>
      <c r="X19" s="210">
        <f t="shared" si="6"/>
        <v>1072166105.3868474</v>
      </c>
      <c r="Y19" s="210">
        <f t="shared" si="7"/>
        <v>72135547.577141881</v>
      </c>
      <c r="Z19" s="210">
        <f t="shared" si="2"/>
        <v>-5333088206.949687</v>
      </c>
    </row>
    <row r="20" spans="2:26" ht="15.75" thickBot="1" x14ac:dyDescent="0.3">
      <c r="B20" s="78" t="s">
        <v>33</v>
      </c>
      <c r="C20" s="79">
        <f>SUM('ABP Under Contract'!K20:P20)</f>
        <v>119501002.76000002</v>
      </c>
      <c r="D20" s="79">
        <f>'REC Spend projected'!H20+'REC Spend projected'!I20+'REC Spend projected'!J20+'REC Spend projected'!K20+'REC Spend projected'!L20</f>
        <v>279196522.26924002</v>
      </c>
      <c r="E20" s="79">
        <f>'Projected ABP Spend'!C198+'Indexed REC Spend'!H111</f>
        <v>152534280.63259292</v>
      </c>
      <c r="F20" s="79">
        <f>'Projected ABP Spend'!D197+'Indexed REC Spend'!J111</f>
        <v>289034764.54003489</v>
      </c>
      <c r="G20" s="79">
        <f>'Projected ABP Spend'!E197+'Indexed REC Spend'!K111</f>
        <v>328946778.02995247</v>
      </c>
      <c r="H20" s="79">
        <f>'Projected ABP Spend'!F197+'Indexed REC Spend'!L111</f>
        <v>221351789.41967231</v>
      </c>
      <c r="I20" s="79">
        <f>'Projected ABP Spend'!G197+'Indexed REC Spend'!M111</f>
        <v>188262599.47305992</v>
      </c>
      <c r="J20" s="79">
        <f>'Projected ABP Spend'!H197+'Indexed REC Spend'!N111</f>
        <v>81448170.566622674</v>
      </c>
      <c r="K20" s="79">
        <f>'Projected ABP Spend'!I197+'Indexed REC Spend'!O111</f>
        <v>0</v>
      </c>
      <c r="L20" s="79">
        <f>'Projected ABP Spend'!J197+'Indexed REC Spend'!P111</f>
        <v>0</v>
      </c>
      <c r="M20" s="79">
        <f>'Projected ABP Spend'!K197+'Indexed REC Spend'!Q111</f>
        <v>0</v>
      </c>
      <c r="N20" s="79">
        <f t="shared" si="3"/>
        <v>1109044102.0293422</v>
      </c>
      <c r="O20" s="79">
        <f>'REC Spend projected'!M20+'REC Spend projected'!N20+'REC Spend projected'!O20</f>
        <v>72499312.827168688</v>
      </c>
      <c r="P20" s="79">
        <f t="shared" si="4"/>
        <v>1732775220.5183437</v>
      </c>
      <c r="Q20" s="79">
        <f>'REC Spend projected'!AA20</f>
        <v>-6183063304.1708984</v>
      </c>
      <c r="R20" s="79">
        <f>'REC Spend projected'!AE20</f>
        <v>-7057017916.1629</v>
      </c>
      <c r="S20" s="82"/>
      <c r="T20" s="78" t="s">
        <v>33</v>
      </c>
      <c r="U20" s="210">
        <f t="shared" si="0"/>
        <v>398697525.02924001</v>
      </c>
      <c r="V20" s="210"/>
      <c r="W20" s="210">
        <f t="shared" si="5"/>
        <v>152534280.63259292</v>
      </c>
      <c r="X20" s="210">
        <f t="shared" si="6"/>
        <v>1109044102.0293422</v>
      </c>
      <c r="Y20" s="210">
        <f t="shared" si="7"/>
        <v>72499312.827168688</v>
      </c>
      <c r="Z20" s="210">
        <f t="shared" si="2"/>
        <v>-6183063304.1708984</v>
      </c>
    </row>
    <row r="21" spans="2:26" ht="15.75" thickBot="1" x14ac:dyDescent="0.3">
      <c r="B21" s="78" t="s">
        <v>34</v>
      </c>
      <c r="C21" s="79">
        <f>SUM('ABP Under Contract'!K21:P21)</f>
        <v>118903268.15000001</v>
      </c>
      <c r="D21" s="79">
        <f>'REC Spend projected'!H21+'REC Spend projected'!I21+'REC Spend projected'!J21+'REC Spend projected'!K21+'REC Spend projected'!L21</f>
        <v>275816323.53312123</v>
      </c>
      <c r="E21" s="79">
        <f>'Projected ABP Spend'!C199+'Indexed REC Spend'!H112</f>
        <v>157733749.44604272</v>
      </c>
      <c r="F21" s="79">
        <f>'Projected ABP Spend'!D198+'Indexed REC Spend'!J112</f>
        <v>301685540.76719183</v>
      </c>
      <c r="G21" s="79">
        <f>'Projected ABP Spend'!E198+'Indexed REC Spend'!K112</f>
        <v>312148734.05894744</v>
      </c>
      <c r="H21" s="79">
        <f>'Projected ABP Spend'!F198+'Indexed REC Spend'!L112</f>
        <v>229045832.40881768</v>
      </c>
      <c r="I21" s="79">
        <f>'Projected ABP Spend'!G198+'Indexed REC Spend'!M112</f>
        <v>195906391.64985347</v>
      </c>
      <c r="J21" s="79">
        <f>'Projected ABP Spend'!H198+'Indexed REC Spend'!N112</f>
        <v>161845287.64715353</v>
      </c>
      <c r="K21" s="79">
        <f>'Projected ABP Spend'!I198+'Indexed REC Spend'!O112</f>
        <v>0</v>
      </c>
      <c r="L21" s="79">
        <f>'Projected ABP Spend'!J198+'Indexed REC Spend'!P112</f>
        <v>0</v>
      </c>
      <c r="M21" s="79">
        <f>'Projected ABP Spend'!K198+'Indexed REC Spend'!Q112</f>
        <v>0</v>
      </c>
      <c r="N21" s="79">
        <f t="shared" si="3"/>
        <v>1200631786.5319638</v>
      </c>
      <c r="O21" s="79">
        <f>'REC Spend projected'!M21+'REC Spend projected'!N21+'REC Spend projected'!O21</f>
        <v>72653690.409483582</v>
      </c>
      <c r="P21" s="79">
        <f t="shared" si="4"/>
        <v>1825738818.0706115</v>
      </c>
      <c r="Q21" s="79">
        <f>'REC Spend projected'!AA21</f>
        <v>-7057017916.1629</v>
      </c>
      <c r="R21" s="79">
        <f>'REC Spend projected'!AE21</f>
        <v>-8023342165.0258074</v>
      </c>
      <c r="S21" s="82"/>
      <c r="T21" s="78" t="s">
        <v>34</v>
      </c>
      <c r="U21" s="210">
        <f t="shared" si="0"/>
        <v>394719591.6831212</v>
      </c>
      <c r="V21" s="210"/>
      <c r="W21" s="210">
        <f t="shared" si="5"/>
        <v>157733749.44604272</v>
      </c>
      <c r="X21" s="210">
        <f t="shared" si="6"/>
        <v>1200631786.5319638</v>
      </c>
      <c r="Y21" s="210">
        <f t="shared" si="7"/>
        <v>72653690.409483582</v>
      </c>
      <c r="Z21" s="210">
        <f t="shared" si="2"/>
        <v>-7057017916.1629</v>
      </c>
    </row>
    <row r="22" spans="2:26" ht="15.75" thickBot="1" x14ac:dyDescent="0.3">
      <c r="B22" s="78" t="s">
        <v>35</v>
      </c>
      <c r="C22" s="79">
        <f>SUM('ABP Under Contract'!K22:P22)</f>
        <v>118308419.42</v>
      </c>
      <c r="D22" s="79">
        <f>'REC Spend projected'!H22+'REC Spend projected'!I22+'REC Spend projected'!J22+'REC Spend projected'!K22+'REC Spend projected'!L22</f>
        <v>283722681.36973345</v>
      </c>
      <c r="E22" s="79">
        <f>'Projected ABP Spend'!C200+'Indexed REC Spend'!H113</f>
        <v>158660329.65359378</v>
      </c>
      <c r="F22" s="79">
        <f>'Projected ABP Spend'!D199+'Indexed REC Spend'!J113</f>
        <v>308716027.66541469</v>
      </c>
      <c r="G22" s="79">
        <f>'Projected ABP Spend'!E199+'Indexed REC Spend'!K113</f>
        <v>280933756.79736823</v>
      </c>
      <c r="H22" s="79">
        <f>'Projected ABP Spend'!F199+'Indexed REC Spend'!L113</f>
        <v>231825249.88460812</v>
      </c>
      <c r="I22" s="79">
        <f>'Projected ABP Spend'!G199+'Indexed REC Spend'!M113</f>
        <v>198749247.89333355</v>
      </c>
      <c r="J22" s="79">
        <f>'Projected ABP Spend'!H199+'Indexed REC Spend'!N113</f>
        <v>169290969.3078981</v>
      </c>
      <c r="K22" s="79">
        <f>'Projected ABP Spend'!I199+'Indexed REC Spend'!O113</f>
        <v>75062633.994199455</v>
      </c>
      <c r="L22" s="79">
        <f>'Projected ABP Spend'!J199+'Indexed REC Spend'!P113</f>
        <v>0</v>
      </c>
      <c r="M22" s="79">
        <f>'Projected ABP Spend'!K199+'Indexed REC Spend'!Q113</f>
        <v>0</v>
      </c>
      <c r="N22" s="79">
        <f t="shared" si="3"/>
        <v>1264577885.5428221</v>
      </c>
      <c r="O22" s="79">
        <f>'REC Spend projected'!M22+'REC Spend projected'!N22+'REC Spend projected'!O22</f>
        <v>72801622.582818717</v>
      </c>
      <c r="P22" s="79">
        <f t="shared" si="4"/>
        <v>1898070938.5689681</v>
      </c>
      <c r="Q22" s="79">
        <f>'REC Spend projected'!AA22</f>
        <v>-8023342165.0258074</v>
      </c>
      <c r="R22" s="79">
        <f>'REC Spend projected'!AE22</f>
        <v>-9060987740.9106541</v>
      </c>
      <c r="S22" s="82"/>
      <c r="T22" s="78" t="s">
        <v>35</v>
      </c>
      <c r="U22" s="210">
        <f t="shared" si="0"/>
        <v>402031100.78973347</v>
      </c>
      <c r="V22" s="210"/>
      <c r="W22" s="210">
        <f t="shared" si="5"/>
        <v>158660329.65359378</v>
      </c>
      <c r="X22" s="210">
        <f t="shared" si="6"/>
        <v>1264577885.5428221</v>
      </c>
      <c r="Y22" s="210">
        <f t="shared" si="7"/>
        <v>72801622.582818717</v>
      </c>
      <c r="Z22" s="210">
        <f t="shared" si="2"/>
        <v>-8023342165.0258074</v>
      </c>
    </row>
    <row r="23" spans="2:26" ht="15.75" thickBot="1" x14ac:dyDescent="0.3">
      <c r="B23" s="78" t="s">
        <v>36</v>
      </c>
      <c r="C23" s="79">
        <f>SUM('ABP Under Contract'!K23:P23)</f>
        <v>117716994.18000001</v>
      </c>
      <c r="D23" s="79">
        <f>'REC Spend projected'!H23+'REC Spend projected'!I23+'REC Spend projected'!J23+'REC Spend projected'!K23+'REC Spend projected'!L23</f>
        <v>290866031.92163402</v>
      </c>
      <c r="E23" s="79">
        <f>'Projected ABP Spend'!C201+'Indexed REC Spend'!H114</f>
        <v>162229052.30076104</v>
      </c>
      <c r="F23" s="79">
        <f>'Projected ABP Spend'!D200+'Indexed REC Spend'!J114</f>
        <v>312755683.5307864</v>
      </c>
      <c r="G23" s="79">
        <f>'Projected ABP Spend'!E200+'Indexed REC Spend'!K114</f>
        <v>279025052.01692128</v>
      </c>
      <c r="H23" s="79">
        <f>'Projected ABP Spend'!F200+'Indexed REC Spend'!L114</f>
        <v>202322209.49544793</v>
      </c>
      <c r="I23" s="79">
        <f>'Projected ABP Spend'!G200+'Indexed REC Spend'!M114</f>
        <v>200656836.10254425</v>
      </c>
      <c r="J23" s="79">
        <f>'Projected ABP Spend'!H200+'Indexed REC Spend'!N114</f>
        <v>171146102.49895477</v>
      </c>
      <c r="K23" s="79">
        <f>'Projected ABP Spend'!I200+'Indexed REC Spend'!O114</f>
        <v>156610776.3894262</v>
      </c>
      <c r="L23" s="79">
        <f>'Projected ABP Spend'!J200+'Indexed REC Spend'!P114</f>
        <v>0</v>
      </c>
      <c r="M23" s="79">
        <f>'Projected ABP Spend'!K200+'Indexed REC Spend'!Q114</f>
        <v>0</v>
      </c>
      <c r="N23" s="79">
        <f t="shared" si="3"/>
        <v>1322516660.034081</v>
      </c>
      <c r="O23" s="79">
        <f>'REC Spend projected'!M23+'REC Spend projected'!N23+'REC Spend projected'!O23</f>
        <v>72896692.408557206</v>
      </c>
      <c r="P23" s="79">
        <f t="shared" si="4"/>
        <v>1966225430.8450332</v>
      </c>
      <c r="Q23" s="79">
        <f>'REC Spend projected'!AA23</f>
        <v>-9060987740.9106541</v>
      </c>
      <c r="R23" s="79">
        <f>'REC Spend projected'!AE23</f>
        <v>-10162865084.493187</v>
      </c>
      <c r="S23" s="82"/>
      <c r="T23" s="78" t="s">
        <v>36</v>
      </c>
      <c r="U23" s="210">
        <f t="shared" si="0"/>
        <v>408583026.10163403</v>
      </c>
      <c r="V23" s="210"/>
      <c r="W23" s="210">
        <f t="shared" si="5"/>
        <v>162229052.30076104</v>
      </c>
      <c r="X23" s="210">
        <f t="shared" si="6"/>
        <v>1322516660.034081</v>
      </c>
      <c r="Y23" s="210">
        <f t="shared" si="7"/>
        <v>72896692.408557206</v>
      </c>
      <c r="Z23" s="210">
        <f t="shared" si="2"/>
        <v>-9060987740.9106541</v>
      </c>
    </row>
    <row r="24" spans="2:26" ht="15.75" thickBot="1" x14ac:dyDescent="0.3">
      <c r="B24" s="78" t="s">
        <v>37</v>
      </c>
      <c r="C24" s="79">
        <f>SUM('ABP Under Contract'!K24:P24)</f>
        <v>117128397.2</v>
      </c>
      <c r="D24" s="79">
        <f>'REC Spend projected'!H24+'REC Spend projected'!I24+'REC Spend projected'!J24+'REC Spend projected'!K24+'REC Spend projected'!L24</f>
        <v>290499322.58059925</v>
      </c>
      <c r="E24" s="79">
        <f>'Projected ABP Spend'!C202+'Indexed REC Spend'!H115</f>
        <v>165417049.64485866</v>
      </c>
      <c r="F24" s="79">
        <f>'Projected ABP Spend'!D201+'Indexed REC Spend'!J115</f>
        <v>319561157.11042309</v>
      </c>
      <c r="G24" s="79">
        <f>'Projected ABP Spend'!E201+'Indexed REC Spend'!K115</f>
        <v>285170819.30846936</v>
      </c>
      <c r="H24" s="79">
        <f>'Projected ABP Spend'!F201+'Indexed REC Spend'!L115</f>
        <v>170145034.90149891</v>
      </c>
      <c r="I24" s="79">
        <f>'Projected ABP Spend'!G201+'Indexed REC Spend'!M115</f>
        <v>203632678.20795041</v>
      </c>
      <c r="J24" s="79">
        <f>'Projected ABP Spend'!H201+'Indexed REC Spend'!N115</f>
        <v>174187602.3214612</v>
      </c>
      <c r="K24" s="79">
        <f>'Projected ABP Spend'!I201+'Indexed REC Spend'!O115</f>
        <v>171329826.45651603</v>
      </c>
      <c r="L24" s="79">
        <f>'Projected ABP Spend'!J201+'Indexed REC Spend'!P115</f>
        <v>69177723.489054218</v>
      </c>
      <c r="M24" s="79">
        <f>'Projected ABP Spend'!K201+'Indexed REC Spend'!Q115</f>
        <v>0</v>
      </c>
      <c r="N24" s="79">
        <f t="shared" si="3"/>
        <v>1393204841.7953732</v>
      </c>
      <c r="O24" s="79">
        <f>'REC Spend projected'!M24+'REC Spend projected'!N24+'REC Spend projected'!O24</f>
        <v>73015743.307197154</v>
      </c>
      <c r="P24" s="79">
        <f t="shared" si="4"/>
        <v>2039265354.5280282</v>
      </c>
      <c r="Q24" s="79">
        <f>'REC Spend projected'!AA24</f>
        <v>-10162865084.493187</v>
      </c>
      <c r="R24" s="79">
        <f>'REC Spend projected'!AE24</f>
        <v>-11348706563.030979</v>
      </c>
      <c r="S24" s="82"/>
      <c r="T24" s="78" t="s">
        <v>37</v>
      </c>
      <c r="U24" s="210">
        <f t="shared" si="0"/>
        <v>407627719.78059924</v>
      </c>
      <c r="V24" s="210"/>
      <c r="W24" s="210">
        <f t="shared" si="5"/>
        <v>165417049.64485866</v>
      </c>
      <c r="X24" s="210">
        <f t="shared" si="6"/>
        <v>1393204841.7953732</v>
      </c>
      <c r="Y24" s="210">
        <f t="shared" si="7"/>
        <v>73015743.307197154</v>
      </c>
      <c r="Z24" s="210">
        <f t="shared" si="2"/>
        <v>-10162865084.493187</v>
      </c>
    </row>
    <row r="25" spans="2:26" ht="15.75" thickBot="1" x14ac:dyDescent="0.3">
      <c r="B25" s="78" t="s">
        <v>38</v>
      </c>
      <c r="C25" s="79">
        <f>SUM('ABP Under Contract'!K25:P25)</f>
        <v>116543373.09999999</v>
      </c>
      <c r="D25" s="79">
        <f>'REC Spend projected'!H25+'REC Spend projected'!I25+'REC Spend projected'!J25+'REC Spend projected'!K25+'REC Spend projected'!L25</f>
        <v>294650133.34819967</v>
      </c>
      <c r="E25" s="79">
        <f>'Projected ABP Spend'!C203+'Indexed REC Spend'!H116</f>
        <v>166212974.51731735</v>
      </c>
      <c r="F25" s="79">
        <f>'Projected ABP Spend'!D202+'Indexed REC Spend'!J116</f>
        <v>324310460.81749034</v>
      </c>
      <c r="G25" s="79">
        <f>'Projected ABP Spend'!E202+'Indexed REC Spend'!K116</f>
        <v>289771274.88386083</v>
      </c>
      <c r="H25" s="79">
        <f>'Projected ABP Spend'!F202+'Indexed REC Spend'!L116</f>
        <v>167202339.60476667</v>
      </c>
      <c r="I25" s="79">
        <f>'Projected ABP Spend'!G202+'Indexed REC Spend'!M116</f>
        <v>176668986.87787873</v>
      </c>
      <c r="J25" s="79">
        <f>'Projected ABP Spend'!H202+'Indexed REC Spend'!N116</f>
        <v>176160981.94213206</v>
      </c>
      <c r="K25" s="79">
        <f>'Projected ABP Spend'!I202+'Indexed REC Spend'!O116</f>
        <v>173201480.89937147</v>
      </c>
      <c r="L25" s="79">
        <f>'Projected ABP Spend'!J202+'Indexed REC Spend'!P116</f>
        <v>152094001.18073329</v>
      </c>
      <c r="M25" s="79">
        <f>'Projected ABP Spend'!K202+'Indexed REC Spend'!Q116</f>
        <v>0</v>
      </c>
      <c r="N25" s="79">
        <f t="shared" si="3"/>
        <v>1459409526.206233</v>
      </c>
      <c r="O25" s="79">
        <f>'REC Spend projected'!M25+'REC Spend projected'!N25+'REC Spend projected'!O25</f>
        <v>73106390.458387077</v>
      </c>
      <c r="P25" s="79">
        <f t="shared" si="4"/>
        <v>2109922397.6301372</v>
      </c>
      <c r="Q25" s="79">
        <f>'REC Spend projected'!AA25</f>
        <v>-11348706563.030979</v>
      </c>
      <c r="R25" s="79">
        <f>'REC Spend projected'!AE25</f>
        <v>-12559282036.498909</v>
      </c>
      <c r="S25" s="82"/>
      <c r="T25" s="78" t="s">
        <v>38</v>
      </c>
      <c r="U25" s="210">
        <f t="shared" si="0"/>
        <v>411193506.44819963</v>
      </c>
      <c r="V25" s="210"/>
      <c r="W25" s="210">
        <f t="shared" si="5"/>
        <v>166212974.51731735</v>
      </c>
      <c r="X25" s="210">
        <f t="shared" si="6"/>
        <v>1459409526.206233</v>
      </c>
      <c r="Y25" s="210">
        <f t="shared" si="7"/>
        <v>73106390.458387077</v>
      </c>
      <c r="Z25" s="210">
        <f t="shared" si="2"/>
        <v>-11348706563.030979</v>
      </c>
    </row>
    <row r="26" spans="2:26" ht="15.75" thickBot="1" x14ac:dyDescent="0.3">
      <c r="B26" s="78" t="s">
        <v>39</v>
      </c>
      <c r="C26" s="79">
        <f>SUM('ABP Under Contract'!K26:P26)</f>
        <v>115960470.74000001</v>
      </c>
      <c r="D26" s="79">
        <f>'REC Spend projected'!H26+'REC Spend projected'!I26+'REC Spend projected'!J26+'REC Spend projected'!K26+'REC Spend projected'!L26</f>
        <v>286661355.48314369</v>
      </c>
      <c r="E26" s="79">
        <f>'Projected ABP Spend'!C204+'Indexed REC Spend'!H117</f>
        <v>167930658.23122787</v>
      </c>
      <c r="F26" s="79">
        <f>'Projected ABP Spend'!D203+'Indexed REC Spend'!J117</f>
        <v>326968581.82839656</v>
      </c>
      <c r="G26" s="79">
        <f>'Projected ABP Spend'!E203+'Indexed REC Spend'!K117</f>
        <v>292084958.31811243</v>
      </c>
      <c r="H26" s="79">
        <f>'Projected ABP Spend'!F203+'Indexed REC Spend'!L117</f>
        <v>168308613.01696801</v>
      </c>
      <c r="I26" s="79">
        <f>'Projected ABP Spend'!G203+'Indexed REC Spend'!M117</f>
        <v>159371815.41058362</v>
      </c>
      <c r="J26" s="79">
        <f>'Projected ABP Spend'!H203+'Indexed REC Spend'!N117</f>
        <v>177391925.56573176</v>
      </c>
      <c r="K26" s="79">
        <f>'Projected ABP Spend'!I203+'Indexed REC Spend'!O117</f>
        <v>174444626.18810293</v>
      </c>
      <c r="L26" s="79">
        <f>'Projected ABP Spend'!J203+'Indexed REC Spend'!P117</f>
        <v>171872744.05760574</v>
      </c>
      <c r="M26" s="79">
        <f>'Projected ABP Spend'!K203+'Indexed REC Spend'!Q117</f>
        <v>127508379.93502474</v>
      </c>
      <c r="N26" s="79">
        <f t="shared" si="3"/>
        <v>1597951644.3205259</v>
      </c>
      <c r="O26" s="79">
        <f>'REC Spend projected'!M26+'REC Spend projected'!N26+'REC Spend projected'!O26</f>
        <v>73199678.287410915</v>
      </c>
      <c r="P26" s="79">
        <f t="shared" si="4"/>
        <v>2241703807.0623083</v>
      </c>
      <c r="Q26" s="79">
        <f>'REC Spend projected'!AA26</f>
        <v>-12559282036.498909</v>
      </c>
      <c r="R26" s="79">
        <f>'REC Spend projected'!AE26</f>
        <v>-13820469560.40749</v>
      </c>
      <c r="S26" s="82"/>
      <c r="T26" s="78" t="s">
        <v>39</v>
      </c>
      <c r="U26" s="210">
        <f t="shared" si="0"/>
        <v>402621826.2231437</v>
      </c>
      <c r="V26" s="210"/>
      <c r="W26" s="210">
        <f t="shared" si="5"/>
        <v>167930658.23122787</v>
      </c>
      <c r="X26" s="210">
        <f t="shared" si="6"/>
        <v>1597951644.3205259</v>
      </c>
      <c r="Y26" s="210">
        <f t="shared" si="7"/>
        <v>73199678.287410915</v>
      </c>
      <c r="Z26" s="210">
        <f t="shared" si="2"/>
        <v>-12559282036.498909</v>
      </c>
    </row>
    <row r="27" spans="2:26" x14ac:dyDescent="0.25">
      <c r="T27">
        <v>-170020128.74536878</v>
      </c>
    </row>
    <row r="29" spans="2:26" ht="15.75" thickBot="1" x14ac:dyDescent="0.3">
      <c r="B29" s="1" t="s">
        <v>40</v>
      </c>
    </row>
    <row r="30" spans="2:26" ht="15.75" customHeight="1" thickBot="1" x14ac:dyDescent="0.3">
      <c r="B30" s="352"/>
      <c r="C30" s="353"/>
      <c r="D30" s="353"/>
      <c r="E30" s="354"/>
      <c r="F30" s="355"/>
      <c r="G30" s="358"/>
      <c r="H30" s="356"/>
      <c r="I30" s="357"/>
      <c r="J30" s="356"/>
      <c r="K30" s="357"/>
      <c r="L30" s="72"/>
      <c r="M30" s="299"/>
      <c r="N30" s="299"/>
      <c r="O30" s="299"/>
      <c r="P30" s="299"/>
      <c r="Q30" s="299"/>
      <c r="R30" s="299"/>
      <c r="S30" s="299"/>
    </row>
    <row r="31" spans="2:26" ht="23.25" thickBot="1" x14ac:dyDescent="0.3">
      <c r="B31" s="73" t="s">
        <v>1</v>
      </c>
      <c r="C31" s="74" t="s">
        <v>273</v>
      </c>
      <c r="D31" s="74" t="s">
        <v>312</v>
      </c>
      <c r="E31" s="75" t="s">
        <v>88</v>
      </c>
      <c r="F31" s="75" t="s">
        <v>89</v>
      </c>
      <c r="G31" s="75" t="s">
        <v>90</v>
      </c>
      <c r="H31" s="75" t="s">
        <v>91</v>
      </c>
      <c r="I31" s="75" t="s">
        <v>92</v>
      </c>
      <c r="J31" s="75" t="s">
        <v>93</v>
      </c>
      <c r="K31" s="75" t="s">
        <v>94</v>
      </c>
      <c r="L31" s="75" t="s">
        <v>95</v>
      </c>
      <c r="M31" s="75" t="s">
        <v>96</v>
      </c>
      <c r="N31" s="192" t="s">
        <v>314</v>
      </c>
      <c r="O31" s="75" t="s">
        <v>329</v>
      </c>
      <c r="P31" s="74" t="s">
        <v>316</v>
      </c>
      <c r="Q31" s="74" t="s">
        <v>330</v>
      </c>
      <c r="R31" s="76" t="s">
        <v>228</v>
      </c>
      <c r="T31" s="77" t="s">
        <v>1</v>
      </c>
      <c r="U31" s="76" t="s">
        <v>183</v>
      </c>
      <c r="V31" s="76"/>
      <c r="W31" s="76" t="s">
        <v>88</v>
      </c>
      <c r="X31" s="76" t="s">
        <v>336</v>
      </c>
      <c r="Y31" s="76" t="s">
        <v>333</v>
      </c>
      <c r="Z31" s="76" t="s">
        <v>337</v>
      </c>
    </row>
    <row r="32" spans="2:26" ht="15.75" thickBot="1" x14ac:dyDescent="0.3">
      <c r="B32" s="78" t="s">
        <v>16</v>
      </c>
      <c r="C32" s="79">
        <f>SUM('ABP Under Contract'!K32:P32)</f>
        <v>56112735.079999998</v>
      </c>
      <c r="D32" s="79">
        <f>'REC Spend projected'!H31+'REC Spend projected'!I31+'REC Spend projected'!J31+'REC Spend projected'!K31+'REC Spend projected'!L31</f>
        <v>9118128.2799999993</v>
      </c>
      <c r="E32" s="79">
        <f>E4*'REC Spend projected'!$B$29</f>
        <v>0</v>
      </c>
      <c r="F32" s="79">
        <f>F4*'REC Spend projected'!$B$29</f>
        <v>0</v>
      </c>
      <c r="G32" s="79">
        <f>G4*'REC Spend projected'!$B$29</f>
        <v>0</v>
      </c>
      <c r="H32" s="79">
        <f>H4*'REC Spend projected'!$B$29</f>
        <v>0</v>
      </c>
      <c r="I32" s="79">
        <f>I4*'REC Spend projected'!$B$29</f>
        <v>0</v>
      </c>
      <c r="J32" s="79">
        <f>J4*'REC Spend projected'!$B$29</f>
        <v>0</v>
      </c>
      <c r="K32" s="79">
        <f>K4*'REC Spend projected'!$B$29</f>
        <v>0</v>
      </c>
      <c r="L32" s="79">
        <f>L4*'REC Spend projected'!$B$29</f>
        <v>0</v>
      </c>
      <c r="M32" s="79">
        <f>M4*'REC Spend projected'!$B$29</f>
        <v>0</v>
      </c>
      <c r="N32" s="79">
        <f>SUM(F32:M32)</f>
        <v>0</v>
      </c>
      <c r="O32" s="79">
        <f>O4*'REC Spend projected'!$B$29</f>
        <v>5218525.3698853292</v>
      </c>
      <c r="P32" s="79">
        <f t="shared" ref="P32:P54" si="8">SUM(C32:O32)</f>
        <v>70449388.729885325</v>
      </c>
      <c r="Q32" s="79">
        <f>'REC Spend projected'!AA31</f>
        <v>87829264.295962796</v>
      </c>
      <c r="R32" s="79">
        <f>'REC Spend projected'!AE31</f>
        <v>75083189.38799265</v>
      </c>
      <c r="T32" s="78" t="s">
        <v>16</v>
      </c>
      <c r="U32" s="210">
        <f t="shared" ref="U32:U54" si="9">SUM(C32:D32)</f>
        <v>65230863.359999999</v>
      </c>
      <c r="V32" s="210"/>
      <c r="W32" s="210">
        <f>E32</f>
        <v>0</v>
      </c>
      <c r="X32" s="210">
        <f>SUM(F32:M32)</f>
        <v>0</v>
      </c>
      <c r="Y32" s="210">
        <f t="shared" ref="Y32:Y54" si="10">O32</f>
        <v>5218525.3698853292</v>
      </c>
      <c r="Z32" s="210">
        <f t="shared" ref="Z32:Z54" si="11">Q32</f>
        <v>87829264.295962796</v>
      </c>
    </row>
    <row r="33" spans="2:26" ht="15.75" thickBot="1" x14ac:dyDescent="0.3">
      <c r="B33" s="78" t="s">
        <v>17</v>
      </c>
      <c r="C33" s="79">
        <f>SUM('ABP Under Contract'!K33:P33)</f>
        <v>63474112.25</v>
      </c>
      <c r="D33" s="79">
        <f>'REC Spend projected'!H32+'REC Spend projected'!I32+'REC Spend projected'!J32+'REC Spend projected'!K32+'REC Spend projected'!L32</f>
        <v>10985217.937169807</v>
      </c>
      <c r="E33" s="79">
        <f>E5*'REC Spend projected'!$B$29</f>
        <v>0</v>
      </c>
      <c r="F33" s="79">
        <f>F5*'REC Spend projected'!$B$29</f>
        <v>0</v>
      </c>
      <c r="G33" s="79">
        <f>G5*'REC Spend projected'!$B$29</f>
        <v>0</v>
      </c>
      <c r="H33" s="79">
        <f>H5*'REC Spend projected'!$B$29</f>
        <v>0</v>
      </c>
      <c r="I33" s="79">
        <f>I5*'REC Spend projected'!$B$29</f>
        <v>0</v>
      </c>
      <c r="J33" s="79">
        <f>J5*'REC Spend projected'!$B$29</f>
        <v>0</v>
      </c>
      <c r="K33" s="79">
        <f>K5*'REC Spend projected'!$B$29</f>
        <v>0</v>
      </c>
      <c r="L33" s="79">
        <f>L5*'REC Spend projected'!$B$29</f>
        <v>0</v>
      </c>
      <c r="M33" s="79">
        <f>M5*'REC Spend projected'!$B$29</f>
        <v>0</v>
      </c>
      <c r="N33" s="79">
        <f t="shared" ref="N33:N54" si="12">SUM(F33:M33)</f>
        <v>0</v>
      </c>
      <c r="O33" s="79">
        <f>O5*'REC Spend projected'!$B$29</f>
        <v>21414699.838861287</v>
      </c>
      <c r="P33" s="79">
        <f t="shared" si="8"/>
        <v>95874030.026031092</v>
      </c>
      <c r="Q33" s="79">
        <f>'REC Spend projected'!AA32</f>
        <v>75083189.38799265</v>
      </c>
      <c r="R33" s="79">
        <f>'REC Spend projected'!AE32</f>
        <v>115174146.91978022</v>
      </c>
      <c r="T33" s="78" t="s">
        <v>17</v>
      </c>
      <c r="U33" s="210">
        <f t="shared" si="9"/>
        <v>74459330.187169805</v>
      </c>
      <c r="V33" s="210"/>
      <c r="W33" s="210">
        <f t="shared" ref="W33:W54" si="13">E33</f>
        <v>0</v>
      </c>
      <c r="X33" s="210">
        <f t="shared" ref="X33:X54" si="14">SUM(F33:M33)</f>
        <v>0</v>
      </c>
      <c r="Y33" s="210">
        <f t="shared" si="10"/>
        <v>21414699.838861287</v>
      </c>
      <c r="Z33" s="210">
        <f t="shared" si="11"/>
        <v>75083189.38799265</v>
      </c>
    </row>
    <row r="34" spans="2:26" ht="15.75" thickBot="1" x14ac:dyDescent="0.3">
      <c r="B34" s="78" t="s">
        <v>18</v>
      </c>
      <c r="C34" s="79">
        <f>SUM('ABP Under Contract'!K34:P34)</f>
        <v>71198161.640000001</v>
      </c>
      <c r="D34" s="79">
        <f>'REC Spend projected'!H33+'REC Spend projected'!I33+'REC Spend projected'!J33+'REC Spend projected'!K33+'REC Spend projected'!L33</f>
        <v>11508673.347169807</v>
      </c>
      <c r="E34" s="79">
        <f>E6*'REC Spend projected'!$B$29</f>
        <v>0</v>
      </c>
      <c r="F34" s="79">
        <f>F6*'REC Spend projected'!$B$29</f>
        <v>0</v>
      </c>
      <c r="G34" s="79">
        <f>G6*'REC Spend projected'!$B$29</f>
        <v>0</v>
      </c>
      <c r="H34" s="79">
        <f>H6*'REC Spend projected'!$B$29</f>
        <v>0</v>
      </c>
      <c r="I34" s="79">
        <f>I6*'REC Spend projected'!$B$29</f>
        <v>0</v>
      </c>
      <c r="J34" s="79">
        <f>J6*'REC Spend projected'!$B$29</f>
        <v>0</v>
      </c>
      <c r="K34" s="79">
        <f>K6*'REC Spend projected'!$B$29</f>
        <v>0</v>
      </c>
      <c r="L34" s="79">
        <f>L6*'REC Spend projected'!$B$29</f>
        <v>0</v>
      </c>
      <c r="M34" s="79">
        <f>M6*'REC Spend projected'!$B$29</f>
        <v>0</v>
      </c>
      <c r="N34" s="79">
        <f t="shared" si="12"/>
        <v>0</v>
      </c>
      <c r="O34" s="79">
        <f>O6*'REC Spend projected'!$B$29</f>
        <v>19584845.639281254</v>
      </c>
      <c r="P34" s="79">
        <f t="shared" si="8"/>
        <v>102291680.62645106</v>
      </c>
      <c r="Q34" s="79">
        <f>'REC Spend projected'!AA33</f>
        <v>115174146.91978022</v>
      </c>
      <c r="R34" s="79">
        <f>'REC Spend projected'!AE33</f>
        <v>170342895.35163182</v>
      </c>
      <c r="T34" s="78" t="s">
        <v>18</v>
      </c>
      <c r="U34" s="210">
        <f t="shared" si="9"/>
        <v>82706834.987169802</v>
      </c>
      <c r="V34" s="210"/>
      <c r="W34" s="210">
        <f t="shared" si="13"/>
        <v>0</v>
      </c>
      <c r="X34" s="210">
        <f t="shared" si="14"/>
        <v>0</v>
      </c>
      <c r="Y34" s="210">
        <f t="shared" si="10"/>
        <v>19584845.639281254</v>
      </c>
      <c r="Z34" s="210">
        <f t="shared" si="11"/>
        <v>115174146.91978022</v>
      </c>
    </row>
    <row r="35" spans="2:26" ht="15.75" thickBot="1" x14ac:dyDescent="0.3">
      <c r="B35" s="78" t="s">
        <v>19</v>
      </c>
      <c r="C35" s="79">
        <f>SUM('ABP Under Contract'!K35:P35)</f>
        <v>97011932.769999996</v>
      </c>
      <c r="D35" s="79">
        <f>'REC Spend projected'!H34+'REC Spend projected'!I34+'REC Spend projected'!J34+'REC Spend projected'!K34+'REC Spend projected'!L34</f>
        <v>10028071.880758878</v>
      </c>
      <c r="E35" s="79">
        <f>E7*'REC Spend projected'!$B$29</f>
        <v>0</v>
      </c>
      <c r="F35" s="79">
        <f>F7*'REC Spend projected'!$B$29</f>
        <v>0</v>
      </c>
      <c r="G35" s="79">
        <f>G7*'REC Spend projected'!$B$29</f>
        <v>0</v>
      </c>
      <c r="H35" s="79">
        <f>H7*'REC Spend projected'!$B$29</f>
        <v>0</v>
      </c>
      <c r="I35" s="79">
        <f>I7*'REC Spend projected'!$B$29</f>
        <v>0</v>
      </c>
      <c r="J35" s="79">
        <f>J7*'REC Spend projected'!$B$29</f>
        <v>0</v>
      </c>
      <c r="K35" s="79">
        <f>K7*'REC Spend projected'!$B$29</f>
        <v>0</v>
      </c>
      <c r="L35" s="79">
        <f>L7*'REC Spend projected'!$B$29</f>
        <v>0</v>
      </c>
      <c r="M35" s="79">
        <f>M7*'REC Spend projected'!$B$29</f>
        <v>0</v>
      </c>
      <c r="N35" s="79">
        <f t="shared" si="12"/>
        <v>0</v>
      </c>
      <c r="O35" s="79">
        <f>O7*'REC Spend projected'!$B$29</f>
        <v>19497601.441391319</v>
      </c>
      <c r="P35" s="79">
        <f t="shared" si="8"/>
        <v>126537606.0921502</v>
      </c>
      <c r="Q35" s="79">
        <f>'REC Spend projected'!AA34</f>
        <v>170342895.35163182</v>
      </c>
      <c r="R35" s="79">
        <f>'REC Spend projected'!AE34</f>
        <v>160843338.23230717</v>
      </c>
      <c r="T35" s="78" t="s">
        <v>19</v>
      </c>
      <c r="U35" s="210">
        <f t="shared" si="9"/>
        <v>107040004.65075888</v>
      </c>
      <c r="V35" s="210"/>
      <c r="W35" s="210">
        <f t="shared" si="13"/>
        <v>0</v>
      </c>
      <c r="X35" s="210">
        <f t="shared" si="14"/>
        <v>0</v>
      </c>
      <c r="Y35" s="210">
        <f t="shared" si="10"/>
        <v>19497601.441391319</v>
      </c>
      <c r="Z35" s="210">
        <f t="shared" si="11"/>
        <v>170342895.35163182</v>
      </c>
    </row>
    <row r="36" spans="2:26" ht="15.75" thickBot="1" x14ac:dyDescent="0.3">
      <c r="B36" s="78" t="s">
        <v>21</v>
      </c>
      <c r="C36" s="79">
        <f>SUM('ABP Under Contract'!K36:P36)</f>
        <v>76912483.430000007</v>
      </c>
      <c r="D36" s="79">
        <f>'REC Spend projected'!H35+'REC Spend projected'!I35+'REC Spend projected'!J35+'REC Spend projected'!K35+'REC Spend projected'!L35</f>
        <v>9898909.0857186709</v>
      </c>
      <c r="E36" s="79">
        <f>E8*'REC Spend projected'!$B$29</f>
        <v>0</v>
      </c>
      <c r="F36" s="79">
        <f>F8*'REC Spend projected'!$B$29</f>
        <v>0</v>
      </c>
      <c r="G36" s="79">
        <f>G8*'REC Spend projected'!$B$29</f>
        <v>0</v>
      </c>
      <c r="H36" s="79">
        <f>H8*'REC Spend projected'!$B$29</f>
        <v>0</v>
      </c>
      <c r="I36" s="79">
        <f>I8*'REC Spend projected'!$B$29</f>
        <v>0</v>
      </c>
      <c r="J36" s="79">
        <f>J8*'REC Spend projected'!$B$29</f>
        <v>0</v>
      </c>
      <c r="K36" s="79">
        <f>K8*'REC Spend projected'!$B$29</f>
        <v>0</v>
      </c>
      <c r="L36" s="79">
        <f>L8*'REC Spend projected'!$B$29</f>
        <v>0</v>
      </c>
      <c r="M36" s="79">
        <f>M8*'REC Spend projected'!$B$29</f>
        <v>0</v>
      </c>
      <c r="N36" s="79">
        <f t="shared" si="12"/>
        <v>0</v>
      </c>
      <c r="O36" s="79">
        <f>O8*'REC Spend projected'!$B$29</f>
        <v>22357766.391111698</v>
      </c>
      <c r="P36" s="79">
        <f t="shared" si="8"/>
        <v>109169158.90683039</v>
      </c>
      <c r="Q36" s="79">
        <f>'REC Spend projected'!AA35</f>
        <v>160843338.23230717</v>
      </c>
      <c r="R36" s="79">
        <f>'REC Spend projected'!AE35</f>
        <v>173063619.2260572</v>
      </c>
      <c r="T36" s="78" t="s">
        <v>21</v>
      </c>
      <c r="U36" s="210">
        <f t="shared" si="9"/>
        <v>86811392.515718684</v>
      </c>
      <c r="V36" s="210"/>
      <c r="W36" s="210">
        <f t="shared" si="13"/>
        <v>0</v>
      </c>
      <c r="X36" s="210">
        <f t="shared" si="14"/>
        <v>0</v>
      </c>
      <c r="Y36" s="210">
        <f t="shared" si="10"/>
        <v>22357766.391111698</v>
      </c>
      <c r="Z36" s="210">
        <f t="shared" si="11"/>
        <v>160843338.23230717</v>
      </c>
    </row>
    <row r="37" spans="2:26" ht="15.75" thickBot="1" x14ac:dyDescent="0.3">
      <c r="B37" s="78" t="s">
        <v>22</v>
      </c>
      <c r="C37" s="79">
        <f>SUM('ABP Under Contract'!K37:P37)</f>
        <v>82313433.564999998</v>
      </c>
      <c r="D37" s="79">
        <f>'REC Spend projected'!H36+'REC Spend projected'!I36+'REC Spend projected'!J36+'REC Spend projected'!K36+'REC Spend projected'!L36</f>
        <v>17583806.603288878</v>
      </c>
      <c r="E37" s="79">
        <f>E9*'REC Spend projected'!$B$29</f>
        <v>9742659.5041847788</v>
      </c>
      <c r="F37" s="79">
        <f>F9*'REC Spend projected'!$B$29</f>
        <v>0</v>
      </c>
      <c r="G37" s="79">
        <f>G9*'REC Spend projected'!$B$29</f>
        <v>0</v>
      </c>
      <c r="H37" s="79">
        <f>H9*'REC Spend projected'!$B$29</f>
        <v>0</v>
      </c>
      <c r="I37" s="79">
        <f>I9*'REC Spend projected'!$B$29</f>
        <v>0</v>
      </c>
      <c r="J37" s="79">
        <f>J9*'REC Spend projected'!$B$29</f>
        <v>0</v>
      </c>
      <c r="K37" s="79">
        <f>K9*'REC Spend projected'!$B$29</f>
        <v>0</v>
      </c>
      <c r="L37" s="79">
        <f>L9*'REC Spend projected'!$B$29</f>
        <v>0</v>
      </c>
      <c r="M37" s="79">
        <f>M9*'REC Spend projected'!$B$29</f>
        <v>0</v>
      </c>
      <c r="N37" s="79">
        <f t="shared" si="12"/>
        <v>0</v>
      </c>
      <c r="O37" s="79">
        <f>O9*'REC Spend projected'!$B$29</f>
        <v>19446358.293970436</v>
      </c>
      <c r="P37" s="79">
        <f t="shared" si="8"/>
        <v>129086257.96644409</v>
      </c>
      <c r="Q37" s="79">
        <f>'REC Spend projected'!AA36</f>
        <v>173063619.2260572</v>
      </c>
      <c r="R37" s="79">
        <f>'REC Spend projected'!AE36</f>
        <v>149220850.80996442</v>
      </c>
      <c r="T37" s="78" t="s">
        <v>22</v>
      </c>
      <c r="U37" s="210">
        <f t="shared" si="9"/>
        <v>99897240.168288872</v>
      </c>
      <c r="V37" s="210"/>
      <c r="W37" s="210">
        <f t="shared" si="13"/>
        <v>9742659.5041847788</v>
      </c>
      <c r="X37" s="210">
        <f t="shared" si="14"/>
        <v>0</v>
      </c>
      <c r="Y37" s="210">
        <f t="shared" si="10"/>
        <v>19446358.293970436</v>
      </c>
      <c r="Z37" s="210">
        <f t="shared" si="11"/>
        <v>173063619.2260572</v>
      </c>
    </row>
    <row r="38" spans="2:26" ht="15.75" thickBot="1" x14ac:dyDescent="0.3">
      <c r="B38" s="78" t="s">
        <v>23</v>
      </c>
      <c r="C38" s="79">
        <f>SUM('ABP Under Contract'!K38:P38)</f>
        <v>76599922.291000009</v>
      </c>
      <c r="D38" s="79">
        <f>'REC Spend projected'!H37+'REC Spend projected'!I37+'REC Spend projected'!J37+'REC Spend projected'!K37+'REC Spend projected'!L37</f>
        <v>39278359.588480294</v>
      </c>
      <c r="E38" s="79">
        <f>E10*'REC Spend projected'!$B$29</f>
        <v>9742659.5041847788</v>
      </c>
      <c r="F38" s="79">
        <f>F10*'REC Spend projected'!$B$29</f>
        <v>0</v>
      </c>
      <c r="G38" s="79">
        <f>G10*'REC Spend projected'!$B$29</f>
        <v>0</v>
      </c>
      <c r="H38" s="79">
        <f>H10*'REC Spend projected'!$B$29</f>
        <v>0</v>
      </c>
      <c r="I38" s="79">
        <f>I10*'REC Spend projected'!$B$29</f>
        <v>0</v>
      </c>
      <c r="J38" s="79">
        <f>J10*'REC Spend projected'!$B$29</f>
        <v>0</v>
      </c>
      <c r="K38" s="79">
        <f>K10*'REC Spend projected'!$B$29</f>
        <v>0</v>
      </c>
      <c r="L38" s="79">
        <f>L10*'REC Spend projected'!$B$29</f>
        <v>0</v>
      </c>
      <c r="M38" s="79">
        <f>M10*'REC Spend projected'!$B$29</f>
        <v>0</v>
      </c>
      <c r="N38" s="79">
        <f>SUM(F38:M38)</f>
        <v>0</v>
      </c>
      <c r="O38" s="79">
        <f>O10*'REC Spend projected'!$B$29</f>
        <v>19431688.755718008</v>
      </c>
      <c r="P38" s="79">
        <f t="shared" si="8"/>
        <v>145052630.13938308</v>
      </c>
      <c r="Q38" s="79">
        <f>'REC Spend projected'!AA37</f>
        <v>149220850.80996442</v>
      </c>
      <c r="R38" s="79">
        <f>'REC Spend projected'!AE37</f>
        <v>83326931.653733641</v>
      </c>
      <c r="T38" s="78" t="s">
        <v>23</v>
      </c>
      <c r="U38" s="210">
        <f t="shared" si="9"/>
        <v>115878281.8794803</v>
      </c>
      <c r="V38" s="210"/>
      <c r="W38" s="210">
        <f t="shared" si="13"/>
        <v>9742659.5041847788</v>
      </c>
      <c r="X38" s="210">
        <f t="shared" si="14"/>
        <v>0</v>
      </c>
      <c r="Y38" s="210">
        <f t="shared" si="10"/>
        <v>19431688.755718008</v>
      </c>
      <c r="Z38" s="210">
        <f t="shared" si="11"/>
        <v>149220850.80996442</v>
      </c>
    </row>
    <row r="39" spans="2:26" ht="15.75" thickBot="1" x14ac:dyDescent="0.3">
      <c r="B39" s="78" t="s">
        <v>24</v>
      </c>
      <c r="C39" s="79">
        <f>SUM('ABP Under Contract'!K39:P39)</f>
        <v>63290382.901000001</v>
      </c>
      <c r="D39" s="79">
        <f>'REC Spend projected'!H38+'REC Spend projected'!I38+'REC Spend projected'!J38+'REC Spend projected'!K38+'REC Spend projected'!L38</f>
        <v>70245154.497704551</v>
      </c>
      <c r="E39" s="79">
        <f>E11*'REC Spend projected'!$B$29</f>
        <v>44537263.734545283</v>
      </c>
      <c r="F39" s="79">
        <f>F11*'REC Spend projected'!$B$29</f>
        <v>0</v>
      </c>
      <c r="G39" s="79">
        <f>G11*'REC Spend projected'!$B$29</f>
        <v>0</v>
      </c>
      <c r="H39" s="79">
        <f>H11*'REC Spend projected'!$B$29</f>
        <v>0</v>
      </c>
      <c r="I39" s="79">
        <f>I11*'REC Spend projected'!$B$29</f>
        <v>0</v>
      </c>
      <c r="J39" s="79">
        <f>J11*'REC Spend projected'!$B$29</f>
        <v>0</v>
      </c>
      <c r="K39" s="79">
        <f>K11*'REC Spend projected'!$B$29</f>
        <v>0</v>
      </c>
      <c r="L39" s="79">
        <f>L11*'REC Spend projected'!$B$29</f>
        <v>0</v>
      </c>
      <c r="M39" s="79">
        <f>M11*'REC Spend projected'!$B$29</f>
        <v>0</v>
      </c>
      <c r="N39" s="79">
        <f>SUM(F39:M39)</f>
        <v>0</v>
      </c>
      <c r="O39" s="79">
        <f>O11*'REC Spend projected'!$B$29</f>
        <v>22388460.463088688</v>
      </c>
      <c r="P39" s="79">
        <f t="shared" si="8"/>
        <v>200461261.59633854</v>
      </c>
      <c r="Q39" s="79">
        <f>'REC Spend projected'!AA38</f>
        <v>83326931.653733641</v>
      </c>
      <c r="R39" s="79">
        <f>'REC Spend projected'!AE38</f>
        <v>-24334066.502174377</v>
      </c>
      <c r="T39" s="78" t="s">
        <v>24</v>
      </c>
      <c r="U39" s="210">
        <f t="shared" si="9"/>
        <v>133535537.39870456</v>
      </c>
      <c r="V39" s="210"/>
      <c r="W39" s="210">
        <f t="shared" si="13"/>
        <v>44537263.734545283</v>
      </c>
      <c r="X39" s="210">
        <f t="shared" si="14"/>
        <v>0</v>
      </c>
      <c r="Y39" s="210">
        <f t="shared" si="10"/>
        <v>22388460.463088688</v>
      </c>
      <c r="Z39" s="210">
        <f t="shared" si="11"/>
        <v>83326931.653733641</v>
      </c>
    </row>
    <row r="40" spans="2:26" ht="15.75" thickBot="1" x14ac:dyDescent="0.3">
      <c r="B40" s="81" t="s">
        <v>25</v>
      </c>
      <c r="C40" s="79">
        <f>SUM('ABP Under Contract'!K40:P40)</f>
        <v>57981975.737000003</v>
      </c>
      <c r="D40" s="79">
        <f>'REC Spend projected'!H39+'REC Spend projected'!I39+'REC Spend projected'!J39+'REC Spend projected'!K39+'REC Spend projected'!L39</f>
        <v>79755725.685303569</v>
      </c>
      <c r="E40" s="79">
        <f>E12*'REC Spend projected'!$B$29</f>
        <v>57358547.818465032</v>
      </c>
      <c r="F40" s="79">
        <f>F12*'REC Spend projected'!$B$29</f>
        <v>65397548.703999147</v>
      </c>
      <c r="G40" s="79">
        <f>G12*'REC Spend projected'!$B$29</f>
        <v>0</v>
      </c>
      <c r="H40" s="79">
        <f>H12*'REC Spend projected'!$B$29</f>
        <v>0</v>
      </c>
      <c r="I40" s="79">
        <f>I12*'REC Spend projected'!$B$29</f>
        <v>0</v>
      </c>
      <c r="J40" s="79">
        <f>J12*'REC Spend projected'!$B$29</f>
        <v>0</v>
      </c>
      <c r="K40" s="79">
        <f>K12*'REC Spend projected'!$B$29</f>
        <v>0</v>
      </c>
      <c r="L40" s="79">
        <f>L12*'REC Spend projected'!$B$29</f>
        <v>0</v>
      </c>
      <c r="M40" s="79">
        <f>M12*'REC Spend projected'!$B$29</f>
        <v>0</v>
      </c>
      <c r="N40" s="79">
        <f t="shared" si="12"/>
        <v>65397548.703999147</v>
      </c>
      <c r="O40" s="79">
        <f>O12*'REC Spend projected'!$B$29</f>
        <v>19589685.360316005</v>
      </c>
      <c r="P40" s="79">
        <f t="shared" si="8"/>
        <v>345481032.00908285</v>
      </c>
      <c r="Q40" s="79">
        <f>'REC Spend projected'!AA39</f>
        <v>-24334066.502174377</v>
      </c>
      <c r="R40" s="79">
        <f>'REC Spend projected'!AE39</f>
        <v>-183356270.07525057</v>
      </c>
      <c r="T40" s="81" t="s">
        <v>25</v>
      </c>
      <c r="U40" s="210">
        <f t="shared" si="9"/>
        <v>137737701.42230356</v>
      </c>
      <c r="V40" s="210"/>
      <c r="W40" s="210">
        <f t="shared" si="13"/>
        <v>57358547.818465032</v>
      </c>
      <c r="X40" s="210">
        <f t="shared" si="14"/>
        <v>65397548.703999147</v>
      </c>
      <c r="Y40" s="210">
        <f t="shared" si="10"/>
        <v>19589685.360316005</v>
      </c>
      <c r="Z40" s="210">
        <f t="shared" si="11"/>
        <v>-24334066.502174377</v>
      </c>
    </row>
    <row r="41" spans="2:26" ht="15.75" thickBot="1" x14ac:dyDescent="0.3">
      <c r="B41" s="78" t="s">
        <v>26</v>
      </c>
      <c r="C41" s="79">
        <f>SUM('ABP Under Contract'!K41:P41)</f>
        <v>56597030.237000003</v>
      </c>
      <c r="D41" s="79">
        <f>'REC Spend projected'!H40+'REC Spend projected'!I40+'REC Spend projected'!J40+'REC Spend projected'!K40+'REC Spend projected'!L40</f>
        <v>81507676.836516321</v>
      </c>
      <c r="E41" s="79">
        <f>E13*'REC Spend projected'!$B$29</f>
        <v>59134055.376167931</v>
      </c>
      <c r="F41" s="79">
        <f>F13*'REC Spend projected'!$B$29</f>
        <v>117458160.04188113</v>
      </c>
      <c r="G41" s="79">
        <f>G13*'REC Spend projected'!$B$29</f>
        <v>0</v>
      </c>
      <c r="H41" s="79">
        <f>H13*'REC Spend projected'!$B$29</f>
        <v>0</v>
      </c>
      <c r="I41" s="79">
        <f>I13*'REC Spend projected'!$B$29</f>
        <v>0</v>
      </c>
      <c r="J41" s="79">
        <f>J13*'REC Spend projected'!$B$29</f>
        <v>0</v>
      </c>
      <c r="K41" s="79">
        <f>K13*'REC Spend projected'!$B$29</f>
        <v>0</v>
      </c>
      <c r="L41" s="79">
        <f>L13*'REC Spend projected'!$B$29</f>
        <v>0</v>
      </c>
      <c r="M41" s="79">
        <f>M13*'REC Spend projected'!$B$29</f>
        <v>0</v>
      </c>
      <c r="N41" s="79">
        <f t="shared" si="12"/>
        <v>117458160.04188113</v>
      </c>
      <c r="O41" s="79">
        <f>O13*'REC Spend projected'!$B$29</f>
        <v>19729622.580440268</v>
      </c>
      <c r="P41" s="79">
        <f t="shared" si="8"/>
        <v>451884705.11388677</v>
      </c>
      <c r="Q41" s="79">
        <f>'REC Spend projected'!AA40</f>
        <v>-183356270.07525057</v>
      </c>
      <c r="R41" s="79">
        <f>'REC Spend projected'!AE40</f>
        <v>-394079059.24194741</v>
      </c>
      <c r="T41" s="78" t="s">
        <v>26</v>
      </c>
      <c r="U41" s="210">
        <f t="shared" si="9"/>
        <v>138104707.07351631</v>
      </c>
      <c r="V41" s="210"/>
      <c r="W41" s="210">
        <f t="shared" si="13"/>
        <v>59134055.376167931</v>
      </c>
      <c r="X41" s="210">
        <f t="shared" si="14"/>
        <v>117458160.04188113</v>
      </c>
      <c r="Y41" s="210">
        <f t="shared" si="10"/>
        <v>19729622.580440268</v>
      </c>
      <c r="Z41" s="210">
        <f t="shared" si="11"/>
        <v>-183356270.07525057</v>
      </c>
    </row>
    <row r="42" spans="2:26" ht="15.75" thickBot="1" x14ac:dyDescent="0.3">
      <c r="B42" s="78" t="s">
        <v>27</v>
      </c>
      <c r="C42" s="79">
        <f>SUM('ABP Under Contract'!K42:P42)</f>
        <v>55616735.043000005</v>
      </c>
      <c r="D42" s="79">
        <f>'REC Spend projected'!H41+'REC Spend projected'!I41+'REC Spend projected'!J41+'REC Spend projected'!K41+'REC Spend projected'!L41</f>
        <v>81470458.111656383</v>
      </c>
      <c r="E42" s="79">
        <f>E14*'REC Spend projected'!$B$29</f>
        <v>59921023.881821372</v>
      </c>
      <c r="F42" s="79">
        <f>F14*'REC Spend projected'!$B$29</f>
        <v>108702721.25675298</v>
      </c>
      <c r="G42" s="79">
        <f>G14*'REC Spend projected'!$B$29</f>
        <v>60270380.885605611</v>
      </c>
      <c r="H42" s="79">
        <f>H14*'REC Spend projected'!$B$29</f>
        <v>0</v>
      </c>
      <c r="I42" s="79">
        <f>I14*'REC Spend projected'!$B$29</f>
        <v>0</v>
      </c>
      <c r="J42" s="79">
        <f>J14*'REC Spend projected'!$B$29</f>
        <v>0</v>
      </c>
      <c r="K42" s="79">
        <f>K14*'REC Spend projected'!$B$29</f>
        <v>0</v>
      </c>
      <c r="L42" s="79">
        <f>L14*'REC Spend projected'!$B$29</f>
        <v>0</v>
      </c>
      <c r="M42" s="79">
        <f>M14*'REC Spend projected'!$B$29</f>
        <v>0</v>
      </c>
      <c r="N42" s="79">
        <f t="shared" si="12"/>
        <v>168973102.1423586</v>
      </c>
      <c r="O42" s="79">
        <f>O14*'REC Spend projected'!$B$29</f>
        <v>22817634.776398003</v>
      </c>
      <c r="P42" s="79">
        <f t="shared" si="8"/>
        <v>557772056.09759295</v>
      </c>
      <c r="Q42" s="79">
        <f>'REC Spend projected'!AA41</f>
        <v>-394079059.24194741</v>
      </c>
      <c r="R42" s="79">
        <f>'REC Spend projected'!AE41</f>
        <v>-655427229.96222591</v>
      </c>
      <c r="T42" s="78" t="s">
        <v>27</v>
      </c>
      <c r="U42" s="210">
        <f t="shared" si="9"/>
        <v>137087193.15465638</v>
      </c>
      <c r="V42" s="210"/>
      <c r="W42" s="210">
        <f t="shared" si="13"/>
        <v>59921023.881821372</v>
      </c>
      <c r="X42" s="210">
        <f t="shared" si="14"/>
        <v>168973102.1423586</v>
      </c>
      <c r="Y42" s="210">
        <f t="shared" si="10"/>
        <v>22817634.776398003</v>
      </c>
      <c r="Z42" s="210">
        <f t="shared" si="11"/>
        <v>-394079059.24194741</v>
      </c>
    </row>
    <row r="43" spans="2:26" ht="15.75" thickBot="1" x14ac:dyDescent="0.3">
      <c r="B43" s="78" t="s">
        <v>28</v>
      </c>
      <c r="C43" s="79">
        <f>SUM('ABP Under Contract'!K43:P43)</f>
        <v>54204144.921000004</v>
      </c>
      <c r="D43" s="79">
        <f>'REC Spend projected'!H42+'REC Spend projected'!I42+'REC Spend projected'!J42+'REC Spend projected'!K42+'REC Spend projected'!L42</f>
        <v>83494615.124584034</v>
      </c>
      <c r="E43" s="79">
        <f>E15*'REC Spend projected'!$B$29</f>
        <v>59817691.007201999</v>
      </c>
      <c r="F43" s="79">
        <f>F15*'REC Spend projected'!$B$29</f>
        <v>109522906.66814186</v>
      </c>
      <c r="G43" s="79">
        <f>G15*'REC Spend projected'!$B$29</f>
        <v>106250100.11547428</v>
      </c>
      <c r="H43" s="79">
        <f>H15*'REC Spend projected'!$B$29</f>
        <v>0</v>
      </c>
      <c r="I43" s="79">
        <f>I15*'REC Spend projected'!$B$29</f>
        <v>0</v>
      </c>
      <c r="J43" s="79">
        <f>J15*'REC Spend projected'!$B$29</f>
        <v>0</v>
      </c>
      <c r="K43" s="79">
        <f>K15*'REC Spend projected'!$B$29</f>
        <v>0</v>
      </c>
      <c r="L43" s="79">
        <f>L15*'REC Spend projected'!$B$29</f>
        <v>0</v>
      </c>
      <c r="M43" s="79">
        <f>M15*'REC Spend projected'!$B$29</f>
        <v>0</v>
      </c>
      <c r="N43" s="79">
        <f>SUM(F43:M43)</f>
        <v>215773006.78361613</v>
      </c>
      <c r="O43" s="79">
        <f>O15*'REC Spend projected'!$B$29</f>
        <v>20139412.114287294</v>
      </c>
      <c r="P43" s="79">
        <f t="shared" si="8"/>
        <v>649201876.7343055</v>
      </c>
      <c r="Q43" s="79">
        <f>'REC Spend projected'!AA42</f>
        <v>-655427229.96222591</v>
      </c>
      <c r="R43" s="79">
        <f>'REC Spend projected'!AE42</f>
        <v>-940027489.48948359</v>
      </c>
      <c r="T43" s="78" t="s">
        <v>28</v>
      </c>
      <c r="U43" s="210">
        <f t="shared" si="9"/>
        <v>137698760.04558402</v>
      </c>
      <c r="V43" s="210"/>
      <c r="W43" s="210">
        <f t="shared" si="13"/>
        <v>59817691.007201999</v>
      </c>
      <c r="X43" s="210">
        <f t="shared" si="14"/>
        <v>215773006.78361613</v>
      </c>
      <c r="Y43" s="210">
        <f t="shared" si="10"/>
        <v>20139412.114287294</v>
      </c>
      <c r="Z43" s="210">
        <f t="shared" si="11"/>
        <v>-655427229.96222591</v>
      </c>
    </row>
    <row r="44" spans="2:26" ht="15.75" thickBot="1" x14ac:dyDescent="0.3">
      <c r="B44" s="78" t="s">
        <v>29</v>
      </c>
      <c r="C44" s="79">
        <f>SUM('ABP Under Contract'!K44:P44)</f>
        <v>47784988.32</v>
      </c>
      <c r="D44" s="79">
        <f>'REC Spend projected'!H43+'REC Spend projected'!I43+'REC Spend projected'!J43+'REC Spend projected'!K43+'REC Spend projected'!L43</f>
        <v>83591306.205849841</v>
      </c>
      <c r="E44" s="79">
        <f>E16*'REC Spend projected'!$B$29</f>
        <v>57793102.148040995</v>
      </c>
      <c r="F44" s="79">
        <f>F16*'REC Spend projected'!$B$29</f>
        <v>110181676.25859058</v>
      </c>
      <c r="G44" s="79">
        <f>G16*'REC Spend projected'!$B$29</f>
        <v>99009231.10250105</v>
      </c>
      <c r="H44" s="79">
        <f>H16*'REC Spend projected'!$B$29</f>
        <v>55545183.024174124</v>
      </c>
      <c r="I44" s="79">
        <f>I16*'REC Spend projected'!$B$29</f>
        <v>0</v>
      </c>
      <c r="J44" s="79">
        <f>J16*'REC Spend projected'!$B$29</f>
        <v>0</v>
      </c>
      <c r="K44" s="79">
        <f>K16*'REC Spend projected'!$B$29</f>
        <v>0</v>
      </c>
      <c r="L44" s="79">
        <f>L16*'REC Spend projected'!$B$29</f>
        <v>0</v>
      </c>
      <c r="M44" s="79">
        <f>M16*'REC Spend projected'!$B$29</f>
        <v>0</v>
      </c>
      <c r="N44" s="79">
        <f t="shared" si="12"/>
        <v>264736090.38526574</v>
      </c>
      <c r="O44" s="79">
        <f>O16*'REC Spend projected'!$B$29</f>
        <v>20363103.036562517</v>
      </c>
      <c r="P44" s="79">
        <f t="shared" si="8"/>
        <v>739004680.48098481</v>
      </c>
      <c r="Q44" s="79">
        <f>'REC Spend projected'!AA43</f>
        <v>-940027489.48948359</v>
      </c>
      <c r="R44" s="79">
        <f>'REC Spend projected'!AE43</f>
        <v>-1261555295.6664295</v>
      </c>
      <c r="T44" s="78" t="s">
        <v>29</v>
      </c>
      <c r="U44" s="210">
        <f t="shared" si="9"/>
        <v>131376294.52584985</v>
      </c>
      <c r="V44" s="210"/>
      <c r="W44" s="210">
        <f t="shared" si="13"/>
        <v>57793102.148040995</v>
      </c>
      <c r="X44" s="210">
        <f t="shared" si="14"/>
        <v>264736090.38526574</v>
      </c>
      <c r="Y44" s="210">
        <f t="shared" si="10"/>
        <v>20363103.036562517</v>
      </c>
      <c r="Z44" s="210">
        <f t="shared" si="11"/>
        <v>-940027489.48948359</v>
      </c>
    </row>
    <row r="45" spans="2:26" ht="15.75" thickBot="1" x14ac:dyDescent="0.3">
      <c r="B45" s="78" t="s">
        <v>30</v>
      </c>
      <c r="C45" s="79">
        <f>SUM('ABP Under Contract'!K45:P45)</f>
        <v>38759717.899999999</v>
      </c>
      <c r="D45" s="79">
        <f>'REC Spend projected'!H44+'REC Spend projected'!I44+'REC Spend projected'!J44+'REC Spend projected'!K44+'REC Spend projected'!L44</f>
        <v>78080677.602207735</v>
      </c>
      <c r="E45" s="79">
        <f>E17*'REC Spend projected'!$B$29</f>
        <v>46624156.573902264</v>
      </c>
      <c r="F45" s="79">
        <f>F17*'REC Spend projected'!$B$29</f>
        <v>111307524.78860465</v>
      </c>
      <c r="G45" s="79">
        <f>G17*'REC Spend projected'!$B$29</f>
        <v>100059507.2580696</v>
      </c>
      <c r="H45" s="79">
        <f>H17*'REC Spend projected'!$B$29</f>
        <v>86834928.50748007</v>
      </c>
      <c r="I45" s="79">
        <f>I17*'REC Spend projected'!$B$29</f>
        <v>0</v>
      </c>
      <c r="J45" s="79">
        <f>J17*'REC Spend projected'!$B$29</f>
        <v>0</v>
      </c>
      <c r="K45" s="79">
        <f>K17*'REC Spend projected'!$B$29</f>
        <v>0</v>
      </c>
      <c r="L45" s="79">
        <f>L17*'REC Spend projected'!$B$29</f>
        <v>0</v>
      </c>
      <c r="M45" s="79">
        <f>M17*'REC Spend projected'!$B$29</f>
        <v>0</v>
      </c>
      <c r="N45" s="79">
        <f t="shared" si="12"/>
        <v>298201960.55415434</v>
      </c>
      <c r="O45" s="79">
        <f>O17*'REC Spend projected'!$B$29</f>
        <v>20562578.215995714</v>
      </c>
      <c r="P45" s="79">
        <f t="shared" si="8"/>
        <v>780431051.40041435</v>
      </c>
      <c r="Q45" s="79">
        <f>'REC Spend projected'!AA44</f>
        <v>-1261555295.6664295</v>
      </c>
      <c r="R45" s="79">
        <f>'REC Spend projected'!AE44</f>
        <v>-1564311458.1928306</v>
      </c>
      <c r="T45" s="78" t="s">
        <v>30</v>
      </c>
      <c r="U45" s="210">
        <f t="shared" si="9"/>
        <v>116840395.50220773</v>
      </c>
      <c r="V45" s="210"/>
      <c r="W45" s="210">
        <f t="shared" si="13"/>
        <v>46624156.573902264</v>
      </c>
      <c r="X45" s="210">
        <f t="shared" si="14"/>
        <v>298201960.55415434</v>
      </c>
      <c r="Y45" s="210">
        <f t="shared" si="10"/>
        <v>20562578.215995714</v>
      </c>
      <c r="Z45" s="210">
        <f t="shared" si="11"/>
        <v>-1261555295.6664295</v>
      </c>
    </row>
    <row r="46" spans="2:26" ht="15.75" thickBot="1" x14ac:dyDescent="0.3">
      <c r="B46" s="78" t="s">
        <v>31</v>
      </c>
      <c r="C46" s="79">
        <f>SUM('ABP Under Contract'!K46:P46)</f>
        <v>38566172.509999998</v>
      </c>
      <c r="D46" s="79">
        <f>'REC Spend projected'!H45+'REC Spend projected'!I45+'REC Spend projected'!J45+'REC Spend projected'!K45+'REC Spend projected'!L45</f>
        <v>73881692.415593326</v>
      </c>
      <c r="E46" s="79">
        <f>E18*'REC Spend projected'!$B$29</f>
        <v>42665485.339209303</v>
      </c>
      <c r="F46" s="79">
        <f>F18*'REC Spend projected'!$B$29</f>
        <v>109890752.68141198</v>
      </c>
      <c r="G46" s="79">
        <f>G18*'REC Spend projected'!$B$29</f>
        <v>99115775.616031572</v>
      </c>
      <c r="H46" s="79">
        <f>H18*'REC Spend projected'!$B$29</f>
        <v>65528258.729561992</v>
      </c>
      <c r="I46" s="79">
        <f>I18*'REC Spend projected'!$B$29</f>
        <v>51190440.675078876</v>
      </c>
      <c r="J46" s="79">
        <f>J18*'REC Spend projected'!$B$29</f>
        <v>0</v>
      </c>
      <c r="K46" s="79">
        <f>K18*'REC Spend projected'!$B$29</f>
        <v>0</v>
      </c>
      <c r="L46" s="79">
        <f>L18*'REC Spend projected'!$B$29</f>
        <v>0</v>
      </c>
      <c r="M46" s="79">
        <f>M18*'REC Spend projected'!$B$29</f>
        <v>0</v>
      </c>
      <c r="N46" s="79">
        <f t="shared" si="12"/>
        <v>325725227.70208442</v>
      </c>
      <c r="O46" s="79">
        <f>O18*'REC Spend projected'!$B$29</f>
        <v>20747642.728058554</v>
      </c>
      <c r="P46" s="79">
        <f t="shared" si="8"/>
        <v>827311448.39703012</v>
      </c>
      <c r="Q46" s="79">
        <f>'REC Spend projected'!AA45</f>
        <v>-1564311458.1928306</v>
      </c>
      <c r="R46" s="79">
        <f>'REC Spend projected'!AE45</f>
        <v>-1870646247.5696089</v>
      </c>
      <c r="T46" s="78" t="s">
        <v>31</v>
      </c>
      <c r="U46" s="210">
        <f t="shared" si="9"/>
        <v>112447864.92559332</v>
      </c>
      <c r="V46" s="210"/>
      <c r="W46" s="210">
        <f t="shared" si="13"/>
        <v>42665485.339209303</v>
      </c>
      <c r="X46" s="210">
        <f t="shared" si="14"/>
        <v>325725227.70208442</v>
      </c>
      <c r="Y46" s="210">
        <f t="shared" si="10"/>
        <v>20747642.728058554</v>
      </c>
      <c r="Z46" s="210">
        <f t="shared" si="11"/>
        <v>-1564311458.1928306</v>
      </c>
    </row>
    <row r="47" spans="2:26" ht="15.75" thickBot="1" x14ac:dyDescent="0.3">
      <c r="B47" s="78" t="s">
        <v>32</v>
      </c>
      <c r="C47" s="79">
        <f>SUM('ABP Under Contract'!K47:P47)</f>
        <v>38372971.719999999</v>
      </c>
      <c r="D47" s="79">
        <f>'REC Spend projected'!H46+'REC Spend projected'!I46+'REC Spend projected'!J46+'REC Spend projected'!K46+'REC Spend projected'!L46</f>
        <v>81245461.557814747</v>
      </c>
      <c r="E47" s="79">
        <f>E19*'REC Spend projected'!$B$29</f>
        <v>40519770.814048767</v>
      </c>
      <c r="F47" s="79">
        <f>F19*'REC Spend projected'!$B$29</f>
        <v>95413411.57590057</v>
      </c>
      <c r="G47" s="79">
        <f>G19*'REC Spend projected'!$B$29</f>
        <v>95788206.595235586</v>
      </c>
      <c r="H47" s="79">
        <f>H19*'REC Spend projected'!$B$29</f>
        <v>63689922.48358617</v>
      </c>
      <c r="I47" s="79">
        <f>I19*'REC Spend projected'!$B$29</f>
        <v>55623097.522380032</v>
      </c>
      <c r="J47" s="79">
        <f>J19*'REC Spend projected'!$B$29</f>
        <v>0</v>
      </c>
      <c r="K47" s="79">
        <f>K19*'REC Spend projected'!$B$29</f>
        <v>0</v>
      </c>
      <c r="L47" s="79">
        <f>L19*'REC Spend projected'!$B$29</f>
        <v>0</v>
      </c>
      <c r="M47" s="79">
        <f>M19*'REC Spend projected'!$B$29</f>
        <v>0</v>
      </c>
      <c r="N47" s="79">
        <f t="shared" si="12"/>
        <v>310514638.17710233</v>
      </c>
      <c r="O47" s="79">
        <f>O19*'REC Spend projected'!$B$29</f>
        <v>20891486.256732158</v>
      </c>
      <c r="P47" s="79">
        <f t="shared" si="8"/>
        <v>802058966.70280039</v>
      </c>
      <c r="Q47" s="79">
        <f>'REC Spend projected'!AA46</f>
        <v>-1870646247.5696089</v>
      </c>
      <c r="R47" s="79">
        <f>'REC Spend projected'!AE46</f>
        <v>-2184241642.4878364</v>
      </c>
      <c r="T47" s="78" t="s">
        <v>32</v>
      </c>
      <c r="U47" s="210">
        <f t="shared" si="9"/>
        <v>119618433.27781475</v>
      </c>
      <c r="V47" s="210"/>
      <c r="W47" s="210">
        <f t="shared" si="13"/>
        <v>40519770.814048767</v>
      </c>
      <c r="X47" s="210">
        <f t="shared" si="14"/>
        <v>310514638.17710233</v>
      </c>
      <c r="Y47" s="210">
        <f t="shared" si="10"/>
        <v>20891486.256732158</v>
      </c>
      <c r="Z47" s="210">
        <f t="shared" si="11"/>
        <v>-1870646247.5696089</v>
      </c>
    </row>
    <row r="48" spans="2:26" ht="15.75" thickBot="1" x14ac:dyDescent="0.3">
      <c r="B48" s="78" t="s">
        <v>33</v>
      </c>
      <c r="C48" s="79">
        <f>SUM('ABP Under Contract'!K48:P48)</f>
        <v>38181164.630000003</v>
      </c>
      <c r="D48" s="79">
        <f>'REC Spend projected'!H47+'REC Spend projected'!I47+'REC Spend projected'!J47+'REC Spend projected'!K47+'REC Spend projected'!L47</f>
        <v>81083965.348540306</v>
      </c>
      <c r="E48" s="79">
        <f>E20*'REC Spend projected'!$B$29</f>
        <v>44176109.207579151</v>
      </c>
      <c r="F48" s="79">
        <f>F20*'REC Spend projected'!$B$29</f>
        <v>83708601.569129497</v>
      </c>
      <c r="G48" s="79">
        <f>G20*'REC Spend projected'!$B$29</f>
        <v>95267691.495097443</v>
      </c>
      <c r="H48" s="79">
        <f>H20*'REC Spend projected'!$B$29</f>
        <v>64106643.976312064</v>
      </c>
      <c r="I48" s="79">
        <f>I20*'REC Spend projected'!$B$29</f>
        <v>54523541.328109473</v>
      </c>
      <c r="J48" s="79">
        <f>J20*'REC Spend projected'!$B$29</f>
        <v>23588555.06307634</v>
      </c>
      <c r="K48" s="79">
        <f>K20*'REC Spend projected'!$B$29</f>
        <v>0</v>
      </c>
      <c r="L48" s="79">
        <f>L20*'REC Spend projected'!$B$29</f>
        <v>0</v>
      </c>
      <c r="M48" s="79">
        <f>M20*'REC Spend projected'!$B$29</f>
        <v>0</v>
      </c>
      <c r="N48" s="79">
        <f t="shared" si="12"/>
        <v>321195033.43172479</v>
      </c>
      <c r="O48" s="79">
        <f>O20*'REC Spend projected'!$B$29</f>
        <v>20996837.875689302</v>
      </c>
      <c r="P48" s="79">
        <f t="shared" si="8"/>
        <v>826828143.92525816</v>
      </c>
      <c r="Q48" s="79">
        <f>'REC Spend projected'!AA47</f>
        <v>-2184241642.4878364</v>
      </c>
      <c r="R48" s="79">
        <f>'REC Spend projected'!AE47</f>
        <v>-2508250780.6235952</v>
      </c>
      <c r="T48" s="78" t="s">
        <v>33</v>
      </c>
      <c r="U48" s="210">
        <f t="shared" si="9"/>
        <v>119265129.9785403</v>
      </c>
      <c r="V48" s="210"/>
      <c r="W48" s="210">
        <f t="shared" si="13"/>
        <v>44176109.207579151</v>
      </c>
      <c r="X48" s="210">
        <f t="shared" si="14"/>
        <v>321195033.43172479</v>
      </c>
      <c r="Y48" s="210">
        <f t="shared" si="10"/>
        <v>20996837.875689302</v>
      </c>
      <c r="Z48" s="210">
        <f t="shared" si="11"/>
        <v>-2184241642.4878364</v>
      </c>
    </row>
    <row r="49" spans="2:27" ht="15.75" thickBot="1" x14ac:dyDescent="0.3">
      <c r="B49" s="78" t="s">
        <v>34</v>
      </c>
      <c r="C49" s="79">
        <f>SUM('ABP Under Contract'!K49:P49)</f>
        <v>37990286.370000005</v>
      </c>
      <c r="D49" s="79">
        <f>'REC Spend projected'!H48+'REC Spend projected'!I48+'REC Spend projected'!J48+'REC Spend projected'!K48+'REC Spend projected'!L48</f>
        <v>80083792.506562293</v>
      </c>
      <c r="E49" s="79">
        <f>E21*'REC Spend projected'!$B$29</f>
        <v>45681949.738453761</v>
      </c>
      <c r="F49" s="79">
        <f>F21*'REC Spend projected'!$B$29</f>
        <v>87372447.29517749</v>
      </c>
      <c r="G49" s="79">
        <f>G21*'REC Spend projected'!$B$29</f>
        <v>90402737.716449782</v>
      </c>
      <c r="H49" s="79">
        <f>H21*'REC Spend projected'!$B$29</f>
        <v>66334948.865722395</v>
      </c>
      <c r="I49" s="79">
        <f>I21*'REC Spend projected'!$B$29</f>
        <v>56737292.863578528</v>
      </c>
      <c r="J49" s="79">
        <f>J21*'REC Spend projected'!$B$29</f>
        <v>46872710.004474863</v>
      </c>
      <c r="K49" s="79">
        <f>K21*'REC Spend projected'!$B$29</f>
        <v>0</v>
      </c>
      <c r="L49" s="79">
        <f>L21*'REC Spend projected'!$B$29</f>
        <v>0</v>
      </c>
      <c r="M49" s="79">
        <f>M21*'REC Spend projected'!$B$29</f>
        <v>0</v>
      </c>
      <c r="N49" s="79">
        <f t="shared" si="12"/>
        <v>347720136.74540305</v>
      </c>
      <c r="O49" s="79">
        <f>O21*'REC Spend projected'!$B$29</f>
        <v>21041547.831426866</v>
      </c>
      <c r="P49" s="79">
        <f t="shared" si="8"/>
        <v>880237849.93724906</v>
      </c>
      <c r="Q49" s="79">
        <f>'REC Spend projected'!AA48</f>
        <v>-2508250780.6235952</v>
      </c>
      <c r="R49" s="79">
        <f>'REC Spend projected'!AE48</f>
        <v>-2860480599.5756502</v>
      </c>
      <c r="T49" s="78" t="s">
        <v>34</v>
      </c>
      <c r="U49" s="210">
        <f t="shared" si="9"/>
        <v>118074078.8765623</v>
      </c>
      <c r="V49" s="210"/>
      <c r="W49" s="210">
        <f t="shared" si="13"/>
        <v>45681949.738453761</v>
      </c>
      <c r="X49" s="210">
        <f t="shared" si="14"/>
        <v>347720136.74540305</v>
      </c>
      <c r="Y49" s="210">
        <f t="shared" si="10"/>
        <v>21041547.831426866</v>
      </c>
      <c r="Z49" s="210">
        <f t="shared" si="11"/>
        <v>-2508250780.6235952</v>
      </c>
    </row>
    <row r="50" spans="2:27" ht="15.75" thickBot="1" x14ac:dyDescent="0.3">
      <c r="B50" s="78" t="s">
        <v>35</v>
      </c>
      <c r="C50" s="79">
        <f>SUM('ABP Under Contract'!K50:P50)</f>
        <v>37800386.600000001</v>
      </c>
      <c r="D50" s="79">
        <f>'REC Spend projected'!H49+'REC Spend projected'!I49+'REC Spend projected'!J49+'REC Spend projected'!K49+'REC Spend projected'!L49</f>
        <v>82373586.812313586</v>
      </c>
      <c r="E50" s="79">
        <f>E22*'REC Spend projected'!$B$29</f>
        <v>45950300.618456602</v>
      </c>
      <c r="F50" s="79">
        <f>F22*'REC Spend projected'!$B$29</f>
        <v>89408576.850516185</v>
      </c>
      <c r="G50" s="79">
        <f>G22*'REC Spend projected'!$B$29</f>
        <v>81362433.866713241</v>
      </c>
      <c r="H50" s="79">
        <f>H22*'REC Spend projected'!$B$29</f>
        <v>67139907.917777851</v>
      </c>
      <c r="I50" s="79">
        <f>I22*'REC Spend projected'!$B$29</f>
        <v>57560624.690054461</v>
      </c>
      <c r="J50" s="79">
        <f>J22*'REC Spend projected'!$B$29</f>
        <v>49029085.901131108</v>
      </c>
      <c r="K50" s="79">
        <f>K22*'REC Spend projected'!$B$29</f>
        <v>21739212.346131153</v>
      </c>
      <c r="L50" s="79">
        <f>L22*'REC Spend projected'!$B$29</f>
        <v>0</v>
      </c>
      <c r="M50" s="79">
        <f>M22*'REC Spend projected'!$B$29</f>
        <v>0</v>
      </c>
      <c r="N50" s="79">
        <f t="shared" si="12"/>
        <v>366239841.57232398</v>
      </c>
      <c r="O50" s="79">
        <f>O22*'REC Spend projected'!$B$29</f>
        <v>21084391.104542032</v>
      </c>
      <c r="P50" s="79">
        <f t="shared" si="8"/>
        <v>919688348.27996016</v>
      </c>
      <c r="Q50" s="79">
        <f>'REC Spend projected'!AA49</f>
        <v>-2860480599.5756502</v>
      </c>
      <c r="R50" s="79">
        <f>'REC Spend projected'!AE49</f>
        <v>-3234794203.9705548</v>
      </c>
      <c r="T50" s="78" t="s">
        <v>35</v>
      </c>
      <c r="U50" s="210">
        <f t="shared" si="9"/>
        <v>120173973.41231358</v>
      </c>
      <c r="V50" s="210"/>
      <c r="W50" s="210">
        <f t="shared" si="13"/>
        <v>45950300.618456602</v>
      </c>
      <c r="X50" s="210">
        <f t="shared" si="14"/>
        <v>366239841.57232398</v>
      </c>
      <c r="Y50" s="210">
        <f t="shared" si="10"/>
        <v>21084391.104542032</v>
      </c>
      <c r="Z50" s="210">
        <f t="shared" si="11"/>
        <v>-2860480599.5756502</v>
      </c>
    </row>
    <row r="51" spans="2:27" ht="15.75" thickBot="1" x14ac:dyDescent="0.3">
      <c r="B51" s="78" t="s">
        <v>36</v>
      </c>
      <c r="C51" s="79">
        <f>SUM('ABP Under Contract'!K51:P51)</f>
        <v>37611124.260000005</v>
      </c>
      <c r="D51" s="79">
        <f>'REC Spend projected'!H50+'REC Spend projected'!I50+'REC Spend projected'!J50+'REC Spend projected'!K50+'REC Spend projected'!L50</f>
        <v>84442403.29592672</v>
      </c>
      <c r="E51" s="79">
        <f>E23*'REC Spend projected'!$B$29</f>
        <v>46983853.736739285</v>
      </c>
      <c r="F51" s="79">
        <f>F23*'REC Spend projected'!$B$29</f>
        <v>90578518.964050278</v>
      </c>
      <c r="G51" s="79">
        <f>G23*'REC Spend projected'!$B$29</f>
        <v>80809645.664111421</v>
      </c>
      <c r="H51" s="79">
        <f>H23*'REC Spend projected'!$B$29</f>
        <v>58595405.470315114</v>
      </c>
      <c r="I51" s="79">
        <f>I23*'REC Spend projected'!$B$29</f>
        <v>58113089.517657124</v>
      </c>
      <c r="J51" s="79">
        <f>J23*'REC Spend projected'!$B$29</f>
        <v>49566359.005267754</v>
      </c>
      <c r="K51" s="79">
        <f>K23*'REC Spend projected'!$B$29</f>
        <v>45356720.680562496</v>
      </c>
      <c r="L51" s="79">
        <f>L23*'REC Spend projected'!$B$29</f>
        <v>0</v>
      </c>
      <c r="M51" s="79">
        <f>M23*'REC Spend projected'!$B$29</f>
        <v>0</v>
      </c>
      <c r="N51" s="79">
        <f t="shared" si="12"/>
        <v>383019739.30196416</v>
      </c>
      <c r="O51" s="79">
        <f>O23*'REC Spend projected'!$B$29</f>
        <v>21111924.685758997</v>
      </c>
      <c r="P51" s="79">
        <f t="shared" si="8"/>
        <v>956188784.58235335</v>
      </c>
      <c r="Q51" s="79">
        <f>'REC Spend projected'!AA50</f>
        <v>-3234794203.9705548</v>
      </c>
      <c r="R51" s="79">
        <f>'REC Spend projected'!AE50</f>
        <v>-3628628032.9702682</v>
      </c>
      <c r="T51" s="78" t="s">
        <v>36</v>
      </c>
      <c r="U51" s="210">
        <f t="shared" si="9"/>
        <v>122053527.55592673</v>
      </c>
      <c r="V51" s="210"/>
      <c r="W51" s="210">
        <f t="shared" si="13"/>
        <v>46983853.736739285</v>
      </c>
      <c r="X51" s="210">
        <f t="shared" si="14"/>
        <v>383019739.30196416</v>
      </c>
      <c r="Y51" s="210">
        <f t="shared" si="10"/>
        <v>21111924.685758997</v>
      </c>
      <c r="Z51" s="210">
        <f t="shared" si="11"/>
        <v>-3234794203.9705548</v>
      </c>
    </row>
    <row r="52" spans="2:27" ht="15.75" thickBot="1" x14ac:dyDescent="0.3">
      <c r="B52" s="78" t="s">
        <v>37</v>
      </c>
      <c r="C52" s="79">
        <f>SUM('ABP Under Contract'!K52:P52)</f>
        <v>37423295.340000004</v>
      </c>
      <c r="D52" s="79">
        <f>'REC Spend projected'!H51+'REC Spend projected'!I51+'REC Spend projected'!J51+'REC Spend projected'!K51+'REC Spend projected'!L51</f>
        <v>84335758.523700565</v>
      </c>
      <c r="E52" s="79">
        <f>E24*'REC Spend projected'!$B$29</f>
        <v>47907143.36214193</v>
      </c>
      <c r="F52" s="79">
        <f>F24*'REC Spend projected'!$B$29</f>
        <v>92549481.444199055</v>
      </c>
      <c r="G52" s="79">
        <f>G24*'REC Spend projected'!$B$29</f>
        <v>82589547.768148899</v>
      </c>
      <c r="H52" s="79">
        <f>H24*'REC Spend projected'!$B$29</f>
        <v>49276435.511834182</v>
      </c>
      <c r="I52" s="79">
        <f>I24*'REC Spend projected'!$B$29</f>
        <v>58974935.951702878</v>
      </c>
      <c r="J52" s="79">
        <f>J24*'REC Spend projected'!$B$29</f>
        <v>50447220.853218585</v>
      </c>
      <c r="K52" s="79">
        <f>K24*'REC Spend projected'!$B$29</f>
        <v>49619568.090986811</v>
      </c>
      <c r="L52" s="79">
        <f>L24*'REC Spend projected'!$B$29</f>
        <v>20034858.098194472</v>
      </c>
      <c r="M52" s="79">
        <f>M24*'REC Spend projected'!$B$29</f>
        <v>0</v>
      </c>
      <c r="N52" s="79">
        <f t="shared" si="12"/>
        <v>403492047.7182849</v>
      </c>
      <c r="O52" s="79">
        <f>O24*'REC Spend projected'!$B$29</f>
        <v>21146403.528664131</v>
      </c>
      <c r="P52" s="79">
        <f t="shared" si="8"/>
        <v>997796696.19107652</v>
      </c>
      <c r="Q52" s="79">
        <f>'REC Spend projected'!AA51</f>
        <v>-3628628032.9702682</v>
      </c>
      <c r="R52" s="79">
        <f>'REC Spend projected'!AE51</f>
        <v>-4047927930.5642805</v>
      </c>
      <c r="T52" s="78" t="s">
        <v>37</v>
      </c>
      <c r="U52" s="210">
        <f t="shared" si="9"/>
        <v>121759053.86370057</v>
      </c>
      <c r="V52" s="210"/>
      <c r="W52" s="210">
        <f t="shared" si="13"/>
        <v>47907143.36214193</v>
      </c>
      <c r="X52" s="210">
        <f t="shared" si="14"/>
        <v>403492047.7182849</v>
      </c>
      <c r="Y52" s="210">
        <f t="shared" si="10"/>
        <v>21146403.528664131</v>
      </c>
      <c r="Z52" s="210">
        <f t="shared" si="11"/>
        <v>-3628628032.9702682</v>
      </c>
    </row>
    <row r="53" spans="2:27" ht="15.75" thickBot="1" x14ac:dyDescent="0.3">
      <c r="B53" s="78" t="s">
        <v>38</v>
      </c>
      <c r="C53" s="79">
        <f>SUM('ABP Under Contract'!K53:P53)</f>
        <v>37236227.269999996</v>
      </c>
      <c r="D53" s="79">
        <f>'REC Spend projected'!H52+'REC Spend projected'!I52+'REC Spend projected'!J52+'REC Spend projected'!K52+'REC Spend projected'!L52</f>
        <v>85537892.686651021</v>
      </c>
      <c r="E53" s="79">
        <f>E25*'REC Spend projected'!$B$29</f>
        <v>48137654.588477045</v>
      </c>
      <c r="F53" s="79">
        <f>F25*'REC Spend projected'!$B$29</f>
        <v>93924947.722030193</v>
      </c>
      <c r="G53" s="79">
        <f>G25*'REC Spend projected'!$B$29</f>
        <v>83921905.498229444</v>
      </c>
      <c r="H53" s="79">
        <f>H25*'REC Spend projected'!$B$29</f>
        <v>48424188.867644109</v>
      </c>
      <c r="I53" s="79">
        <f>I25*'REC Spend projected'!$B$29</f>
        <v>51165865.309374221</v>
      </c>
      <c r="J53" s="79">
        <f>J25*'REC Spend projected'!$B$29</f>
        <v>51018739.814525045</v>
      </c>
      <c r="K53" s="79">
        <f>K25*'REC Spend projected'!$B$29</f>
        <v>50161625.985930368</v>
      </c>
      <c r="L53" s="79">
        <f>L25*'REC Spend projected'!$B$29</f>
        <v>44048597.981469579</v>
      </c>
      <c r="M53" s="79">
        <f>M25*'REC Spend projected'!$B$29</f>
        <v>0</v>
      </c>
      <c r="N53" s="79">
        <f t="shared" si="12"/>
        <v>422665871.17920297</v>
      </c>
      <c r="O53" s="79">
        <f>O25*'REC Spend projected'!$B$29</f>
        <v>21172656.240079001</v>
      </c>
      <c r="P53" s="79">
        <f t="shared" si="8"/>
        <v>1037416173.143613</v>
      </c>
      <c r="Q53" s="79">
        <f>'REC Spend projected'!AA52</f>
        <v>-4047927930.5642805</v>
      </c>
      <c r="R53" s="79">
        <f>'REC Spend projected'!AE52</f>
        <v>-4475266237.2147083</v>
      </c>
      <c r="T53" s="78" t="s">
        <v>38</v>
      </c>
      <c r="U53" s="210">
        <f t="shared" si="9"/>
        <v>122774119.95665102</v>
      </c>
      <c r="V53" s="210"/>
      <c r="W53" s="210">
        <f t="shared" si="13"/>
        <v>48137654.588477045</v>
      </c>
      <c r="X53" s="210">
        <f t="shared" si="14"/>
        <v>422665871.17920297</v>
      </c>
      <c r="Y53" s="210">
        <f t="shared" si="10"/>
        <v>21172656.240079001</v>
      </c>
      <c r="Z53" s="210">
        <f t="shared" si="11"/>
        <v>-4047927930.5642805</v>
      </c>
    </row>
    <row r="54" spans="2:27" ht="15.75" thickBot="1" x14ac:dyDescent="0.3">
      <c r="B54" s="78" t="s">
        <v>39</v>
      </c>
      <c r="C54" s="79">
        <f>SUM('ABP Under Contract'!K54:P54)</f>
        <v>37049977.359999999</v>
      </c>
      <c r="D54" s="79">
        <f>'REC Spend projected'!H53+'REC Spend projected'!I53+'REC Spend projected'!J53+'REC Spend projected'!K53+'REC Spend projected'!L53</f>
        <v>83224228.361895978</v>
      </c>
      <c r="E54" s="79">
        <f>E26*'REC Spend projected'!$B$29</f>
        <v>48635120.358237773</v>
      </c>
      <c r="F54" s="79">
        <f>F26*'REC Spend projected'!$B$29</f>
        <v>94694777.583080217</v>
      </c>
      <c r="G54" s="79">
        <f>G26*'REC Spend projected'!$B$29</f>
        <v>84591981.310954168</v>
      </c>
      <c r="H54" s="79">
        <f>H26*'REC Spend projected'!$B$29</f>
        <v>48744581.469675407</v>
      </c>
      <c r="I54" s="79">
        <f>I26*'REC Spend projected'!$B$29</f>
        <v>46156357.069308639</v>
      </c>
      <c r="J54" s="79">
        <f>J26*'REC Spend projected'!$B$29</f>
        <v>51375238.69280339</v>
      </c>
      <c r="K54" s="79">
        <f>K26*'REC Spend projected'!$B$29</f>
        <v>50521658.640938371</v>
      </c>
      <c r="L54" s="79">
        <f>L26*'REC Spend projected'!$B$29</f>
        <v>49776804.793038242</v>
      </c>
      <c r="M54" s="79">
        <f>M26*'REC Spend projected'!$B$29</f>
        <v>36928250.446592055</v>
      </c>
      <c r="N54" s="79">
        <f t="shared" si="12"/>
        <v>462789650.00639051</v>
      </c>
      <c r="O54" s="79">
        <f>O26*'REC Spend projected'!$B$29</f>
        <v>21199673.729561392</v>
      </c>
      <c r="P54" s="79">
        <f t="shared" si="8"/>
        <v>1115688299.8224761</v>
      </c>
      <c r="Q54" s="79">
        <f>'REC Spend projected'!AA52</f>
        <v>-4047927930.5642805</v>
      </c>
      <c r="R54" s="79">
        <f>'REC Spend projected'!AE53</f>
        <v>-4918163100.5060873</v>
      </c>
      <c r="T54" s="78" t="s">
        <v>39</v>
      </c>
      <c r="U54" s="210">
        <f t="shared" si="9"/>
        <v>120274205.72189598</v>
      </c>
      <c r="V54" s="210"/>
      <c r="W54" s="210">
        <f t="shared" si="13"/>
        <v>48635120.358237773</v>
      </c>
      <c r="X54" s="210">
        <f t="shared" si="14"/>
        <v>462789650.00639051</v>
      </c>
      <c r="Y54" s="210">
        <f t="shared" si="10"/>
        <v>21199673.729561392</v>
      </c>
      <c r="Z54" s="210">
        <f t="shared" si="11"/>
        <v>-4047927930.5642805</v>
      </c>
    </row>
    <row r="57" spans="2:27" ht="15.75" thickBot="1" x14ac:dyDescent="0.3">
      <c r="B57" s="1" t="s">
        <v>42</v>
      </c>
    </row>
    <row r="58" spans="2:27" ht="15.75" customHeight="1" thickBot="1" x14ac:dyDescent="0.3">
      <c r="B58" s="352"/>
      <c r="C58" s="353"/>
      <c r="D58" s="353"/>
      <c r="E58" s="354"/>
      <c r="F58" s="355"/>
      <c r="G58" s="358"/>
      <c r="H58" s="356"/>
      <c r="I58" s="357"/>
      <c r="J58" s="356"/>
      <c r="K58" s="357"/>
      <c r="L58" s="72"/>
      <c r="M58" s="299"/>
      <c r="N58" s="299"/>
      <c r="O58" s="299"/>
      <c r="P58" s="299"/>
      <c r="Q58" s="299"/>
      <c r="R58" s="299"/>
      <c r="S58" s="299"/>
    </row>
    <row r="59" spans="2:27" ht="23.25" thickBot="1" x14ac:dyDescent="0.3">
      <c r="B59" s="73" t="s">
        <v>1</v>
      </c>
      <c r="C59" s="74" t="s">
        <v>273</v>
      </c>
      <c r="D59" s="74" t="s">
        <v>312</v>
      </c>
      <c r="E59" s="75" t="s">
        <v>88</v>
      </c>
      <c r="F59" s="75" t="s">
        <v>89</v>
      </c>
      <c r="G59" s="75" t="s">
        <v>90</v>
      </c>
      <c r="H59" s="75" t="s">
        <v>91</v>
      </c>
      <c r="I59" s="75" t="s">
        <v>92</v>
      </c>
      <c r="J59" s="75" t="s">
        <v>93</v>
      </c>
      <c r="K59" s="75" t="s">
        <v>94</v>
      </c>
      <c r="L59" s="75" t="s">
        <v>95</v>
      </c>
      <c r="M59" s="75" t="s">
        <v>96</v>
      </c>
      <c r="N59" s="192" t="s">
        <v>314</v>
      </c>
      <c r="O59" s="75" t="s">
        <v>329</v>
      </c>
      <c r="P59" s="74" t="s">
        <v>316</v>
      </c>
      <c r="Q59" s="74" t="s">
        <v>330</v>
      </c>
      <c r="R59" s="76" t="s">
        <v>228</v>
      </c>
      <c r="S59" s="76"/>
      <c r="T59" s="193" t="s">
        <v>1</v>
      </c>
      <c r="U59" s="76" t="s">
        <v>183</v>
      </c>
      <c r="V59" s="76"/>
      <c r="W59" s="76" t="s">
        <v>88</v>
      </c>
      <c r="X59" s="76" t="s">
        <v>336</v>
      </c>
      <c r="Y59" s="76" t="s">
        <v>333</v>
      </c>
      <c r="Z59" s="76" t="s">
        <v>337</v>
      </c>
      <c r="AA59" s="76"/>
    </row>
    <row r="60" spans="2:27" ht="15.75" thickBot="1" x14ac:dyDescent="0.3">
      <c r="B60" s="78" t="s">
        <v>16</v>
      </c>
      <c r="C60" s="79">
        <f>SUM('ABP Under Contract'!K62:P62)</f>
        <v>160401463.97399998</v>
      </c>
      <c r="D60" s="79">
        <f>'REC Spend projected'!H58+'REC Spend projected'!I58+'REC Spend projected'!J58+'REC Spend projected'!K58+'REC Spend projected'!L58</f>
        <v>27118112.830711424</v>
      </c>
      <c r="E60" s="79">
        <f>E4*'REC Spend projected'!$B$56</f>
        <v>0</v>
      </c>
      <c r="F60" s="79">
        <f>F4*'REC Spend projected'!$B$56</f>
        <v>0</v>
      </c>
      <c r="G60" s="79">
        <f>G4*'REC Spend projected'!$B$56</f>
        <v>0</v>
      </c>
      <c r="H60" s="79">
        <f>H4*'REC Spend projected'!$B$56</f>
        <v>0</v>
      </c>
      <c r="I60" s="79">
        <f>I4*'REC Spend projected'!$B$56</f>
        <v>0</v>
      </c>
      <c r="J60" s="79">
        <f>J4*'REC Spend projected'!$B$56</f>
        <v>0</v>
      </c>
      <c r="K60" s="79">
        <f>K4*'REC Spend projected'!$B$56</f>
        <v>0</v>
      </c>
      <c r="L60" s="79">
        <f>L4*'REC Spend projected'!$B$56</f>
        <v>0</v>
      </c>
      <c r="M60" s="79">
        <f>M4*'REC Spend projected'!$B$56</f>
        <v>0</v>
      </c>
      <c r="N60" s="79">
        <f>SUM(F60:M60)</f>
        <v>0</v>
      </c>
      <c r="O60" s="79">
        <f>O4*'REC Spend projected'!$B$56</f>
        <v>12710186.330507539</v>
      </c>
      <c r="P60" s="79">
        <f t="shared" ref="P60:P82" si="15">SUM(C60:O60)</f>
        <v>200229763.13521895</v>
      </c>
      <c r="Q60" s="79">
        <f>'REC Spend projected'!AA58</f>
        <v>204555086.45917991</v>
      </c>
      <c r="R60" s="79">
        <f>'REC Spend projected'!AE58</f>
        <v>172309205.51128989</v>
      </c>
      <c r="T60" s="194" t="s">
        <v>16</v>
      </c>
      <c r="U60" s="210">
        <f t="shared" ref="U60:U82" si="16">SUM(C60:D60)</f>
        <v>187519576.8047114</v>
      </c>
      <c r="V60" s="210"/>
      <c r="W60" s="210">
        <f t="shared" ref="W60:W82" si="17">E60</f>
        <v>0</v>
      </c>
      <c r="X60" s="210">
        <f>SUM(F60:M60)</f>
        <v>0</v>
      </c>
      <c r="Y60" s="210">
        <f t="shared" ref="Y60:Y82" si="18">O60</f>
        <v>12710186.330507539</v>
      </c>
      <c r="Z60" s="210">
        <f t="shared" ref="Z60:Z82" si="19">Q60</f>
        <v>204555086.45917991</v>
      </c>
    </row>
    <row r="61" spans="2:27" ht="15.75" thickBot="1" x14ac:dyDescent="0.3">
      <c r="B61" s="78" t="s">
        <v>17</v>
      </c>
      <c r="C61" s="79">
        <f>SUM('ABP Under Contract'!K63:P63)</f>
        <v>143019807.67000002</v>
      </c>
      <c r="D61" s="79">
        <f>'REC Spend projected'!H59+'REC Spend projected'!I59+'REC Spend projected'!J59+'REC Spend projected'!K59+'REC Spend projected'!L59</f>
        <v>32362467.661667578</v>
      </c>
      <c r="E61" s="79">
        <f>E5*'REC Spend projected'!$B$56</f>
        <v>0</v>
      </c>
      <c r="F61" s="79">
        <f>F5*'REC Spend projected'!$B$56</f>
        <v>0</v>
      </c>
      <c r="G61" s="79">
        <f>G5*'REC Spend projected'!$B$56</f>
        <v>0</v>
      </c>
      <c r="H61" s="79">
        <f>H5*'REC Spend projected'!$B$56</f>
        <v>0</v>
      </c>
      <c r="I61" s="79">
        <f>I5*'REC Spend projected'!$B$56</f>
        <v>0</v>
      </c>
      <c r="J61" s="79">
        <f>J5*'REC Spend projected'!$B$56</f>
        <v>0</v>
      </c>
      <c r="K61" s="79">
        <f>K5*'REC Spend projected'!$B$56</f>
        <v>0</v>
      </c>
      <c r="L61" s="79">
        <f>L5*'REC Spend projected'!$B$56</f>
        <v>0</v>
      </c>
      <c r="M61" s="79">
        <f>M5*'REC Spend projected'!$B$56</f>
        <v>0</v>
      </c>
      <c r="N61" s="79">
        <f t="shared" ref="N61:N82" si="20">SUM(F61:M61)</f>
        <v>0</v>
      </c>
      <c r="O61" s="79">
        <f>O5*'REC Spend projected'!$B$56</f>
        <v>52157421.085757352</v>
      </c>
      <c r="P61" s="79">
        <f t="shared" si="15"/>
        <v>227539696.41742495</v>
      </c>
      <c r="Q61" s="79">
        <f>'REC Spend projected'!AA58</f>
        <v>204555086.45917991</v>
      </c>
      <c r="R61" s="79">
        <f>'REC Spend projected'!AE59</f>
        <v>273024345.6146028</v>
      </c>
      <c r="T61" s="194" t="s">
        <v>17</v>
      </c>
      <c r="U61" s="210">
        <f t="shared" si="16"/>
        <v>175382275.3316676</v>
      </c>
      <c r="V61" s="210"/>
      <c r="W61" s="210">
        <f t="shared" si="17"/>
        <v>0</v>
      </c>
      <c r="X61" s="210">
        <f t="shared" ref="X61:X82" si="21">SUM(F61:M61)</f>
        <v>0</v>
      </c>
      <c r="Y61" s="210">
        <f t="shared" si="18"/>
        <v>52157421.085757352</v>
      </c>
      <c r="Z61" s="210">
        <f t="shared" si="19"/>
        <v>204555086.45917991</v>
      </c>
    </row>
    <row r="62" spans="2:27" ht="15.75" thickBot="1" x14ac:dyDescent="0.3">
      <c r="B62" s="78" t="s">
        <v>18</v>
      </c>
      <c r="C62" s="79">
        <f>SUM('ABP Under Contract'!K64:P64)</f>
        <v>184330524.92599988</v>
      </c>
      <c r="D62" s="79">
        <f>'REC Spend projected'!H60+'REC Spend projected'!I60+'REC Spend projected'!J60+'REC Spend projected'!K60+'REC Spend projected'!L60</f>
        <v>33454514.518896408</v>
      </c>
      <c r="E62" s="79">
        <f>E6*'REC Spend projected'!$B$56</f>
        <v>0</v>
      </c>
      <c r="F62" s="79">
        <f>F6*'REC Spend projected'!$B$56</f>
        <v>0</v>
      </c>
      <c r="G62" s="79">
        <f>G6*'REC Spend projected'!$B$56</f>
        <v>0</v>
      </c>
      <c r="H62" s="79">
        <f>H6*'REC Spend projected'!$B$56</f>
        <v>0</v>
      </c>
      <c r="I62" s="79">
        <f>I6*'REC Spend projected'!$B$56</f>
        <v>0</v>
      </c>
      <c r="J62" s="79">
        <f>J6*'REC Spend projected'!$B$56</f>
        <v>0</v>
      </c>
      <c r="K62" s="79">
        <f>K6*'REC Spend projected'!$B$56</f>
        <v>0</v>
      </c>
      <c r="L62" s="79">
        <f>L6*'REC Spend projected'!$B$56</f>
        <v>0</v>
      </c>
      <c r="M62" s="79">
        <f>M6*'REC Spend projected'!$B$56</f>
        <v>0</v>
      </c>
      <c r="N62" s="79">
        <f t="shared" si="20"/>
        <v>0</v>
      </c>
      <c r="O62" s="79">
        <f>O6*'REC Spend projected'!$B$56</f>
        <v>47700647.153309263</v>
      </c>
      <c r="P62" s="79">
        <f t="shared" si="15"/>
        <v>265485686.59820554</v>
      </c>
      <c r="Q62" s="79">
        <f>'REC Spend projected'!AA59</f>
        <v>172309205.51128989</v>
      </c>
      <c r="R62" s="79">
        <f>'REC Spend projected'!AE60</f>
        <v>436684104.23170507</v>
      </c>
      <c r="T62" s="194" t="s">
        <v>18</v>
      </c>
      <c r="U62" s="210">
        <f t="shared" si="16"/>
        <v>217785039.44489628</v>
      </c>
      <c r="V62" s="210"/>
      <c r="W62" s="210">
        <f t="shared" si="17"/>
        <v>0</v>
      </c>
      <c r="X62" s="210">
        <f t="shared" si="21"/>
        <v>0</v>
      </c>
      <c r="Y62" s="210">
        <f t="shared" si="18"/>
        <v>47700647.153309263</v>
      </c>
      <c r="Z62" s="210">
        <f t="shared" si="19"/>
        <v>172309205.51128989</v>
      </c>
    </row>
    <row r="63" spans="2:27" ht="15.75" thickBot="1" x14ac:dyDescent="0.3">
      <c r="B63" s="78" t="s">
        <v>19</v>
      </c>
      <c r="C63" s="79">
        <f>SUM('ABP Under Contract'!K65:P65)</f>
        <v>371458642.00749969</v>
      </c>
      <c r="D63" s="79">
        <f>'REC Spend projected'!H61+'REC Spend projected'!I61+'REC Spend projected'!J61+'REC Spend projected'!K61+'REC Spend projected'!L61</f>
        <v>30213283.199631654</v>
      </c>
      <c r="E63" s="79">
        <f>E7*'REC Spend projected'!$B$56</f>
        <v>0</v>
      </c>
      <c r="F63" s="79">
        <f>F7*'REC Spend projected'!$B$56</f>
        <v>0</v>
      </c>
      <c r="G63" s="79">
        <f>G7*'REC Spend projected'!$B$56</f>
        <v>0</v>
      </c>
      <c r="H63" s="79">
        <f>H7*'REC Spend projected'!$B$56</f>
        <v>0</v>
      </c>
      <c r="I63" s="79">
        <f>I7*'REC Spend projected'!$B$56</f>
        <v>0</v>
      </c>
      <c r="J63" s="79">
        <f>J7*'REC Spend projected'!$B$56</f>
        <v>0</v>
      </c>
      <c r="K63" s="79">
        <f>K7*'REC Spend projected'!$B$56</f>
        <v>0</v>
      </c>
      <c r="L63" s="79">
        <f>L7*'REC Spend projected'!$B$56</f>
        <v>0</v>
      </c>
      <c r="M63" s="79">
        <f>M7*'REC Spend projected'!$B$56</f>
        <v>0</v>
      </c>
      <c r="N63" s="79">
        <f t="shared" si="20"/>
        <v>0</v>
      </c>
      <c r="O63" s="79">
        <f>O7*'REC Spend projected'!$B$56</f>
        <v>47488156.088719279</v>
      </c>
      <c r="P63" s="79">
        <f t="shared" si="15"/>
        <v>449160081.29585063</v>
      </c>
      <c r="Q63" s="79">
        <f>'REC Spend projected'!AA60</f>
        <v>273024345.6146028</v>
      </c>
      <c r="R63" s="79">
        <f>'REC Spend projected'!AE61</f>
        <v>444540765.93473375</v>
      </c>
      <c r="T63" s="194" t="s">
        <v>19</v>
      </c>
      <c r="U63" s="210">
        <f t="shared" si="16"/>
        <v>401671925.20713133</v>
      </c>
      <c r="V63" s="210"/>
      <c r="W63" s="210">
        <f t="shared" si="17"/>
        <v>0</v>
      </c>
      <c r="X63" s="210">
        <f t="shared" si="21"/>
        <v>0</v>
      </c>
      <c r="Y63" s="210">
        <f t="shared" si="18"/>
        <v>47488156.088719279</v>
      </c>
      <c r="Z63" s="210">
        <f t="shared" si="19"/>
        <v>273024345.6146028</v>
      </c>
    </row>
    <row r="64" spans="2:27" ht="15.75" thickBot="1" x14ac:dyDescent="0.3">
      <c r="B64" s="78" t="s">
        <v>21</v>
      </c>
      <c r="C64" s="79">
        <f>SUM('ABP Under Contract'!K66:P66)</f>
        <v>255218727.30608323</v>
      </c>
      <c r="D64" s="79">
        <f>'REC Spend projected'!H62+'REC Spend projected'!I62+'REC Spend projected'!J62+'REC Spend projected'!K62+'REC Spend projected'!L62</f>
        <v>30087083.632756982</v>
      </c>
      <c r="E64" s="79">
        <f>E8*'REC Spend projected'!$B$56</f>
        <v>0</v>
      </c>
      <c r="F64" s="79">
        <f>F8*'REC Spend projected'!$B$56</f>
        <v>0</v>
      </c>
      <c r="G64" s="79">
        <f>G8*'REC Spend projected'!$B$56</f>
        <v>0</v>
      </c>
      <c r="H64" s="79">
        <f>H8*'REC Spend projected'!$B$56</f>
        <v>0</v>
      </c>
      <c r="I64" s="79">
        <f>I8*'REC Spend projected'!$B$56</f>
        <v>0</v>
      </c>
      <c r="J64" s="79">
        <f>J8*'REC Spend projected'!$B$56</f>
        <v>0</v>
      </c>
      <c r="K64" s="79">
        <f>K8*'REC Spend projected'!$B$56</f>
        <v>0</v>
      </c>
      <c r="L64" s="79">
        <f>L8*'REC Spend projected'!$B$56</f>
        <v>0</v>
      </c>
      <c r="M64" s="79">
        <f>M8*'REC Spend projected'!$B$56</f>
        <v>0</v>
      </c>
      <c r="N64" s="79">
        <f t="shared" si="20"/>
        <v>0</v>
      </c>
      <c r="O64" s="79">
        <f>O8*'REC Spend projected'!$B$56</f>
        <v>54454344.210888281</v>
      </c>
      <c r="P64" s="79">
        <f t="shared" si="15"/>
        <v>339760155.14972848</v>
      </c>
      <c r="Q64" s="79">
        <f>'REC Spend projected'!AA61</f>
        <v>436684104.23170507</v>
      </c>
      <c r="R64" s="79">
        <f>'REC Spend projected'!AE62</f>
        <v>472796235.530141</v>
      </c>
      <c r="T64" s="194" t="s">
        <v>21</v>
      </c>
      <c r="U64" s="210">
        <f t="shared" si="16"/>
        <v>285305810.93884021</v>
      </c>
      <c r="V64" s="210"/>
      <c r="W64" s="210">
        <f t="shared" si="17"/>
        <v>0</v>
      </c>
      <c r="X64" s="210">
        <f t="shared" si="21"/>
        <v>0</v>
      </c>
      <c r="Y64" s="210">
        <f t="shared" si="18"/>
        <v>54454344.210888281</v>
      </c>
      <c r="Z64" s="210">
        <f t="shared" si="19"/>
        <v>436684104.23170507</v>
      </c>
    </row>
    <row r="65" spans="2:26" ht="15.75" thickBot="1" x14ac:dyDescent="0.3">
      <c r="B65" s="78" t="s">
        <v>22</v>
      </c>
      <c r="C65" s="79">
        <f>SUM('ABP Under Contract'!K67:P67)</f>
        <v>316389348.82841671</v>
      </c>
      <c r="D65" s="79">
        <f>'REC Spend projected'!H63+'REC Spend projected'!I63+'REC Spend projected'!J63+'REC Spend projected'!K63+'REC Spend projected'!L63</f>
        <v>49597052.943824343</v>
      </c>
      <c r="E65" s="79">
        <f>E9*'REC Spend projected'!$B$56</f>
        <v>23729120.561044578</v>
      </c>
      <c r="F65" s="79">
        <f>F9*'REC Spend projected'!$B$56</f>
        <v>0</v>
      </c>
      <c r="G65" s="79">
        <f>G9*'REC Spend projected'!$B$56</f>
        <v>0</v>
      </c>
      <c r="H65" s="79">
        <f>H9*'REC Spend projected'!$B$56</f>
        <v>0</v>
      </c>
      <c r="I65" s="79">
        <f>I9*'REC Spend projected'!$B$56</f>
        <v>0</v>
      </c>
      <c r="J65" s="79">
        <f>J9*'REC Spend projected'!$B$56</f>
        <v>0</v>
      </c>
      <c r="K65" s="79">
        <f>K9*'REC Spend projected'!$B$56</f>
        <v>0</v>
      </c>
      <c r="L65" s="79">
        <f>L9*'REC Spend projected'!$B$56</f>
        <v>0</v>
      </c>
      <c r="M65" s="79">
        <f>M9*'REC Spend projected'!$B$56</f>
        <v>0</v>
      </c>
      <c r="N65" s="79">
        <f t="shared" si="20"/>
        <v>0</v>
      </c>
      <c r="O65" s="79">
        <f>O9*'REC Spend projected'!$B$56</f>
        <v>47363348.80970525</v>
      </c>
      <c r="P65" s="79">
        <f t="shared" si="15"/>
        <v>437078871.14299089</v>
      </c>
      <c r="Q65" s="79">
        <f>'REC Spend projected'!AA62</f>
        <v>444540765.93473375</v>
      </c>
      <c r="R65" s="79">
        <f>'REC Spend projected'!AE63</f>
        <v>433601758.2093581</v>
      </c>
      <c r="T65" s="194" t="s">
        <v>22</v>
      </c>
      <c r="U65" s="210">
        <f t="shared" si="16"/>
        <v>365986401.77224106</v>
      </c>
      <c r="V65" s="210"/>
      <c r="W65" s="210">
        <f t="shared" si="17"/>
        <v>23729120.561044578</v>
      </c>
      <c r="X65" s="210">
        <f t="shared" si="21"/>
        <v>0</v>
      </c>
      <c r="Y65" s="210">
        <f t="shared" si="18"/>
        <v>47363348.80970525</v>
      </c>
      <c r="Z65" s="210">
        <f t="shared" si="19"/>
        <v>444540765.93473375</v>
      </c>
    </row>
    <row r="66" spans="2:26" ht="15.75" thickBot="1" x14ac:dyDescent="0.3">
      <c r="B66" s="78" t="s">
        <v>23</v>
      </c>
      <c r="C66" s="79">
        <f>SUM('ABP Under Contract'!K68:P68)</f>
        <v>184251320.69350001</v>
      </c>
      <c r="D66" s="79">
        <f>'REC Spend projected'!H64+'REC Spend projected'!I64+'REC Spend projected'!J64+'REC Spend projected'!K64+'REC Spend projected'!L64</f>
        <v>102936469.15444924</v>
      </c>
      <c r="E66" s="79">
        <f>E10*'REC Spend projected'!$B$56</f>
        <v>23729120.561044578</v>
      </c>
      <c r="F66" s="79">
        <f>F10*'REC Spend projected'!$B$56</f>
        <v>0</v>
      </c>
      <c r="G66" s="79">
        <f>G10*'REC Spend projected'!$B$56</f>
        <v>0</v>
      </c>
      <c r="H66" s="79">
        <f>H10*'REC Spend projected'!$B$56</f>
        <v>0</v>
      </c>
      <c r="I66" s="79">
        <f>I10*'REC Spend projected'!$B$56</f>
        <v>0</v>
      </c>
      <c r="J66" s="79">
        <f>J10*'REC Spend projected'!$B$56</f>
        <v>0</v>
      </c>
      <c r="K66" s="79">
        <f>K10*'REC Spend projected'!$B$56</f>
        <v>0</v>
      </c>
      <c r="L66" s="79">
        <f>L10*'REC Spend projected'!$B$56</f>
        <v>0</v>
      </c>
      <c r="M66" s="79">
        <f>M10*'REC Spend projected'!$B$56</f>
        <v>0</v>
      </c>
      <c r="N66" s="79">
        <f>SUM(F66:M66)</f>
        <v>0</v>
      </c>
      <c r="O66" s="79">
        <f>O10*'REC Spend projected'!$B$56</f>
        <v>47327619.834304109</v>
      </c>
      <c r="P66" s="79">
        <f t="shared" si="15"/>
        <v>358244530.24329793</v>
      </c>
      <c r="Q66" s="79">
        <f>'REC Spend projected'!AA63</f>
        <v>472796235.530141</v>
      </c>
      <c r="R66" s="79">
        <f>'REC Spend projected'!AE64</f>
        <v>313728401.5965054</v>
      </c>
      <c r="T66" s="194" t="s">
        <v>23</v>
      </c>
      <c r="U66" s="210">
        <f t="shared" si="16"/>
        <v>287187789.84794927</v>
      </c>
      <c r="V66" s="210"/>
      <c r="W66" s="210">
        <f t="shared" si="17"/>
        <v>23729120.561044578</v>
      </c>
      <c r="X66" s="210">
        <f t="shared" si="21"/>
        <v>0</v>
      </c>
      <c r="Y66" s="210">
        <f t="shared" si="18"/>
        <v>47327619.834304109</v>
      </c>
      <c r="Z66" s="210">
        <f t="shared" si="19"/>
        <v>472796235.530141</v>
      </c>
    </row>
    <row r="67" spans="2:26" ht="15.75" thickBot="1" x14ac:dyDescent="0.3">
      <c r="B67" s="78" t="s">
        <v>24</v>
      </c>
      <c r="C67" s="79">
        <f>SUM('ABP Under Contract'!K69:P69)</f>
        <v>164627806.58958337</v>
      </c>
      <c r="D67" s="79">
        <f>'REC Spend projected'!H65+'REC Spend projected'!I65+'REC Spend projected'!J65+'REC Spend projected'!K65+'REC Spend projected'!L65</f>
        <v>174826925.10478315</v>
      </c>
      <c r="E67" s="79">
        <f>E11*'REC Spend projected'!$B$56</f>
        <v>108474498.17599823</v>
      </c>
      <c r="F67" s="79">
        <f>F11*'REC Spend projected'!$B$56</f>
        <v>0</v>
      </c>
      <c r="G67" s="79">
        <f>G11*'REC Spend projected'!$B$56</f>
        <v>0</v>
      </c>
      <c r="H67" s="79">
        <f>H11*'REC Spend projected'!$B$56</f>
        <v>0</v>
      </c>
      <c r="I67" s="79">
        <f>I11*'REC Spend projected'!$B$56</f>
        <v>0</v>
      </c>
      <c r="J67" s="79">
        <f>J11*'REC Spend projected'!$B$56</f>
        <v>0</v>
      </c>
      <c r="K67" s="79">
        <f>K11*'REC Spend projected'!$B$56</f>
        <v>0</v>
      </c>
      <c r="L67" s="79">
        <f>L11*'REC Spend projected'!$B$56</f>
        <v>0</v>
      </c>
      <c r="M67" s="79">
        <f>M11*'REC Spend projected'!$B$56</f>
        <v>0</v>
      </c>
      <c r="N67" s="79">
        <f>SUM(F67:M67)</f>
        <v>0</v>
      </c>
      <c r="O67" s="79">
        <f>O11*'REC Spend projected'!$B$56</f>
        <v>54529102.374625653</v>
      </c>
      <c r="P67" s="79">
        <f t="shared" si="15"/>
        <v>502458332.24499035</v>
      </c>
      <c r="Q67" s="79">
        <f>'REC Spend projected'!AA64</f>
        <v>433601758.2093581</v>
      </c>
      <c r="R67" s="79">
        <f>'REC Spend projected'!AE65</f>
        <v>97002455.236564636</v>
      </c>
      <c r="T67" s="194" t="s">
        <v>24</v>
      </c>
      <c r="U67" s="210">
        <f t="shared" si="16"/>
        <v>339454731.69436651</v>
      </c>
      <c r="V67" s="210"/>
      <c r="W67" s="210">
        <f t="shared" si="17"/>
        <v>108474498.17599823</v>
      </c>
      <c r="X67" s="210">
        <f t="shared" si="21"/>
        <v>0</v>
      </c>
      <c r="Y67" s="210">
        <f t="shared" si="18"/>
        <v>54529102.374625653</v>
      </c>
      <c r="Z67" s="210">
        <f t="shared" si="19"/>
        <v>433601758.2093581</v>
      </c>
    </row>
    <row r="68" spans="2:26" ht="15.75" thickBot="1" x14ac:dyDescent="0.3">
      <c r="B68" s="81" t="s">
        <v>25</v>
      </c>
      <c r="C68" s="79">
        <f>SUM('ABP Under Contract'!K70:P70)</f>
        <v>152454151.08958331</v>
      </c>
      <c r="D68" s="79">
        <f>'REC Spend projected'!H66+'REC Spend projected'!I66+'REC Spend projected'!J66+'REC Spend projected'!K66+'REC Spend projected'!L66</f>
        <v>197988423.25052714</v>
      </c>
      <c r="E68" s="79">
        <f>E12*'REC Spend projected'!$B$56</f>
        <v>139701884.87098169</v>
      </c>
      <c r="F68" s="79">
        <f>F12*'REC Spend projected'!$B$56</f>
        <v>159281592.14918908</v>
      </c>
      <c r="G68" s="79">
        <f>G12*'REC Spend projected'!$B$56</f>
        <v>0</v>
      </c>
      <c r="H68" s="79">
        <f>H12*'REC Spend projected'!$B$56</f>
        <v>0</v>
      </c>
      <c r="I68" s="79">
        <f>I12*'REC Spend projected'!$B$56</f>
        <v>0</v>
      </c>
      <c r="J68" s="79">
        <f>J12*'REC Spend projected'!$B$56</f>
        <v>0</v>
      </c>
      <c r="K68" s="79">
        <f>K12*'REC Spend projected'!$B$56</f>
        <v>0</v>
      </c>
      <c r="L68" s="79">
        <f>L12*'REC Spend projected'!$B$56</f>
        <v>0</v>
      </c>
      <c r="M68" s="79">
        <f>M12*'REC Spend projected'!$B$56</f>
        <v>0</v>
      </c>
      <c r="N68" s="79">
        <f t="shared" si="20"/>
        <v>159281592.14918908</v>
      </c>
      <c r="O68" s="79">
        <f>O12*'REC Spend projected'!$B$56</f>
        <v>47712434.727725275</v>
      </c>
      <c r="P68" s="79">
        <f t="shared" si="15"/>
        <v>856420078.23719561</v>
      </c>
      <c r="Q68" s="79">
        <f>'REC Spend projected'!AA65</f>
        <v>313728401.5965054</v>
      </c>
      <c r="R68" s="79">
        <f>'REC Spend projected'!AE66</f>
        <v>-219542341.02284646</v>
      </c>
      <c r="T68" s="195" t="s">
        <v>25</v>
      </c>
      <c r="U68" s="210">
        <f t="shared" si="16"/>
        <v>350442574.34011042</v>
      </c>
      <c r="V68" s="210"/>
      <c r="W68" s="210">
        <f t="shared" si="17"/>
        <v>139701884.87098169</v>
      </c>
      <c r="X68" s="210">
        <f t="shared" si="21"/>
        <v>159281592.14918908</v>
      </c>
      <c r="Y68" s="210">
        <f t="shared" si="18"/>
        <v>47712434.727725275</v>
      </c>
      <c r="Z68" s="210">
        <f t="shared" si="19"/>
        <v>313728401.5965054</v>
      </c>
    </row>
    <row r="69" spans="2:26" ht="15.75" thickBot="1" x14ac:dyDescent="0.3">
      <c r="B69" s="78" t="s">
        <v>26</v>
      </c>
      <c r="C69" s="79">
        <f>SUM('ABP Under Contract'!K71:P71)</f>
        <v>152080746.57958335</v>
      </c>
      <c r="D69" s="79">
        <f>'REC Spend projected'!H67+'REC Spend projected'!I67+'REC Spend projected'!J67+'REC Spend projected'!K67+'REC Spend projected'!L67</f>
        <v>202115333.71473876</v>
      </c>
      <c r="E69" s="79">
        <f>E13*'REC Spend projected'!$B$56</f>
        <v>144026292.68546817</v>
      </c>
      <c r="F69" s="79">
        <f>F13*'REC Spend projected'!$B$56</f>
        <v>286079877.81109309</v>
      </c>
      <c r="G69" s="79">
        <f>G13*'REC Spend projected'!$B$56</f>
        <v>0</v>
      </c>
      <c r="H69" s="79">
        <f>H13*'REC Spend projected'!$B$56</f>
        <v>0</v>
      </c>
      <c r="I69" s="79">
        <f>I13*'REC Spend projected'!$B$56</f>
        <v>0</v>
      </c>
      <c r="J69" s="79">
        <f>J13*'REC Spend projected'!$B$56</f>
        <v>0</v>
      </c>
      <c r="K69" s="79">
        <f>K13*'REC Spend projected'!$B$56</f>
        <v>0</v>
      </c>
      <c r="L69" s="79">
        <f>L13*'REC Spend projected'!$B$56</f>
        <v>0</v>
      </c>
      <c r="M69" s="79">
        <f>M13*'REC Spend projected'!$B$56</f>
        <v>0</v>
      </c>
      <c r="N69" s="79">
        <f t="shared" si="20"/>
        <v>286079877.81109309</v>
      </c>
      <c r="O69" s="79">
        <f>O13*'REC Spend projected'!$B$56</f>
        <v>48053264.371405192</v>
      </c>
      <c r="P69" s="79">
        <f t="shared" si="15"/>
        <v>1118435392.9733818</v>
      </c>
      <c r="Q69" s="79">
        <f>'REC Spend projected'!AA66</f>
        <v>97002455.236564636</v>
      </c>
      <c r="R69" s="79">
        <f>'REC Spend projected'!AE67</f>
        <v>-641493768.79570615</v>
      </c>
      <c r="T69" s="194" t="s">
        <v>26</v>
      </c>
      <c r="U69" s="210">
        <f t="shared" si="16"/>
        <v>354196080.29432213</v>
      </c>
      <c r="V69" s="210"/>
      <c r="W69" s="210">
        <f t="shared" si="17"/>
        <v>144026292.68546817</v>
      </c>
      <c r="X69" s="210">
        <f t="shared" si="21"/>
        <v>286079877.81109309</v>
      </c>
      <c r="Y69" s="210">
        <f t="shared" si="18"/>
        <v>48053264.371405192</v>
      </c>
      <c r="Z69" s="210">
        <f t="shared" si="19"/>
        <v>97002455.236564636</v>
      </c>
    </row>
    <row r="70" spans="2:26" ht="15.75" thickBot="1" x14ac:dyDescent="0.3">
      <c r="B70" s="78" t="s">
        <v>27</v>
      </c>
      <c r="C70" s="79">
        <f>SUM('ABP Under Contract'!K72:P72)</f>
        <v>149640337.3845</v>
      </c>
      <c r="D70" s="79">
        <f>'REC Spend projected'!H68+'REC Spend projected'!I68+'REC Spend projected'!J68+'REC Spend projected'!K68+'REC Spend projected'!L68</f>
        <v>201990129.20412162</v>
      </c>
      <c r="E70" s="79">
        <f>E14*'REC Spend projected'!$B$56</f>
        <v>145943025.02537748</v>
      </c>
      <c r="F70" s="79">
        <f>F14*'REC Spend projected'!$B$56</f>
        <v>264755221.80644545</v>
      </c>
      <c r="G70" s="79">
        <f>G14*'REC Spend projected'!$B$56</f>
        <v>146793915.32469264</v>
      </c>
      <c r="H70" s="79">
        <f>H14*'REC Spend projected'!$B$56</f>
        <v>0</v>
      </c>
      <c r="I70" s="79">
        <f>I14*'REC Spend projected'!$B$56</f>
        <v>0</v>
      </c>
      <c r="J70" s="79">
        <f>J14*'REC Spend projected'!$B$56</f>
        <v>0</v>
      </c>
      <c r="K70" s="79">
        <f>K14*'REC Spend projected'!$B$56</f>
        <v>0</v>
      </c>
      <c r="L70" s="79">
        <f>L14*'REC Spend projected'!$B$56</f>
        <v>0</v>
      </c>
      <c r="M70" s="79">
        <f>M14*'REC Spend projected'!$B$56</f>
        <v>0</v>
      </c>
      <c r="N70" s="79">
        <f t="shared" si="20"/>
        <v>411549137.13113809</v>
      </c>
      <c r="O70" s="79">
        <f>O14*'REC Spend projected'!$B$56</f>
        <v>55574394.886166878</v>
      </c>
      <c r="P70" s="79">
        <f t="shared" si="15"/>
        <v>1376246160.7624421</v>
      </c>
      <c r="Q70" s="79">
        <f>'REC Spend projected'!AA67</f>
        <v>-219542341.02284646</v>
      </c>
      <c r="R70" s="79">
        <f>'REC Spend projected'!AE68</f>
        <v>-1170024564.0190217</v>
      </c>
      <c r="T70" s="194" t="s">
        <v>27</v>
      </c>
      <c r="U70" s="210">
        <f t="shared" si="16"/>
        <v>351630466.58862162</v>
      </c>
      <c r="V70" s="210"/>
      <c r="W70" s="210">
        <f t="shared" si="17"/>
        <v>145943025.02537748</v>
      </c>
      <c r="X70" s="210">
        <f t="shared" si="21"/>
        <v>411549137.13113809</v>
      </c>
      <c r="Y70" s="210">
        <f t="shared" si="18"/>
        <v>55574394.886166878</v>
      </c>
      <c r="Z70" s="210">
        <f t="shared" si="19"/>
        <v>-219542341.02284646</v>
      </c>
    </row>
    <row r="71" spans="2:26" ht="15.75" thickBot="1" x14ac:dyDescent="0.3">
      <c r="B71" s="78" t="s">
        <v>28</v>
      </c>
      <c r="C71" s="79">
        <f>SUM('ABP Under Contract'!K73:P73)</f>
        <v>127148872.42866667</v>
      </c>
      <c r="D71" s="79">
        <f>'REC Spend projected'!H69+'REC Spend projected'!I69+'REC Spend projected'!J69+'REC Spend projected'!K69+'REC Spend projected'!L69</f>
        <v>206877771.06940654</v>
      </c>
      <c r="E71" s="79">
        <f>E15*'REC Spend projected'!$B$56</f>
        <v>145691348.54641306</v>
      </c>
      <c r="F71" s="79">
        <f>F15*'REC Spend projected'!$B$56</f>
        <v>266752856.89785936</v>
      </c>
      <c r="G71" s="79">
        <f>G15*'REC Spend projected'!$B$56</f>
        <v>258781643.16223943</v>
      </c>
      <c r="H71" s="79">
        <f>H15*'REC Spend projected'!$B$56</f>
        <v>0</v>
      </c>
      <c r="I71" s="79">
        <f>I15*'REC Spend projected'!$B$56</f>
        <v>0</v>
      </c>
      <c r="J71" s="79">
        <f>J15*'REC Spend projected'!$B$56</f>
        <v>0</v>
      </c>
      <c r="K71" s="79">
        <f>K15*'REC Spend projected'!$B$56</f>
        <v>0</v>
      </c>
      <c r="L71" s="79">
        <f>L15*'REC Spend projected'!$B$56</f>
        <v>0</v>
      </c>
      <c r="M71" s="79">
        <f>M15*'REC Spend projected'!$B$56</f>
        <v>0</v>
      </c>
      <c r="N71" s="79">
        <f>SUM(F71:M71)</f>
        <v>525534500.06009877</v>
      </c>
      <c r="O71" s="79">
        <f>O15*'REC Spend projected'!$B$56</f>
        <v>49051343.514901236</v>
      </c>
      <c r="P71" s="79">
        <f t="shared" si="15"/>
        <v>1579838335.679585</v>
      </c>
      <c r="Q71" s="79">
        <f>'REC Spend projected'!AA68</f>
        <v>-641493768.79570615</v>
      </c>
      <c r="R71" s="79">
        <f>'REC Spend projected'!AE69</f>
        <v>-1720068160.5248406</v>
      </c>
      <c r="T71" s="194" t="s">
        <v>28</v>
      </c>
      <c r="U71" s="210">
        <f t="shared" si="16"/>
        <v>334026643.49807322</v>
      </c>
      <c r="V71" s="210"/>
      <c r="W71" s="210">
        <f t="shared" si="17"/>
        <v>145691348.54641306</v>
      </c>
      <c r="X71" s="210">
        <f t="shared" si="21"/>
        <v>525534500.06009877</v>
      </c>
      <c r="Y71" s="210">
        <f t="shared" si="18"/>
        <v>49051343.514901236</v>
      </c>
      <c r="Z71" s="210">
        <f t="shared" si="19"/>
        <v>-641493768.79570615</v>
      </c>
    </row>
    <row r="72" spans="2:26" ht="15.75" thickBot="1" x14ac:dyDescent="0.3">
      <c r="B72" s="78" t="s">
        <v>29</v>
      </c>
      <c r="C72" s="79">
        <f>SUM('ABP Under Contract'!K74:P74)</f>
        <v>99535742.264583319</v>
      </c>
      <c r="D72" s="79">
        <f>'REC Spend projected'!H70+'REC Spend projected'!I70+'REC Spend projected'!J70+'REC Spend projected'!K70+'REC Spend projected'!L70</f>
        <v>207113270.86528352</v>
      </c>
      <c r="E72" s="79">
        <f>E16*'REC Spend projected'!$B$56</f>
        <v>140760280.89440864</v>
      </c>
      <c r="F72" s="79">
        <f>F16*'REC Spend projected'!$B$56</f>
        <v>268357349.28794989</v>
      </c>
      <c r="G72" s="79">
        <f>G16*'REC Spend projected'!$B$56</f>
        <v>241145857.60473618</v>
      </c>
      <c r="H72" s="79">
        <f>H16*'REC Spend projected'!$B$56</f>
        <v>135285272.36323673</v>
      </c>
      <c r="I72" s="79">
        <f>I16*'REC Spend projected'!$B$56</f>
        <v>0</v>
      </c>
      <c r="J72" s="79">
        <f>J16*'REC Spend projected'!$B$56</f>
        <v>0</v>
      </c>
      <c r="K72" s="79">
        <f>K16*'REC Spend projected'!$B$56</f>
        <v>0</v>
      </c>
      <c r="L72" s="79">
        <f>L16*'REC Spend projected'!$B$56</f>
        <v>0</v>
      </c>
      <c r="M72" s="79">
        <f>M16*'REC Spend projected'!$B$56</f>
        <v>0</v>
      </c>
      <c r="N72" s="79">
        <f t="shared" si="20"/>
        <v>644788479.25592279</v>
      </c>
      <c r="O72" s="79">
        <f>O16*'REC Spend projected'!$B$56</f>
        <v>49596162.807908453</v>
      </c>
      <c r="P72" s="79">
        <f t="shared" si="15"/>
        <v>1786582415.3440297</v>
      </c>
      <c r="Q72" s="79">
        <f>'REC Spend projected'!AA69</f>
        <v>-1170024564.0190217</v>
      </c>
      <c r="R72" s="79">
        <f>'REC Spend projected'!AE70</f>
        <v>-2334316209.7497587</v>
      </c>
      <c r="T72" s="194" t="s">
        <v>29</v>
      </c>
      <c r="U72" s="210">
        <f t="shared" si="16"/>
        <v>306649013.12986684</v>
      </c>
      <c r="V72" s="210"/>
      <c r="W72" s="210">
        <f t="shared" si="17"/>
        <v>140760280.89440864</v>
      </c>
      <c r="X72" s="210">
        <f t="shared" si="21"/>
        <v>644788479.25592279</v>
      </c>
      <c r="Y72" s="210">
        <f t="shared" si="18"/>
        <v>49596162.807908453</v>
      </c>
      <c r="Z72" s="210">
        <f t="shared" si="19"/>
        <v>-1170024564.0190217</v>
      </c>
    </row>
    <row r="73" spans="2:26" ht="15.75" thickBot="1" x14ac:dyDescent="0.3">
      <c r="B73" s="78" t="s">
        <v>30</v>
      </c>
      <c r="C73" s="79">
        <f>SUM('ABP Under Contract'!K75:P75)</f>
        <v>71140385.049999982</v>
      </c>
      <c r="D73" s="79">
        <f>'REC Spend projected'!H71+'REC Spend projected'!I71+'REC Spend projected'!J71+'REC Spend projected'!K71+'REC Spend projected'!L71</f>
        <v>195559274.7516813</v>
      </c>
      <c r="E73" s="79">
        <f>E17*'REC Spend projected'!$B$56</f>
        <v>113557312.75674099</v>
      </c>
      <c r="F73" s="79">
        <f>F17*'REC Spend projected'!$B$56</f>
        <v>271099454.30462456</v>
      </c>
      <c r="G73" s="79">
        <f>G17*'REC Spend projected'!$B$56</f>
        <v>243703899.32909</v>
      </c>
      <c r="H73" s="79">
        <f>H17*'REC Spend projected'!$B$56</f>
        <v>211494252.32182494</v>
      </c>
      <c r="I73" s="79">
        <f>I17*'REC Spend projected'!$B$56</f>
        <v>0</v>
      </c>
      <c r="J73" s="79">
        <f>J17*'REC Spend projected'!$B$56</f>
        <v>0</v>
      </c>
      <c r="K73" s="79">
        <f>K17*'REC Spend projected'!$B$56</f>
        <v>0</v>
      </c>
      <c r="L73" s="79">
        <f>L17*'REC Spend projected'!$B$56</f>
        <v>0</v>
      </c>
      <c r="M73" s="79">
        <f>M17*'REC Spend projected'!$B$56</f>
        <v>0</v>
      </c>
      <c r="N73" s="79">
        <f t="shared" si="20"/>
        <v>726297605.95553946</v>
      </c>
      <c r="O73" s="79">
        <f>O17*'REC Spend projected'!$B$56</f>
        <v>50082002.488508314</v>
      </c>
      <c r="P73" s="79">
        <f t="shared" si="15"/>
        <v>1882934186.9580095</v>
      </c>
      <c r="Q73" s="79">
        <f>'REC Spend projected'!AA70</f>
        <v>-1720068160.5248406</v>
      </c>
      <c r="R73" s="79">
        <f>'REC Spend projected'!AE71</f>
        <v>-2881745718.1655459</v>
      </c>
      <c r="T73" s="194" t="s">
        <v>30</v>
      </c>
      <c r="U73" s="210">
        <f t="shared" si="16"/>
        <v>266699659.80168128</v>
      </c>
      <c r="V73" s="210"/>
      <c r="W73" s="210">
        <f t="shared" si="17"/>
        <v>113557312.75674099</v>
      </c>
      <c r="X73" s="210">
        <f t="shared" si="21"/>
        <v>726297605.95553946</v>
      </c>
      <c r="Y73" s="210">
        <f t="shared" si="18"/>
        <v>50082002.488508314</v>
      </c>
      <c r="Z73" s="210">
        <f t="shared" si="19"/>
        <v>-1720068160.5248406</v>
      </c>
    </row>
    <row r="74" spans="2:26" ht="15.75" thickBot="1" x14ac:dyDescent="0.3">
      <c r="B74" s="78" t="s">
        <v>31</v>
      </c>
      <c r="C74" s="79">
        <f>SUM('ABP Under Contract'!K76:P76)</f>
        <v>70784079.13000001</v>
      </c>
      <c r="D74" s="79">
        <f>'REC Spend projected'!H72+'REC Spend projected'!I72+'REC Spend projected'!J72+'REC Spend projected'!K72+'REC Spend projected'!L72</f>
        <v>185332269.92980325</v>
      </c>
      <c r="E74" s="79">
        <f>E18*'REC Spend projected'!$B$56</f>
        <v>103915614.10667321</v>
      </c>
      <c r="F74" s="79">
        <f>F18*'REC Spend projected'!$B$56</f>
        <v>267648778.83714473</v>
      </c>
      <c r="G74" s="79">
        <f>G18*'REC Spend projected'!$B$56</f>
        <v>241405356.3181622</v>
      </c>
      <c r="H74" s="79">
        <f>H18*'REC Spend projected'!$B$56</f>
        <v>159599948.13338268</v>
      </c>
      <c r="I74" s="79">
        <f>I18*'REC Spend projected'!$B$56</f>
        <v>124678907.00995897</v>
      </c>
      <c r="J74" s="79">
        <f>J18*'REC Spend projected'!$B$56</f>
        <v>0</v>
      </c>
      <c r="K74" s="79">
        <f>K18*'REC Spend projected'!$B$56</f>
        <v>0</v>
      </c>
      <c r="L74" s="79">
        <f>L18*'REC Spend projected'!$B$56</f>
        <v>0</v>
      </c>
      <c r="M74" s="79">
        <f>M18*'REC Spend projected'!$B$56</f>
        <v>0</v>
      </c>
      <c r="N74" s="79">
        <f t="shared" si="20"/>
        <v>793332990.2986486</v>
      </c>
      <c r="O74" s="79">
        <f>O18*'REC Spend projected'!$B$56</f>
        <v>50532743.696945682</v>
      </c>
      <c r="P74" s="79">
        <f t="shared" si="15"/>
        <v>1997230687.4607193</v>
      </c>
      <c r="Q74" s="79">
        <f>'REC Spend projected'!AA71</f>
        <v>-2334316209.7497587</v>
      </c>
      <c r="R74" s="79">
        <f>'REC Spend projected'!AE72</f>
        <v>-3416599455.6855326</v>
      </c>
      <c r="T74" s="194" t="s">
        <v>31</v>
      </c>
      <c r="U74" s="210">
        <f t="shared" si="16"/>
        <v>256116349.05980325</v>
      </c>
      <c r="V74" s="210"/>
      <c r="W74" s="210">
        <f t="shared" si="17"/>
        <v>103915614.10667321</v>
      </c>
      <c r="X74" s="210">
        <f t="shared" si="21"/>
        <v>793332990.2986486</v>
      </c>
      <c r="Y74" s="210">
        <f t="shared" si="18"/>
        <v>50532743.696945682</v>
      </c>
      <c r="Z74" s="210">
        <f t="shared" si="19"/>
        <v>-2334316209.7497587</v>
      </c>
    </row>
    <row r="75" spans="2:26" ht="15.75" thickBot="1" x14ac:dyDescent="0.3">
      <c r="B75" s="78" t="s">
        <v>32</v>
      </c>
      <c r="C75" s="79">
        <f>SUM('ABP Under Contract'!K77:P77)</f>
        <v>70430578.260000035</v>
      </c>
      <c r="D75" s="79">
        <f>'REC Spend projected'!H73+'REC Spend projected'!I73+'REC Spend projected'!J73+'REC Spend projected'!K73+'REC Spend projected'!L73</f>
        <v>201455651.08262134</v>
      </c>
      <c r="E75" s="79">
        <f>E19*'REC Spend projected'!$B$56</f>
        <v>98689534.03734009</v>
      </c>
      <c r="F75" s="79">
        <f>F19*'REC Spend projected'!$B$56</f>
        <v>232387916.81600073</v>
      </c>
      <c r="G75" s="79">
        <f>G19*'REC Spend projected'!$B$56</f>
        <v>233300763.68247077</v>
      </c>
      <c r="H75" s="79">
        <f>H19*'REC Spend projected'!$B$56</f>
        <v>155122515.41660127</v>
      </c>
      <c r="I75" s="79">
        <f>I19*'REC Spend projected'!$B$56</f>
        <v>135475040.10792565</v>
      </c>
      <c r="J75" s="79">
        <f>J19*'REC Spend projected'!$B$56</f>
        <v>0</v>
      </c>
      <c r="K75" s="79">
        <f>K19*'REC Spend projected'!$B$56</f>
        <v>0</v>
      </c>
      <c r="L75" s="79">
        <f>L19*'REC Spend projected'!$B$56</f>
        <v>0</v>
      </c>
      <c r="M75" s="79">
        <f>M19*'REC Spend projected'!$B$56</f>
        <v>0</v>
      </c>
      <c r="N75" s="79">
        <f t="shared" si="20"/>
        <v>756286236.02299845</v>
      </c>
      <c r="O75" s="79">
        <f>O19*'REC Spend projected'!$B$56</f>
        <v>50883087.505261667</v>
      </c>
      <c r="P75" s="79">
        <f t="shared" si="15"/>
        <v>1934031322.9312198</v>
      </c>
      <c r="Q75" s="79">
        <f>'REC Spend projected'!AA72</f>
        <v>-2881745718.1655459</v>
      </c>
      <c r="R75" s="79">
        <f>'REC Spend projected'!AE73</f>
        <v>-3950773523.2737355</v>
      </c>
      <c r="T75" s="194" t="s">
        <v>32</v>
      </c>
      <c r="U75" s="210">
        <f t="shared" si="16"/>
        <v>271886229.34262139</v>
      </c>
      <c r="V75" s="210"/>
      <c r="W75" s="210">
        <f t="shared" si="17"/>
        <v>98689534.03734009</v>
      </c>
      <c r="X75" s="210">
        <f t="shared" si="21"/>
        <v>756286236.02299845</v>
      </c>
      <c r="Y75" s="210">
        <f t="shared" si="18"/>
        <v>50883087.505261667</v>
      </c>
      <c r="Z75" s="210">
        <f t="shared" si="19"/>
        <v>-2881745718.1655459</v>
      </c>
    </row>
    <row r="76" spans="2:26" ht="15.75" thickBot="1" x14ac:dyDescent="0.3">
      <c r="B76" s="78" t="s">
        <v>33</v>
      </c>
      <c r="C76" s="79">
        <f>SUM('ABP Under Contract'!K78:P78)</f>
        <v>70078508.870000005</v>
      </c>
      <c r="D76" s="79">
        <f>'REC Spend projected'!H74+'REC Spend projected'!I74+'REC Spend projected'!J74+'REC Spend projected'!K74+'REC Spend projected'!L74</f>
        <v>201189528.95518917</v>
      </c>
      <c r="E76" s="79">
        <f>E20*'REC Spend projected'!$B$56</f>
        <v>107594873.9514356</v>
      </c>
      <c r="F76" s="79">
        <f>F20*'REC Spend projected'!$B$56</f>
        <v>203879802.81740603</v>
      </c>
      <c r="G76" s="79">
        <f>G20*'REC Spend projected'!$B$56</f>
        <v>232033002.49675786</v>
      </c>
      <c r="H76" s="79">
        <f>H20*'REC Spend projected'!$B$56</f>
        <v>156137477.96733227</v>
      </c>
      <c r="I76" s="79">
        <f>I20*'REC Spend projected'!$B$56</f>
        <v>132796972.43181704</v>
      </c>
      <c r="J76" s="79">
        <f>J20*'REC Spend projected'!$B$56</f>
        <v>57452040.350189082</v>
      </c>
      <c r="K76" s="79">
        <f>K20*'REC Spend projected'!$B$56</f>
        <v>0</v>
      </c>
      <c r="L76" s="79">
        <f>L20*'REC Spend projected'!$B$56</f>
        <v>0</v>
      </c>
      <c r="M76" s="79">
        <f>M20*'REC Spend projected'!$B$56</f>
        <v>0</v>
      </c>
      <c r="N76" s="79">
        <f t="shared" si="20"/>
        <v>782299296.06350231</v>
      </c>
      <c r="O76" s="79">
        <f>O20*'REC Spend projected'!$B$56</f>
        <v>51139680.817022331</v>
      </c>
      <c r="P76" s="79">
        <f t="shared" si="15"/>
        <v>1994601184.7206516</v>
      </c>
      <c r="Q76" s="79">
        <f>'REC Spend projected'!AA73</f>
        <v>-3416599455.6855326</v>
      </c>
      <c r="R76" s="79">
        <f>'REC Spend projected'!AE74</f>
        <v>-4498322591.8027534</v>
      </c>
      <c r="T76" s="194" t="s">
        <v>33</v>
      </c>
      <c r="U76" s="210">
        <f t="shared" si="16"/>
        <v>271268037.82518917</v>
      </c>
      <c r="V76" s="210"/>
      <c r="W76" s="210">
        <f t="shared" si="17"/>
        <v>107594873.9514356</v>
      </c>
      <c r="X76" s="210">
        <f t="shared" si="21"/>
        <v>782299296.06350231</v>
      </c>
      <c r="Y76" s="210">
        <f t="shared" si="18"/>
        <v>51139680.817022331</v>
      </c>
      <c r="Z76" s="210">
        <f t="shared" si="19"/>
        <v>-3416599455.6855326</v>
      </c>
    </row>
    <row r="77" spans="2:26" ht="15.75" thickBot="1" x14ac:dyDescent="0.3">
      <c r="B77" s="78" t="s">
        <v>34</v>
      </c>
      <c r="C77" s="79">
        <f>SUM('ABP Under Contract'!K79:P79)</f>
        <v>69728075.059999987</v>
      </c>
      <c r="D77" s="79">
        <f>'REC Spend projected'!H75+'REC Spend projected'!I75+'REC Spend projected'!J75+'REC Spend projected'!K75+'REC Spend projected'!L75</f>
        <v>198816421.08334145</v>
      </c>
      <c r="E77" s="79">
        <f>E21*'REC Spend projected'!$B$56</f>
        <v>111262483.54894671</v>
      </c>
      <c r="F77" s="79">
        <f>F21*'REC Spend projected'!$B$56</f>
        <v>212803427.51281053</v>
      </c>
      <c r="G77" s="79">
        <f>G21*'REC Spend projected'!$B$56</f>
        <v>220183971.47110683</v>
      </c>
      <c r="H77" s="79">
        <f>H21*'REC Spend projected'!$B$56</f>
        <v>161564714.27225202</v>
      </c>
      <c r="I77" s="79">
        <f>I21*'REC Spend projected'!$B$56</f>
        <v>138188762.73864028</v>
      </c>
      <c r="J77" s="79">
        <f>J21*'REC Spend projected'!$B$56</f>
        <v>114162686.91739859</v>
      </c>
      <c r="K77" s="79">
        <f>K21*'REC Spend projected'!$B$56</f>
        <v>0</v>
      </c>
      <c r="L77" s="79">
        <f>L21*'REC Spend projected'!$B$56</f>
        <v>0</v>
      </c>
      <c r="M77" s="79">
        <f>M21*'REC Spend projected'!$B$56</f>
        <v>0</v>
      </c>
      <c r="N77" s="79">
        <f t="shared" si="20"/>
        <v>846903562.9122082</v>
      </c>
      <c r="O77" s="79">
        <f>O21*'REC Spend projected'!$B$56</f>
        <v>51248575.922051914</v>
      </c>
      <c r="P77" s="79">
        <f t="shared" si="15"/>
        <v>2124862681.4387565</v>
      </c>
      <c r="Q77" s="79">
        <f>'REC Spend projected'!AA74</f>
        <v>-3950773523.2737355</v>
      </c>
      <c r="R77" s="79">
        <f>'REC Spend projected'!AE75</f>
        <v>-5109514657.4842062</v>
      </c>
      <c r="T77" s="194" t="s">
        <v>34</v>
      </c>
      <c r="U77" s="210">
        <f t="shared" si="16"/>
        <v>268544496.14334142</v>
      </c>
      <c r="V77" s="210"/>
      <c r="W77" s="210">
        <f t="shared" si="17"/>
        <v>111262483.54894671</v>
      </c>
      <c r="X77" s="210">
        <f t="shared" si="21"/>
        <v>846903562.9122082</v>
      </c>
      <c r="Y77" s="210">
        <f t="shared" si="18"/>
        <v>51248575.922051914</v>
      </c>
      <c r="Z77" s="210">
        <f t="shared" si="19"/>
        <v>-3950773523.2737355</v>
      </c>
    </row>
    <row r="78" spans="2:26" ht="15.75" thickBot="1" x14ac:dyDescent="0.3">
      <c r="B78" s="78" t="s">
        <v>35</v>
      </c>
      <c r="C78" s="79">
        <f>SUM('ABP Under Contract'!K80:P80)</f>
        <v>69378916.470000029</v>
      </c>
      <c r="D78" s="79">
        <f>'REC Spend projected'!H76+'REC Spend projected'!I76+'REC Spend projected'!J76+'REC Spend projected'!K76+'REC Spend projected'!L76</f>
        <v>204393420.37371254</v>
      </c>
      <c r="E78" s="79">
        <f>E22*'REC Spend projected'!$B$56</f>
        <v>111916076.17234842</v>
      </c>
      <c r="F78" s="79">
        <f>F22*'REC Spend projected'!$B$56</f>
        <v>217762603.56487155</v>
      </c>
      <c r="G78" s="79">
        <f>G22*'REC Spend projected'!$B$56</f>
        <v>198165501.06610793</v>
      </c>
      <c r="H78" s="79">
        <f>H22*'REC Spend projected'!$B$56</f>
        <v>163525264.20060819</v>
      </c>
      <c r="I78" s="79">
        <f>I22*'REC Spend projected'!$B$56</f>
        <v>140194061.20604548</v>
      </c>
      <c r="J78" s="79">
        <f>J22*'REC Spend projected'!$B$56</f>
        <v>119414733.71270204</v>
      </c>
      <c r="K78" s="79">
        <f>K22*'REC Spend projected'!$B$56</f>
        <v>52947800.386734255</v>
      </c>
      <c r="L78" s="79">
        <f>L22*'REC Spend projected'!$B$56</f>
        <v>0</v>
      </c>
      <c r="M78" s="79">
        <f>M22*'REC Spend projected'!$B$56</f>
        <v>0</v>
      </c>
      <c r="N78" s="79">
        <f t="shared" si="20"/>
        <v>892009964.13706946</v>
      </c>
      <c r="O78" s="79">
        <f>O22*'REC Spend projected'!$B$56</f>
        <v>51352924.55422394</v>
      </c>
      <c r="P78" s="79">
        <f t="shared" si="15"/>
        <v>2221061265.8444242</v>
      </c>
      <c r="Q78" s="79">
        <f>'REC Spend projected'!AA75</f>
        <v>-4498322591.8027534</v>
      </c>
      <c r="R78" s="79">
        <f>'REC Spend projected'!AE76</f>
        <v>-5769571011.0864344</v>
      </c>
      <c r="T78" s="194" t="s">
        <v>35</v>
      </c>
      <c r="U78" s="210">
        <f t="shared" si="16"/>
        <v>273772336.84371257</v>
      </c>
      <c r="V78" s="210"/>
      <c r="W78" s="210">
        <f t="shared" si="17"/>
        <v>111916076.17234842</v>
      </c>
      <c r="X78" s="210">
        <f t="shared" si="21"/>
        <v>892009964.13706946</v>
      </c>
      <c r="Y78" s="210">
        <f t="shared" si="18"/>
        <v>51352924.55422394</v>
      </c>
      <c r="Z78" s="210">
        <f t="shared" si="19"/>
        <v>-4498322591.8027534</v>
      </c>
    </row>
    <row r="79" spans="2:26" ht="15.75" thickBot="1" x14ac:dyDescent="0.3">
      <c r="B79" s="78" t="s">
        <v>36</v>
      </c>
      <c r="C79" s="79">
        <f>SUM('ABP Under Contract'!K81:P81)</f>
        <v>69032712.080000013</v>
      </c>
      <c r="D79" s="79">
        <f>'REC Spend projected'!H77+'REC Spend projected'!I77+'REC Spend projected'!J77+'REC Spend projected'!K77+'REC Spend projected'!L77</f>
        <v>209432208.3696644</v>
      </c>
      <c r="E79" s="79">
        <f>E23*'REC Spend projected'!$B$56</f>
        <v>114433387.44032808</v>
      </c>
      <c r="F79" s="79">
        <f>F23*'REC Spend projected'!$B$56</f>
        <v>220612102.456788</v>
      </c>
      <c r="G79" s="79">
        <f>G23*'REC Spend projected'!$B$56</f>
        <v>196819135.84636196</v>
      </c>
      <c r="H79" s="79">
        <f>H23*'REC Spend projected'!$B$56</f>
        <v>142714362.55482092</v>
      </c>
      <c r="I79" s="79">
        <f>I23*'REC Spend projected'!$B$56</f>
        <v>141539638.81699345</v>
      </c>
      <c r="J79" s="79">
        <f>J23*'REC Spend projected'!$B$56</f>
        <v>120723310.51935212</v>
      </c>
      <c r="K79" s="79">
        <f>K23*'REC Spend projected'!$B$56</f>
        <v>110470359.0246993</v>
      </c>
      <c r="L79" s="79">
        <f>L23*'REC Spend projected'!$B$56</f>
        <v>0</v>
      </c>
      <c r="M79" s="79">
        <f>M23*'REC Spend projected'!$B$56</f>
        <v>0</v>
      </c>
      <c r="N79" s="79">
        <f t="shared" si="20"/>
        <v>932878909.21901572</v>
      </c>
      <c r="O79" s="79">
        <f>O23*'REC Spend projected'!$B$56</f>
        <v>51419985.05940675</v>
      </c>
      <c r="P79" s="79">
        <f t="shared" si="15"/>
        <v>2310076111.3874307</v>
      </c>
      <c r="Q79" s="79">
        <f>'REC Spend projected'!AA76</f>
        <v>-5109514657.4842062</v>
      </c>
      <c r="R79" s="79">
        <f>'REC Spend projected'!AE77</f>
        <v>-6474005496.608099</v>
      </c>
      <c r="T79" s="194" t="s">
        <v>36</v>
      </c>
      <c r="U79" s="210">
        <f t="shared" si="16"/>
        <v>278464920.44966441</v>
      </c>
      <c r="V79" s="210"/>
      <c r="W79" s="210">
        <f t="shared" si="17"/>
        <v>114433387.44032808</v>
      </c>
      <c r="X79" s="210">
        <f t="shared" si="21"/>
        <v>932878909.21901572</v>
      </c>
      <c r="Y79" s="210">
        <f t="shared" si="18"/>
        <v>51419985.05940675</v>
      </c>
      <c r="Z79" s="210">
        <f t="shared" si="19"/>
        <v>-5109514657.4842062</v>
      </c>
    </row>
    <row r="80" spans="2:26" ht="15.75" thickBot="1" x14ac:dyDescent="0.3">
      <c r="B80" s="78" t="s">
        <v>37</v>
      </c>
      <c r="C80" s="79">
        <f>SUM('ABP Under Contract'!K82:P82)</f>
        <v>68687014.289999977</v>
      </c>
      <c r="D80" s="79">
        <f>'REC Spend projected'!H78+'REC Spend projected'!I78+'REC Spend projected'!J78+'REC Spend projected'!K78+'REC Spend projected'!L78</f>
        <v>209173954.7941131</v>
      </c>
      <c r="E80" s="79">
        <f>E24*'REC Spend projected'!$B$56</f>
        <v>116682142.08730415</v>
      </c>
      <c r="F80" s="79">
        <f>F24*'REC Spend projected'!$B$56</f>
        <v>225412558.25560319</v>
      </c>
      <c r="G80" s="79">
        <f>G24*'REC Spend projected'!$B$56</f>
        <v>201154246.97237647</v>
      </c>
      <c r="H80" s="79">
        <f>H24*'REC Spend projected'!$B$56</f>
        <v>120017175.86215617</v>
      </c>
      <c r="I80" s="79">
        <f>I24*'REC Spend projected'!$B$56</f>
        <v>143638743.06361046</v>
      </c>
      <c r="J80" s="79">
        <f>J24*'REC Spend projected'!$B$56</f>
        <v>122868728.51108956</v>
      </c>
      <c r="K80" s="79">
        <f>K24*'REC Spend projected'!$B$56</f>
        <v>120852906.01731941</v>
      </c>
      <c r="L80" s="79">
        <f>L24*'REC Spend projected'!$B$56</f>
        <v>48796692.836414285</v>
      </c>
      <c r="M80" s="79">
        <f>M24*'REC Spend projected'!$B$56</f>
        <v>0</v>
      </c>
      <c r="N80" s="79">
        <f t="shared" si="20"/>
        <v>982741051.51856959</v>
      </c>
      <c r="O80" s="79">
        <f>O24*'REC Spend projected'!$B$56</f>
        <v>51503961.372009054</v>
      </c>
      <c r="P80" s="79">
        <f t="shared" si="15"/>
        <v>2411529175.5805659</v>
      </c>
      <c r="Q80" s="79">
        <f>'REC Spend projected'!AA77</f>
        <v>-5769571011.0864344</v>
      </c>
      <c r="R80" s="79">
        <f>'REC Spend projected'!AE78</f>
        <v>-7236507972.9396591</v>
      </c>
      <c r="T80" s="194" t="s">
        <v>37</v>
      </c>
      <c r="U80" s="210">
        <f t="shared" si="16"/>
        <v>277860969.08411306</v>
      </c>
      <c r="V80" s="210"/>
      <c r="W80" s="210">
        <f t="shared" si="17"/>
        <v>116682142.08730415</v>
      </c>
      <c r="X80" s="210">
        <f t="shared" si="21"/>
        <v>982741051.51856959</v>
      </c>
      <c r="Y80" s="210">
        <f t="shared" si="18"/>
        <v>51503961.372009054</v>
      </c>
      <c r="Z80" s="210">
        <f t="shared" si="19"/>
        <v>-5769571011.0864344</v>
      </c>
    </row>
    <row r="81" spans="2:27" ht="15.75" thickBot="1" x14ac:dyDescent="0.3">
      <c r="B81" s="78" t="s">
        <v>38</v>
      </c>
      <c r="C81" s="79">
        <f>SUM('ABP Under Contract'!K83:P83)</f>
        <v>68344194.280000031</v>
      </c>
      <c r="D81" s="79">
        <f>'REC Spend projected'!H79+'REC Spend projected'!I79+'REC Spend projected'!J79+'REC Spend projected'!K79+'REC Spend projected'!L79</f>
        <v>212101860.30810025</v>
      </c>
      <c r="E81" s="79">
        <f>E25*'REC Spend projected'!$B$56</f>
        <v>117243572.84222591</v>
      </c>
      <c r="F81" s="79">
        <f>F25*'REC Spend projected'!$B$56</f>
        <v>228762629.67299053</v>
      </c>
      <c r="G81" s="79">
        <f>G25*'REC Spend projected'!$B$56</f>
        <v>204399323.65743774</v>
      </c>
      <c r="H81" s="79">
        <f>H25*'REC Spend projected'!$B$56</f>
        <v>117941452.76426433</v>
      </c>
      <c r="I81" s="79">
        <f>I25*'REC Spend projected'!$B$56</f>
        <v>124619051.50383285</v>
      </c>
      <c r="J81" s="79">
        <f>J25*'REC Spend projected'!$B$56</f>
        <v>124260714.17269857</v>
      </c>
      <c r="K81" s="79">
        <f>K25*'REC Spend projected'!$B$56</f>
        <v>122173136.61089161</v>
      </c>
      <c r="L81" s="79">
        <f>L25*'REC Spend projected'!$B$56</f>
        <v>107284308.93005297</v>
      </c>
      <c r="M81" s="79">
        <f>M25*'REC Spend projected'!$B$56</f>
        <v>0</v>
      </c>
      <c r="N81" s="79">
        <f t="shared" si="20"/>
        <v>1029440617.3121686</v>
      </c>
      <c r="O81" s="79">
        <f>O25*'REC Spend projected'!$B$56</f>
        <v>51567902.203970812</v>
      </c>
      <c r="P81" s="79">
        <f t="shared" si="15"/>
        <v>2508138764.2586346</v>
      </c>
      <c r="Q81" s="79">
        <f>'REC Spend projected'!AA78</f>
        <v>-6474005496.608099</v>
      </c>
      <c r="R81" s="79">
        <f>'REC Spend projected'!AE79</f>
        <v>-8015558815.0397673</v>
      </c>
      <c r="T81" s="194" t="s">
        <v>38</v>
      </c>
      <c r="U81" s="210">
        <f t="shared" si="16"/>
        <v>280446054.58810031</v>
      </c>
      <c r="V81" s="210"/>
      <c r="W81" s="210">
        <f t="shared" si="17"/>
        <v>117243572.84222591</v>
      </c>
      <c r="X81" s="210">
        <f t="shared" si="21"/>
        <v>1029440617.3121686</v>
      </c>
      <c r="Y81" s="210">
        <f t="shared" si="18"/>
        <v>51567902.203970812</v>
      </c>
      <c r="Z81" s="210">
        <f t="shared" si="19"/>
        <v>-6474005496.608099</v>
      </c>
    </row>
    <row r="82" spans="2:27" ht="15.75" thickBot="1" x14ac:dyDescent="0.3">
      <c r="B82" s="78" t="s">
        <v>39</v>
      </c>
      <c r="C82" s="79">
        <f>SUM('ABP Under Contract'!K84:P84)</f>
        <v>68002325.329999983</v>
      </c>
      <c r="D82" s="79">
        <f>'REC Spend projected'!H80+'REC Spend projected'!I80+'REC Spend projected'!J80+'REC Spend projected'!K80+'REC Spend projected'!L80</f>
        <v>206466723.44672084</v>
      </c>
      <c r="E82" s="79">
        <f>E26*'REC Spend projected'!$B$56</f>
        <v>118455195.317647</v>
      </c>
      <c r="F82" s="79">
        <f>F26*'REC Spend projected'!$B$56</f>
        <v>230637619.30764845</v>
      </c>
      <c r="G82" s="79">
        <f>G26*'REC Spend projected'!$B$56</f>
        <v>206031353.36537892</v>
      </c>
      <c r="H82" s="79">
        <f>H26*'REC Spend projected'!$B$56</f>
        <v>118721797.66672158</v>
      </c>
      <c r="I82" s="79">
        <f>I26*'REC Spend projected'!$B$56</f>
        <v>112417945.1294385</v>
      </c>
      <c r="J82" s="79">
        <f>J26*'REC Spend projected'!$B$56</f>
        <v>125128999.1475466</v>
      </c>
      <c r="K82" s="79">
        <f>K26*'REC Spend projected'!$B$56</f>
        <v>123050028.41573486</v>
      </c>
      <c r="L82" s="79">
        <f>L26*'REC Spend projected'!$B$56</f>
        <v>121235870.09997024</v>
      </c>
      <c r="M82" s="79">
        <f>M26*'REC Spend projected'!$B$56</f>
        <v>89942064.236078814</v>
      </c>
      <c r="N82" s="79">
        <f t="shared" si="20"/>
        <v>1127165677.3685181</v>
      </c>
      <c r="O82" s="79">
        <f>O26*'REC Spend projected'!$B$56</f>
        <v>51633705.72147125</v>
      </c>
      <c r="P82" s="79">
        <f t="shared" si="15"/>
        <v>2698889304.552875</v>
      </c>
      <c r="Q82" s="79">
        <f>'REC Spend projected'!AA79</f>
        <v>-7236507972.9396591</v>
      </c>
      <c r="R82" s="79">
        <f>'REC Spend projected'!AE80</f>
        <v>-8829402527.5065346</v>
      </c>
      <c r="T82" s="194" t="s">
        <v>39</v>
      </c>
      <c r="U82" s="210">
        <f t="shared" si="16"/>
        <v>274469048.77672082</v>
      </c>
      <c r="V82" s="210"/>
      <c r="W82" s="210">
        <f t="shared" si="17"/>
        <v>118455195.317647</v>
      </c>
      <c r="X82" s="210">
        <f t="shared" si="21"/>
        <v>1127165677.3685181</v>
      </c>
      <c r="Y82" s="210">
        <f t="shared" si="18"/>
        <v>51633705.72147125</v>
      </c>
      <c r="Z82" s="210">
        <f t="shared" si="19"/>
        <v>-7236507972.9396591</v>
      </c>
    </row>
    <row r="85" spans="2:27" ht="15.75" thickBot="1" x14ac:dyDescent="0.3">
      <c r="B85" s="1" t="s">
        <v>213</v>
      </c>
    </row>
    <row r="86" spans="2:27" ht="15.75" customHeight="1" thickBot="1" x14ac:dyDescent="0.3">
      <c r="B86" s="352"/>
      <c r="C86" s="353"/>
      <c r="D86" s="353"/>
      <c r="E86" s="354"/>
      <c r="F86" s="355"/>
      <c r="G86" s="358"/>
      <c r="H86" s="356"/>
      <c r="I86" s="357"/>
      <c r="J86" s="356"/>
      <c r="K86" s="357"/>
      <c r="L86" s="72"/>
      <c r="M86" s="299"/>
      <c r="N86" s="299"/>
      <c r="O86" s="299"/>
      <c r="P86" s="299"/>
      <c r="Q86" s="299"/>
      <c r="R86" s="299"/>
      <c r="S86" s="299"/>
    </row>
    <row r="87" spans="2:27" ht="23.25" thickBot="1" x14ac:dyDescent="0.3">
      <c r="B87" s="73" t="s">
        <v>1</v>
      </c>
      <c r="C87" s="74" t="s">
        <v>273</v>
      </c>
      <c r="D87" s="74" t="s">
        <v>312</v>
      </c>
      <c r="E87" s="75" t="s">
        <v>88</v>
      </c>
      <c r="F87" s="75" t="s">
        <v>89</v>
      </c>
      <c r="G87" s="75" t="s">
        <v>90</v>
      </c>
      <c r="H87" s="75" t="s">
        <v>91</v>
      </c>
      <c r="I87" s="75" t="s">
        <v>92</v>
      </c>
      <c r="J87" s="75" t="s">
        <v>93</v>
      </c>
      <c r="K87" s="75" t="s">
        <v>94</v>
      </c>
      <c r="L87" s="75" t="s">
        <v>95</v>
      </c>
      <c r="M87" s="75" t="s">
        <v>96</v>
      </c>
      <c r="N87" s="192" t="s">
        <v>314</v>
      </c>
      <c r="O87" s="75" t="s">
        <v>329</v>
      </c>
      <c r="P87" s="74" t="s">
        <v>316</v>
      </c>
      <c r="Q87" s="74" t="s">
        <v>330</v>
      </c>
      <c r="R87" s="76" t="s">
        <v>228</v>
      </c>
      <c r="S87" s="76"/>
      <c r="T87" s="193" t="s">
        <v>1</v>
      </c>
      <c r="U87" s="76" t="s">
        <v>183</v>
      </c>
      <c r="V87" s="76"/>
      <c r="W87" s="76" t="s">
        <v>88</v>
      </c>
      <c r="X87" s="76" t="s">
        <v>336</v>
      </c>
      <c r="Y87" s="76" t="s">
        <v>333</v>
      </c>
      <c r="Z87" s="76" t="s">
        <v>337</v>
      </c>
      <c r="AA87" s="76"/>
    </row>
    <row r="88" spans="2:27" ht="15.75" thickBot="1" x14ac:dyDescent="0.3">
      <c r="B88" s="78" t="s">
        <v>16</v>
      </c>
      <c r="C88" s="79">
        <f>SUM('ABP Under Contract'!K92:P92)</f>
        <v>40121.536</v>
      </c>
      <c r="D88" s="79">
        <f>'REC Spend projected'!H87+'REC Spend projected'!I87+'REC Spend projected'!J87+'REC Spend projected'!K87+'REC Spend projected'!L87</f>
        <v>74567.941677111041</v>
      </c>
      <c r="E88" s="79">
        <f>E4*'REC Spend projected'!$B$83</f>
        <v>0</v>
      </c>
      <c r="F88" s="79">
        <f>F4*'REC Spend projected'!$B$83</f>
        <v>0</v>
      </c>
      <c r="G88" s="79">
        <f>G4*'REC Spend projected'!$B$83</f>
        <v>0</v>
      </c>
      <c r="H88" s="79">
        <f>H4*'REC Spend projected'!$B$83</f>
        <v>0</v>
      </c>
      <c r="I88" s="79">
        <f>I4*'REC Spend projected'!$B$83</f>
        <v>0</v>
      </c>
      <c r="J88" s="79">
        <f>J4*'REC Spend projected'!$B$83</f>
        <v>0</v>
      </c>
      <c r="K88" s="79">
        <f>K4*'REC Spend projected'!$B$83</f>
        <v>0</v>
      </c>
      <c r="L88" s="79">
        <f>L4*'REC Spend projected'!$B$83</f>
        <v>0</v>
      </c>
      <c r="M88" s="79">
        <f>M4*'REC Spend projected'!$B$83</f>
        <v>0</v>
      </c>
      <c r="N88" s="79">
        <f>SUM(F88:M88)</f>
        <v>0</v>
      </c>
      <c r="O88" s="79">
        <f>O4*'REC Spend projected'!$B$83</f>
        <v>90168.358012699129</v>
      </c>
      <c r="P88" s="79">
        <f t="shared" ref="P88:P110" si="22">SUM(C88:O88)</f>
        <v>204857.83568981016</v>
      </c>
      <c r="Q88" s="79">
        <f>'REC Spend projected'!AC85</f>
        <v>1991511.2007337115</v>
      </c>
      <c r="R88" s="79">
        <f>'REC Spend projected'!AE85</f>
        <v>808238.05261965934</v>
      </c>
      <c r="T88" s="194" t="s">
        <v>16</v>
      </c>
      <c r="U88" s="210">
        <f t="shared" ref="U88:U110" si="23">SUM(C88:D88)</f>
        <v>114689.47767711105</v>
      </c>
      <c r="V88" s="210"/>
      <c r="W88" s="210">
        <f>E88</f>
        <v>0</v>
      </c>
      <c r="X88" s="210">
        <f>SUM(F88:M88)</f>
        <v>0</v>
      </c>
      <c r="Y88" s="210">
        <f t="shared" ref="Y88:Y110" si="24">O88</f>
        <v>90168.358012699129</v>
      </c>
      <c r="Z88" s="210">
        <f t="shared" ref="Z88:Z110" si="25">Q88</f>
        <v>1991511.2007337115</v>
      </c>
    </row>
    <row r="89" spans="2:27" ht="15.75" thickBot="1" x14ac:dyDescent="0.3">
      <c r="B89" s="78" t="s">
        <v>17</v>
      </c>
      <c r="C89" s="79">
        <f>SUM('ABP Under Contract'!K93:P93)</f>
        <v>372758.78399999999</v>
      </c>
      <c r="D89" s="79">
        <f>'REC Spend projected'!H88+'REC Spend projected'!I88+'REC Spend projected'!J88+'REC Spend projected'!K88+'REC Spend projected'!L88</f>
        <v>74566.48252909616</v>
      </c>
      <c r="E89" s="79">
        <f>E5*'REC Spend projected'!$B$83</f>
        <v>0</v>
      </c>
      <c r="F89" s="79">
        <f>F5*'REC Spend projected'!$B$83</f>
        <v>0</v>
      </c>
      <c r="G89" s="79">
        <f>G5*'REC Spend projected'!$B$83</f>
        <v>0</v>
      </c>
      <c r="H89" s="79">
        <f>H5*'REC Spend projected'!$B$83</f>
        <v>0</v>
      </c>
      <c r="I89" s="79">
        <f>I5*'REC Spend projected'!$B$83</f>
        <v>0</v>
      </c>
      <c r="J89" s="79">
        <f>J5*'REC Spend projected'!$B$83</f>
        <v>0</v>
      </c>
      <c r="K89" s="79">
        <f>K5*'REC Spend projected'!$B$83</f>
        <v>0</v>
      </c>
      <c r="L89" s="79">
        <f>L5*'REC Spend projected'!$B$83</f>
        <v>0</v>
      </c>
      <c r="M89" s="79">
        <f>M5*'REC Spend projected'!$B$83</f>
        <v>0</v>
      </c>
      <c r="N89" s="79">
        <f t="shared" ref="N89:N110" si="26">SUM(F89:M89)</f>
        <v>0</v>
      </c>
      <c r="O89" s="79">
        <f>O5*'REC Spend projected'!$B$83</f>
        <v>370014.16778536519</v>
      </c>
      <c r="P89" s="79">
        <f t="shared" si="22"/>
        <v>817339.43431446142</v>
      </c>
      <c r="Q89" s="79">
        <f>'REC Spend projected'!AC86</f>
        <v>1961671.5747863259</v>
      </c>
      <c r="R89" s="79">
        <f>'REC Spend projected'!AE86</f>
        <v>551470.90806772793</v>
      </c>
      <c r="T89" s="194" t="s">
        <v>17</v>
      </c>
      <c r="U89" s="210">
        <f t="shared" si="23"/>
        <v>447325.26652909617</v>
      </c>
      <c r="V89" s="210"/>
      <c r="W89" s="210">
        <f t="shared" ref="W89:W110" si="27">E89</f>
        <v>0</v>
      </c>
      <c r="X89" s="210">
        <f t="shared" ref="X89:X110" si="28">SUM(F89:M89)</f>
        <v>0</v>
      </c>
      <c r="Y89" s="210">
        <f t="shared" si="24"/>
        <v>370014.16778536519</v>
      </c>
      <c r="Z89" s="210">
        <f t="shared" si="25"/>
        <v>1961671.5747863259</v>
      </c>
    </row>
    <row r="90" spans="2:27" ht="15.75" thickBot="1" x14ac:dyDescent="0.3">
      <c r="B90" s="78" t="s">
        <v>18</v>
      </c>
      <c r="C90" s="79">
        <f>SUM('ABP Under Contract'!K94:P94)</f>
        <v>733278.48399999994</v>
      </c>
      <c r="D90" s="79">
        <f>'REC Spend projected'!H89+'REC Spend projected'!I89+'REC Spend projected'!J89+'REC Spend projected'!K89+'REC Spend projected'!L89</f>
        <v>74788.290340815671</v>
      </c>
      <c r="E90" s="79">
        <f>E6*'REC Spend projected'!$B$83</f>
        <v>0</v>
      </c>
      <c r="F90" s="79">
        <f>F6*'REC Spend projected'!$B$83</f>
        <v>0</v>
      </c>
      <c r="G90" s="79">
        <f>G6*'REC Spend projected'!$B$83</f>
        <v>0</v>
      </c>
      <c r="H90" s="79">
        <f>H6*'REC Spend projected'!$B$83</f>
        <v>0</v>
      </c>
      <c r="I90" s="79">
        <f>I6*'REC Spend projected'!$B$83</f>
        <v>0</v>
      </c>
      <c r="J90" s="79">
        <f>J6*'REC Spend projected'!$B$83</f>
        <v>0</v>
      </c>
      <c r="K90" s="79">
        <f>K6*'REC Spend projected'!$B$83</f>
        <v>0</v>
      </c>
      <c r="L90" s="79">
        <f>L6*'REC Spend projected'!$B$83</f>
        <v>0</v>
      </c>
      <c r="M90" s="79">
        <f>M6*'REC Spend projected'!$B$83</f>
        <v>0</v>
      </c>
      <c r="N90" s="79">
        <f t="shared" si="26"/>
        <v>0</v>
      </c>
      <c r="O90" s="79">
        <f>O6*'REC Spend projected'!$B$83</f>
        <v>338397.00836118881</v>
      </c>
      <c r="P90" s="79">
        <f t="shared" si="22"/>
        <v>1146463.7827020045</v>
      </c>
      <c r="Q90" s="79">
        <f>'REC Spend projected'!AC87</f>
        <v>1944119.1338745428</v>
      </c>
      <c r="R90" s="79">
        <f>'REC Spend projected'!AE87</f>
        <v>248724.37547579058</v>
      </c>
      <c r="T90" s="194" t="s">
        <v>18</v>
      </c>
      <c r="U90" s="210">
        <f t="shared" si="23"/>
        <v>808066.77434081561</v>
      </c>
      <c r="V90" s="210"/>
      <c r="W90" s="210">
        <f t="shared" si="27"/>
        <v>0</v>
      </c>
      <c r="X90" s="210">
        <f t="shared" si="28"/>
        <v>0</v>
      </c>
      <c r="Y90" s="210">
        <f t="shared" si="24"/>
        <v>338397.00836118881</v>
      </c>
      <c r="Z90" s="210">
        <f t="shared" si="25"/>
        <v>1944119.1338745428</v>
      </c>
    </row>
    <row r="91" spans="2:27" ht="15.75" thickBot="1" x14ac:dyDescent="0.3">
      <c r="B91" s="78" t="s">
        <v>19</v>
      </c>
      <c r="C91" s="79">
        <f>SUM('ABP Under Contract'!K95:P95)</f>
        <v>5768612.6539999992</v>
      </c>
      <c r="D91" s="79">
        <f>'REC Spend projected'!H90+'REC Spend projected'!I90+'REC Spend projected'!J90+'REC Spend projected'!K90+'REC Spend projected'!L90</f>
        <v>241835.18248105858</v>
      </c>
      <c r="E91" s="79">
        <f>E7*'REC Spend projected'!$B$83</f>
        <v>0</v>
      </c>
      <c r="F91" s="79">
        <f>F7*'REC Spend projected'!$B$83</f>
        <v>0</v>
      </c>
      <c r="G91" s="79">
        <f>G7*'REC Spend projected'!$B$83</f>
        <v>0</v>
      </c>
      <c r="H91" s="79">
        <f>H7*'REC Spend projected'!$B$83</f>
        <v>0</v>
      </c>
      <c r="I91" s="79">
        <f>I7*'REC Spend projected'!$B$83</f>
        <v>0</v>
      </c>
      <c r="J91" s="79">
        <f>J7*'REC Spend projected'!$B$83</f>
        <v>0</v>
      </c>
      <c r="K91" s="79">
        <f>K7*'REC Spend projected'!$B$83</f>
        <v>0</v>
      </c>
      <c r="L91" s="79">
        <f>L7*'REC Spend projected'!$B$83</f>
        <v>0</v>
      </c>
      <c r="M91" s="79">
        <f>M7*'REC Spend projected'!$B$83</f>
        <v>0</v>
      </c>
      <c r="N91" s="79">
        <f t="shared" si="26"/>
        <v>0</v>
      </c>
      <c r="O91" s="79">
        <f>O7*'REC Spend projected'!$B$83</f>
        <v>336889.55836099014</v>
      </c>
      <c r="P91" s="79">
        <f t="shared" si="22"/>
        <v>6347337.3948420482</v>
      </c>
      <c r="Q91" s="79">
        <f>'REC Spend projected'!AC88</f>
        <v>1631948.8146045515</v>
      </c>
      <c r="R91" s="79">
        <f>'REC Spend projected'!AE88</f>
        <v>-1145548.7438998977</v>
      </c>
      <c r="T91" s="194" t="s">
        <v>19</v>
      </c>
      <c r="U91" s="210">
        <f t="shared" si="23"/>
        <v>6010447.836481058</v>
      </c>
      <c r="V91" s="210"/>
      <c r="W91" s="210">
        <f t="shared" si="27"/>
        <v>0</v>
      </c>
      <c r="X91" s="210">
        <f t="shared" si="28"/>
        <v>0</v>
      </c>
      <c r="Y91" s="210">
        <f t="shared" si="24"/>
        <v>336889.55836099014</v>
      </c>
      <c r="Z91" s="210">
        <f t="shared" si="25"/>
        <v>1631948.8146045515</v>
      </c>
    </row>
    <row r="92" spans="2:27" ht="15.75" thickBot="1" x14ac:dyDescent="0.3">
      <c r="B92" s="78" t="s">
        <v>21</v>
      </c>
      <c r="C92" s="79">
        <f>SUM('ABP Under Contract'!K96:P96)</f>
        <v>4339966.42</v>
      </c>
      <c r="D92" s="79">
        <f>'REC Spend projected'!H91+'REC Spend projected'!I91+'REC Spend projected'!J91+'REC Spend projected'!K91+'REC Spend projected'!L91</f>
        <v>635224.64083046722</v>
      </c>
      <c r="E92" s="79">
        <f>E8*'REC Spend projected'!$B$83</f>
        <v>0</v>
      </c>
      <c r="F92" s="79">
        <f>F8*'REC Spend projected'!$B$83</f>
        <v>0</v>
      </c>
      <c r="G92" s="79">
        <f>G8*'REC Spend projected'!$B$83</f>
        <v>0</v>
      </c>
      <c r="H92" s="79">
        <f>H8*'REC Spend projected'!$B$83</f>
        <v>0</v>
      </c>
      <c r="I92" s="79">
        <f>I8*'REC Spend projected'!$B$83</f>
        <v>0</v>
      </c>
      <c r="J92" s="79">
        <f>J8*'REC Spend projected'!$B$83</f>
        <v>0</v>
      </c>
      <c r="K92" s="79">
        <f>K8*'REC Spend projected'!$B$83</f>
        <v>0</v>
      </c>
      <c r="L92" s="79">
        <f>L8*'REC Spend projected'!$B$83</f>
        <v>0</v>
      </c>
      <c r="M92" s="79">
        <f>M8*'REC Spend projected'!$B$83</f>
        <v>0</v>
      </c>
      <c r="N92" s="79">
        <f t="shared" si="26"/>
        <v>0</v>
      </c>
      <c r="O92" s="79">
        <f>O8*'REC Spend projected'!$B$83</f>
        <v>386308.9553902754</v>
      </c>
      <c r="P92" s="79">
        <f t="shared" si="22"/>
        <v>5361500.0162207428</v>
      </c>
      <c r="Q92" s="79">
        <f>'REC Spend projected'!AC89</f>
        <v>241495.49119809922</v>
      </c>
      <c r="R92" s="79">
        <f>'REC Spend projected'!AE89</f>
        <v>-2303542.8123915265</v>
      </c>
      <c r="T92" s="194" t="s">
        <v>21</v>
      </c>
      <c r="U92" s="210">
        <f t="shared" si="23"/>
        <v>4975191.0608304674</v>
      </c>
      <c r="V92" s="210"/>
      <c r="W92" s="210">
        <f t="shared" si="27"/>
        <v>0</v>
      </c>
      <c r="X92" s="210">
        <f t="shared" si="28"/>
        <v>0</v>
      </c>
      <c r="Y92" s="210">
        <f t="shared" si="24"/>
        <v>386308.9553902754</v>
      </c>
      <c r="Z92" s="210">
        <f t="shared" si="25"/>
        <v>241495.49119809922</v>
      </c>
    </row>
    <row r="93" spans="2:27" ht="15.75" thickBot="1" x14ac:dyDescent="0.3">
      <c r="B93" s="78" t="s">
        <v>22</v>
      </c>
      <c r="C93" s="79">
        <f>SUM('ABP Under Contract'!K97:P97)</f>
        <v>3372274.4359999998</v>
      </c>
      <c r="D93" s="79">
        <f>'REC Spend projected'!H92+'REC Spend projected'!I92+'REC Spend projected'!J92+'REC Spend projected'!K92+'REC Spend projected'!L92</f>
        <v>1170284.8066761529</v>
      </c>
      <c r="E93" s="79">
        <f>E9*'REC Spend projected'!$B$83</f>
        <v>168338.668091684</v>
      </c>
      <c r="F93" s="79">
        <f>F9*'REC Spend projected'!$B$83</f>
        <v>0</v>
      </c>
      <c r="G93" s="79">
        <f>G9*'REC Spend projected'!$B$83</f>
        <v>0</v>
      </c>
      <c r="H93" s="79">
        <f>H9*'REC Spend projected'!$B$83</f>
        <v>0</v>
      </c>
      <c r="I93" s="79">
        <f>I9*'REC Spend projected'!$B$83</f>
        <v>0</v>
      </c>
      <c r="J93" s="79">
        <f>J9*'REC Spend projected'!$B$83</f>
        <v>0</v>
      </c>
      <c r="K93" s="79">
        <f>K9*'REC Spend projected'!$B$83</f>
        <v>0</v>
      </c>
      <c r="L93" s="79">
        <f>L9*'REC Spend projected'!$B$83</f>
        <v>0</v>
      </c>
      <c r="M93" s="79">
        <f>M9*'REC Spend projected'!$B$83</f>
        <v>0</v>
      </c>
      <c r="N93" s="79">
        <f t="shared" si="26"/>
        <v>0</v>
      </c>
      <c r="O93" s="79">
        <f>O9*'REC Spend projected'!$B$83</f>
        <v>336004.1529763565</v>
      </c>
      <c r="P93" s="79">
        <f t="shared" si="22"/>
        <v>5046902.0637441929</v>
      </c>
      <c r="Q93" s="79">
        <f>'REC Spend projected'!AC90</f>
        <v>-991320.64158767508</v>
      </c>
      <c r="R93" s="79">
        <f>'REC Spend projected'!AE90</f>
        <v>-4080064.8182394267</v>
      </c>
      <c r="T93" s="194" t="s">
        <v>22</v>
      </c>
      <c r="U93" s="210">
        <f t="shared" si="23"/>
        <v>4542559.2426761528</v>
      </c>
      <c r="V93" s="210"/>
      <c r="W93" s="210">
        <f t="shared" si="27"/>
        <v>168338.668091684</v>
      </c>
      <c r="X93" s="210">
        <f t="shared" si="28"/>
        <v>0</v>
      </c>
      <c r="Y93" s="210">
        <f t="shared" si="24"/>
        <v>336004.1529763565</v>
      </c>
      <c r="Z93" s="210">
        <f t="shared" si="25"/>
        <v>-991320.64158767508</v>
      </c>
    </row>
    <row r="94" spans="2:27" ht="15.75" thickBot="1" x14ac:dyDescent="0.3">
      <c r="B94" s="78" t="s">
        <v>23</v>
      </c>
      <c r="C94" s="79">
        <f>SUM('ABP Under Contract'!K98:P98)</f>
        <v>1556148.567</v>
      </c>
      <c r="D94" s="79">
        <f>'REC Spend projected'!H93+'REC Spend projected'!I93+'REC Spend projected'!J93+'REC Spend projected'!K93+'REC Spend projected'!L93</f>
        <v>1334613.3337917605</v>
      </c>
      <c r="E94" s="79">
        <f>E10*'REC Spend projected'!$B$83</f>
        <v>168338.668091684</v>
      </c>
      <c r="F94" s="79">
        <f>F10*'REC Spend projected'!$B$83</f>
        <v>0</v>
      </c>
      <c r="G94" s="79">
        <f>G10*'REC Spend projected'!$B$83</f>
        <v>0</v>
      </c>
      <c r="H94" s="79">
        <f>H10*'REC Spend projected'!$B$83</f>
        <v>0</v>
      </c>
      <c r="I94" s="79">
        <f>I10*'REC Spend projected'!$B$83</f>
        <v>0</v>
      </c>
      <c r="J94" s="79">
        <f>J10*'REC Spend projected'!$B$83</f>
        <v>0</v>
      </c>
      <c r="K94" s="79">
        <f>K10*'REC Spend projected'!$B$83</f>
        <v>0</v>
      </c>
      <c r="L94" s="79">
        <f>L10*'REC Spend projected'!$B$83</f>
        <v>0</v>
      </c>
      <c r="M94" s="79">
        <f>M10*'REC Spend projected'!$B$83</f>
        <v>0</v>
      </c>
      <c r="N94" s="79">
        <f>SUM(F94:M94)</f>
        <v>0</v>
      </c>
      <c r="O94" s="79">
        <f>O10*'REC Spend projected'!$B$83</f>
        <v>335750.68517017143</v>
      </c>
      <c r="P94" s="79">
        <f t="shared" si="22"/>
        <v>3394851.254053616</v>
      </c>
      <c r="Q94" s="79">
        <f>'REC Spend projected'!AC91</f>
        <v>-2806391.4380148794</v>
      </c>
      <c r="R94" s="79">
        <f>'REC Spend projected'!AE91</f>
        <v>-6520103.9638967654</v>
      </c>
      <c r="T94" s="194" t="s">
        <v>23</v>
      </c>
      <c r="U94" s="210">
        <f t="shared" si="23"/>
        <v>2890761.9007917605</v>
      </c>
      <c r="V94" s="210"/>
      <c r="W94" s="210">
        <f t="shared" si="27"/>
        <v>168338.668091684</v>
      </c>
      <c r="X94" s="210">
        <f t="shared" si="28"/>
        <v>0</v>
      </c>
      <c r="Y94" s="210">
        <f t="shared" si="24"/>
        <v>335750.68517017143</v>
      </c>
      <c r="Z94" s="210">
        <f t="shared" si="25"/>
        <v>-2806391.4380148794</v>
      </c>
    </row>
    <row r="95" spans="2:27" ht="15.75" thickBot="1" x14ac:dyDescent="0.3">
      <c r="B95" s="78" t="s">
        <v>24</v>
      </c>
      <c r="C95" s="79">
        <f>SUM('ABP Under Contract'!K99:P99)</f>
        <v>1490887.9069999999</v>
      </c>
      <c r="D95" s="79">
        <f>'REC Spend projected'!H94+'REC Spend projected'!I94+'REC Spend projected'!J94+'REC Spend projected'!K94+'REC Spend projected'!L94</f>
        <v>1364884.4443884278</v>
      </c>
      <c r="E95" s="79">
        <f>E11*'REC Spend projected'!$B$83</f>
        <v>769537.68673749384</v>
      </c>
      <c r="F95" s="79">
        <f>F11*'REC Spend projected'!$B$83</f>
        <v>0</v>
      </c>
      <c r="G95" s="79">
        <f>G11*'REC Spend projected'!$B$83</f>
        <v>0</v>
      </c>
      <c r="H95" s="79">
        <f>H11*'REC Spend projected'!$B$83</f>
        <v>0</v>
      </c>
      <c r="I95" s="79">
        <f>I11*'REC Spend projected'!$B$83</f>
        <v>0</v>
      </c>
      <c r="J95" s="79">
        <f>J11*'REC Spend projected'!$B$83</f>
        <v>0</v>
      </c>
      <c r="K95" s="79">
        <f>K11*'REC Spend projected'!$B$83</f>
        <v>0</v>
      </c>
      <c r="L95" s="79">
        <f>L11*'REC Spend projected'!$B$83</f>
        <v>0</v>
      </c>
      <c r="M95" s="79">
        <f>M11*'REC Spend projected'!$B$83</f>
        <v>0</v>
      </c>
      <c r="N95" s="79">
        <f>SUM(F95:M95)</f>
        <v>0</v>
      </c>
      <c r="O95" s="79">
        <f>O11*'REC Spend projected'!$B$83</f>
        <v>386839.3033094136</v>
      </c>
      <c r="P95" s="79">
        <f t="shared" si="22"/>
        <v>4012149.3414353346</v>
      </c>
      <c r="Q95" s="79">
        <f>'REC Spend projected'!AC92</f>
        <v>-5305493.9286927991</v>
      </c>
      <c r="R95" s="79">
        <f>'REC Spend projected'!AE92</f>
        <v>-9719224.5956155863</v>
      </c>
      <c r="T95" s="194" t="s">
        <v>24</v>
      </c>
      <c r="U95" s="210">
        <f t="shared" si="23"/>
        <v>2855772.3513884274</v>
      </c>
      <c r="V95" s="210"/>
      <c r="W95" s="210">
        <f t="shared" si="27"/>
        <v>769537.68673749384</v>
      </c>
      <c r="X95" s="210">
        <f t="shared" si="28"/>
        <v>0</v>
      </c>
      <c r="Y95" s="210">
        <f t="shared" si="24"/>
        <v>386839.3033094136</v>
      </c>
      <c r="Z95" s="210">
        <f t="shared" si="25"/>
        <v>-5305493.9286927991</v>
      </c>
    </row>
    <row r="96" spans="2:27" ht="15.75" thickBot="1" x14ac:dyDescent="0.3">
      <c r="B96" s="81" t="s">
        <v>25</v>
      </c>
      <c r="C96" s="79">
        <f>SUM('ABP Under Contract'!K100:P100)</f>
        <v>776505.53899999999</v>
      </c>
      <c r="D96" s="79">
        <f>'REC Spend projected'!H95+'REC Spend projected'!I95+'REC Spend projected'!J95+'REC Spend projected'!K95+'REC Spend projected'!L95</f>
        <v>1364241.3601701707</v>
      </c>
      <c r="E96" s="79">
        <f>E12*'REC Spend projected'!$B$83</f>
        <v>991070.40939757379</v>
      </c>
      <c r="F96" s="79">
        <f>F12*'REC Spend projected'!$B$83</f>
        <v>1129972.3900402726</v>
      </c>
      <c r="G96" s="79">
        <f>G12*'REC Spend projected'!$B$83</f>
        <v>0</v>
      </c>
      <c r="H96" s="79">
        <f>H12*'REC Spend projected'!$B$83</f>
        <v>0</v>
      </c>
      <c r="I96" s="79">
        <f>I12*'REC Spend projected'!$B$83</f>
        <v>0</v>
      </c>
      <c r="J96" s="79">
        <f>J12*'REC Spend projected'!$B$83</f>
        <v>0</v>
      </c>
      <c r="K96" s="79">
        <f>K12*'REC Spend projected'!$B$83</f>
        <v>0</v>
      </c>
      <c r="L96" s="79">
        <f>L12*'REC Spend projected'!$B$83</f>
        <v>0</v>
      </c>
      <c r="M96" s="79">
        <f>M12*'REC Spend projected'!$B$83</f>
        <v>0</v>
      </c>
      <c r="N96" s="79">
        <f t="shared" si="26"/>
        <v>1129972.3900402726</v>
      </c>
      <c r="O96" s="79">
        <f>O12*'REC Spend projected'!$B$83</f>
        <v>338480.63154360378</v>
      </c>
      <c r="P96" s="79">
        <f t="shared" si="22"/>
        <v>5730242.7201918932</v>
      </c>
      <c r="Q96" s="79">
        <f>'REC Spend projected'!AC93</f>
        <v>-8494247.0479034334</v>
      </c>
      <c r="R96" s="79">
        <f>'REC Spend projected'!AE93</f>
        <v>-13774916.777288463</v>
      </c>
      <c r="T96" s="195" t="s">
        <v>25</v>
      </c>
      <c r="U96" s="210">
        <f t="shared" si="23"/>
        <v>2140746.8991701705</v>
      </c>
      <c r="V96" s="210"/>
      <c r="W96" s="210">
        <f t="shared" si="27"/>
        <v>991070.40939757379</v>
      </c>
      <c r="X96" s="210">
        <f t="shared" si="28"/>
        <v>1129972.3900402726</v>
      </c>
      <c r="Y96" s="210">
        <f t="shared" si="24"/>
        <v>338480.63154360378</v>
      </c>
      <c r="Z96" s="210">
        <f t="shared" si="25"/>
        <v>-8494247.0479034334</v>
      </c>
    </row>
    <row r="97" spans="2:26" ht="15.75" thickBot="1" x14ac:dyDescent="0.3">
      <c r="B97" s="78" t="s">
        <v>26</v>
      </c>
      <c r="C97" s="79">
        <f>SUM('ABP Under Contract'!K101:P101)</f>
        <v>776505.53899999999</v>
      </c>
      <c r="D97" s="79">
        <f>'REC Spend projected'!H96+'REC Spend projected'!I96+'REC Spend projected'!J96+'REC Spend projected'!K96+'REC Spend projected'!L96</f>
        <v>1399215.783264637</v>
      </c>
      <c r="E97" s="79">
        <f>E13*'REC Spend projected'!$B$83</f>
        <v>1021748.5396680654</v>
      </c>
      <c r="F97" s="79">
        <f>F13*'REC Spend projected'!$B$83</f>
        <v>2029502.3355231814</v>
      </c>
      <c r="G97" s="79">
        <f>G13*'REC Spend projected'!$B$83</f>
        <v>0</v>
      </c>
      <c r="H97" s="79">
        <f>H13*'REC Spend projected'!$B$83</f>
        <v>0</v>
      </c>
      <c r="I97" s="79">
        <f>I13*'REC Spend projected'!$B$83</f>
        <v>0</v>
      </c>
      <c r="J97" s="79">
        <f>J13*'REC Spend projected'!$B$83</f>
        <v>0</v>
      </c>
      <c r="K97" s="79">
        <f>K13*'REC Spend projected'!$B$83</f>
        <v>0</v>
      </c>
      <c r="L97" s="79">
        <f>L13*'REC Spend projected'!$B$83</f>
        <v>0</v>
      </c>
      <c r="M97" s="79">
        <f>M13*'REC Spend projected'!$B$83</f>
        <v>0</v>
      </c>
      <c r="N97" s="79">
        <f t="shared" si="26"/>
        <v>2029502.3355231814</v>
      </c>
      <c r="O97" s="79">
        <f>O13*'REC Spend projected'!$B$83</f>
        <v>340898.53860912856</v>
      </c>
      <c r="P97" s="79">
        <f t="shared" si="22"/>
        <v>7597373.071588194</v>
      </c>
      <c r="Q97" s="79">
        <f>'REC Spend projected'!AC94</f>
        <v>-12556687.085806837</v>
      </c>
      <c r="R97" s="79">
        <f>'REC Spend projected'!AE94</f>
        <v>-18709232.560212076</v>
      </c>
      <c r="T97" s="194" t="s">
        <v>26</v>
      </c>
      <c r="U97" s="210">
        <f t="shared" si="23"/>
        <v>2175721.3222646369</v>
      </c>
      <c r="V97" s="210"/>
      <c r="W97" s="210">
        <f t="shared" si="27"/>
        <v>1021748.5396680654</v>
      </c>
      <c r="X97" s="210">
        <f t="shared" si="28"/>
        <v>2029502.3355231814</v>
      </c>
      <c r="Y97" s="210">
        <f t="shared" si="24"/>
        <v>340898.53860912856</v>
      </c>
      <c r="Z97" s="210">
        <f t="shared" si="25"/>
        <v>-12556687.085806837</v>
      </c>
    </row>
    <row r="98" spans="2:26" ht="15.75" thickBot="1" x14ac:dyDescent="0.3">
      <c r="B98" s="78" t="s">
        <v>27</v>
      </c>
      <c r="C98" s="79">
        <f>SUM('ABP Under Contract'!K102:P102)</f>
        <v>724155.69940000004</v>
      </c>
      <c r="D98" s="79">
        <f>'REC Spend projected'!H97+'REC Spend projected'!I97+'REC Spend projected'!J97+'REC Spend projected'!K97+'REC Spend projected'!L97</f>
        <v>1400886.4613612739</v>
      </c>
      <c r="E98" s="79">
        <f>E14*'REC Spend projected'!$B$83</f>
        <v>1035346.1851584882</v>
      </c>
      <c r="F98" s="79">
        <f>F14*'REC Spend projected'!$B$83</f>
        <v>1878221.3733779206</v>
      </c>
      <c r="G98" s="79">
        <f>G14*'REC Spend projected'!$B$83</f>
        <v>1041382.5546611153</v>
      </c>
      <c r="H98" s="79">
        <f>H14*'REC Spend projected'!$B$83</f>
        <v>0</v>
      </c>
      <c r="I98" s="79">
        <f>I14*'REC Spend projected'!$B$83</f>
        <v>0</v>
      </c>
      <c r="J98" s="79">
        <f>J14*'REC Spend projected'!$B$83</f>
        <v>0</v>
      </c>
      <c r="K98" s="79">
        <f>K14*'REC Spend projected'!$B$83</f>
        <v>0</v>
      </c>
      <c r="L98" s="79">
        <f>L14*'REC Spend projected'!$B$83</f>
        <v>0</v>
      </c>
      <c r="M98" s="79">
        <f>M14*'REC Spend projected'!$B$83</f>
        <v>0</v>
      </c>
      <c r="N98" s="79">
        <f t="shared" si="26"/>
        <v>2919603.9280390358</v>
      </c>
      <c r="O98" s="79">
        <f>O14*'REC Spend projected'!$B$83</f>
        <v>394254.7972256919</v>
      </c>
      <c r="P98" s="79">
        <f t="shared" si="22"/>
        <v>9393850.9992235266</v>
      </c>
      <c r="Q98" s="79">
        <f>'REC Spend projected'!AC95</f>
        <v>-17482159.512738142</v>
      </c>
      <c r="R98" s="79">
        <f>'REC Spend projected'!AE95</f>
        <v>-24486229.845528912</v>
      </c>
      <c r="T98" s="194" t="s">
        <v>27</v>
      </c>
      <c r="U98" s="210">
        <f t="shared" si="23"/>
        <v>2125042.1607612739</v>
      </c>
      <c r="V98" s="210"/>
      <c r="W98" s="210">
        <f t="shared" si="27"/>
        <v>1035346.1851584882</v>
      </c>
      <c r="X98" s="210">
        <f t="shared" si="28"/>
        <v>2919603.9280390358</v>
      </c>
      <c r="Y98" s="210">
        <f t="shared" si="24"/>
        <v>394254.7972256919</v>
      </c>
      <c r="Z98" s="210">
        <f t="shared" si="25"/>
        <v>-17482159.512738142</v>
      </c>
    </row>
    <row r="99" spans="2:26" ht="15.75" thickBot="1" x14ac:dyDescent="0.3">
      <c r="B99" s="78" t="s">
        <v>28</v>
      </c>
      <c r="C99" s="79">
        <f>SUM('ABP Under Contract'!K103:P103)</f>
        <v>288699.2941</v>
      </c>
      <c r="D99" s="79">
        <f>'REC Spend projected'!H98+'REC Spend projected'!I98+'REC Spend projected'!J98+'REC Spend projected'!K98+'REC Spend projected'!L98</f>
        <v>1321715.3584150732</v>
      </c>
      <c r="E99" s="79">
        <f>E15*'REC Spend projected'!$B$83</f>
        <v>1033560.7467495982</v>
      </c>
      <c r="F99" s="79">
        <f>F15*'REC Spend projected'!$B$83</f>
        <v>1892392.9576031652</v>
      </c>
      <c r="G99" s="79">
        <f>G15*'REC Spend projected'!$B$83</f>
        <v>1835843.7273071508</v>
      </c>
      <c r="H99" s="79">
        <f>H15*'REC Spend projected'!$B$83</f>
        <v>0</v>
      </c>
      <c r="I99" s="79">
        <f>I15*'REC Spend projected'!$B$83</f>
        <v>0</v>
      </c>
      <c r="J99" s="79">
        <f>J15*'REC Spend projected'!$B$83</f>
        <v>0</v>
      </c>
      <c r="K99" s="79">
        <f>K15*'REC Spend projected'!$B$83</f>
        <v>0</v>
      </c>
      <c r="L99" s="79">
        <f>L15*'REC Spend projected'!$B$83</f>
        <v>0</v>
      </c>
      <c r="M99" s="79">
        <f>M15*'REC Spend projected'!$B$83</f>
        <v>0</v>
      </c>
      <c r="N99" s="79">
        <f>SUM(F99:M99)</f>
        <v>3728236.684910316</v>
      </c>
      <c r="O99" s="79">
        <f>O15*'REC Spend projected'!$B$83</f>
        <v>347979.09236306918</v>
      </c>
      <c r="P99" s="79">
        <f t="shared" si="22"/>
        <v>10448427.861448372</v>
      </c>
      <c r="Q99" s="79">
        <f>'REC Spend projected'!AC96</f>
        <v>-23254852.759411048</v>
      </c>
      <c r="R99" s="79">
        <f>'REC Spend projected'!AE96</f>
        <v>-30660684.609006867</v>
      </c>
      <c r="T99" s="194" t="s">
        <v>28</v>
      </c>
      <c r="U99" s="210">
        <f t="shared" si="23"/>
        <v>1610414.6525150733</v>
      </c>
      <c r="V99" s="210"/>
      <c r="W99" s="210">
        <f t="shared" si="27"/>
        <v>1033560.7467495982</v>
      </c>
      <c r="X99" s="210">
        <f t="shared" si="28"/>
        <v>3728236.684910316</v>
      </c>
      <c r="Y99" s="210">
        <f t="shared" si="24"/>
        <v>347979.09236306918</v>
      </c>
      <c r="Z99" s="210">
        <f t="shared" si="25"/>
        <v>-23254852.759411048</v>
      </c>
    </row>
    <row r="100" spans="2:26" ht="15.75" thickBot="1" x14ac:dyDescent="0.3">
      <c r="B100" s="78" t="s">
        <v>29</v>
      </c>
      <c r="C100" s="79">
        <f>SUM('ABP Under Contract'!K104:P104)</f>
        <v>0</v>
      </c>
      <c r="D100" s="79">
        <f>'REC Spend projected'!H99+'REC Spend projected'!I99+'REC Spend projected'!J99+'REC Spend projected'!K99+'REC Spend projected'!L99</f>
        <v>1236042.3767421169</v>
      </c>
      <c r="E100" s="79">
        <f>E16*'REC Spend projected'!$B$83</f>
        <v>998578.86199441052</v>
      </c>
      <c r="F100" s="79">
        <f>F16*'REC Spend projected'!$B$83</f>
        <v>1903775.5164812424</v>
      </c>
      <c r="G100" s="79">
        <f>G16*'REC Spend projected'!$B$83</f>
        <v>1710732.2785341851</v>
      </c>
      <c r="H100" s="79">
        <f>H16*'REC Spend projected'!$B$83</f>
        <v>959738.16237568378</v>
      </c>
      <c r="I100" s="79">
        <f>I16*'REC Spend projected'!$B$83</f>
        <v>0</v>
      </c>
      <c r="J100" s="79">
        <f>J16*'REC Spend projected'!$B$83</f>
        <v>0</v>
      </c>
      <c r="K100" s="79">
        <f>K16*'REC Spend projected'!$B$83</f>
        <v>0</v>
      </c>
      <c r="L100" s="79">
        <f>L16*'REC Spend projected'!$B$83</f>
        <v>0</v>
      </c>
      <c r="M100" s="79">
        <f>M16*'REC Spend projected'!$B$83</f>
        <v>0</v>
      </c>
      <c r="N100" s="79">
        <f t="shared" si="26"/>
        <v>4574245.9573911112</v>
      </c>
      <c r="O100" s="79">
        <f>O16*'REC Spend projected'!$B$83</f>
        <v>351844.13885307912</v>
      </c>
      <c r="P100" s="79">
        <f t="shared" si="22"/>
        <v>11734957.29237183</v>
      </c>
      <c r="Q100" s="79">
        <f>'REC Spend projected'!AC97</f>
        <v>-29419362.820339322</v>
      </c>
      <c r="R100" s="79">
        <f>'REC Spend projected'!AE97</f>
        <v>-37463247.761725113</v>
      </c>
      <c r="T100" s="194" t="s">
        <v>29</v>
      </c>
      <c r="U100" s="210">
        <f t="shared" si="23"/>
        <v>1236042.3767421169</v>
      </c>
      <c r="V100" s="210"/>
      <c r="W100" s="210">
        <f t="shared" si="27"/>
        <v>998578.86199441052</v>
      </c>
      <c r="X100" s="210">
        <f t="shared" si="28"/>
        <v>4574245.9573911112</v>
      </c>
      <c r="Y100" s="210">
        <f t="shared" si="24"/>
        <v>351844.13885307912</v>
      </c>
      <c r="Z100" s="210">
        <f t="shared" si="25"/>
        <v>-29419362.820339322</v>
      </c>
    </row>
    <row r="101" spans="2:26" ht="15.75" thickBot="1" x14ac:dyDescent="0.3">
      <c r="B101" s="78" t="s">
        <v>30</v>
      </c>
      <c r="C101" s="79">
        <f>SUM('ABP Under Contract'!K105:P105)</f>
        <v>0</v>
      </c>
      <c r="D101" s="79">
        <f>'REC Spend projected'!H100+'REC Spend projected'!I100+'REC Spend projected'!J100+'REC Spend projected'!K100+'REC Spend projected'!L100</f>
        <v>1369373.6493797363</v>
      </c>
      <c r="E101" s="79">
        <f>E17*'REC Spend projected'!$B$83</f>
        <v>805596.09161929542</v>
      </c>
      <c r="F101" s="79">
        <f>F17*'REC Spend projected'!$B$83</f>
        <v>1923228.5048499871</v>
      </c>
      <c r="G101" s="79">
        <f>G17*'REC Spend projected'!$B$83</f>
        <v>1728879.4886548843</v>
      </c>
      <c r="H101" s="79">
        <f>H17*'REC Spend projected'!$B$83</f>
        <v>1500378.4338872817</v>
      </c>
      <c r="I101" s="79">
        <f>I17*'REC Spend projected'!$B$83</f>
        <v>0</v>
      </c>
      <c r="J101" s="79">
        <f>J17*'REC Spend projected'!$B$83</f>
        <v>0</v>
      </c>
      <c r="K101" s="79">
        <f>K17*'REC Spend projected'!$B$83</f>
        <v>0</v>
      </c>
      <c r="L101" s="79">
        <f>L17*'REC Spend projected'!$B$83</f>
        <v>0</v>
      </c>
      <c r="M101" s="79">
        <f>M17*'REC Spend projected'!$B$83</f>
        <v>0</v>
      </c>
      <c r="N101" s="79">
        <f t="shared" si="26"/>
        <v>5152486.4273921531</v>
      </c>
      <c r="O101" s="79">
        <f>O17*'REC Spend projected'!$B$83</f>
        <v>355290.77331759169</v>
      </c>
      <c r="P101" s="79">
        <f t="shared" si="22"/>
        <v>12835233.36910093</v>
      </c>
      <c r="Q101" s="79">
        <f>'REC Spend projected'!AC98</f>
        <v>-36229363.312223636</v>
      </c>
      <c r="R101" s="79">
        <f>'REC Spend projected'!AE98</f>
        <v>-43964946.530879118</v>
      </c>
      <c r="T101" s="194" t="s">
        <v>30</v>
      </c>
      <c r="U101" s="210">
        <f t="shared" si="23"/>
        <v>1369373.6493797363</v>
      </c>
      <c r="V101" s="210"/>
      <c r="W101" s="210">
        <f t="shared" si="27"/>
        <v>805596.09161929542</v>
      </c>
      <c r="X101" s="210">
        <f t="shared" si="28"/>
        <v>5152486.4273921531</v>
      </c>
      <c r="Y101" s="210">
        <f t="shared" si="24"/>
        <v>355290.77331759169</v>
      </c>
      <c r="Z101" s="210">
        <f t="shared" si="25"/>
        <v>-36229363.312223636</v>
      </c>
    </row>
    <row r="102" spans="2:26" ht="15.75" thickBot="1" x14ac:dyDescent="0.3">
      <c r="B102" s="78" t="s">
        <v>31</v>
      </c>
      <c r="C102" s="79">
        <f>SUM('ABP Under Contract'!K106:P106)</f>
        <v>0</v>
      </c>
      <c r="D102" s="79">
        <f>'REC Spend projected'!H101+'REC Spend projected'!I101+'REC Spend projected'!J101+'REC Spend projected'!K101+'REC Spend projected'!L101</f>
        <v>1387107.6576428602</v>
      </c>
      <c r="E102" s="79">
        <f>E18*'REC Spend projected'!$B$83</f>
        <v>737196.13955540198</v>
      </c>
      <c r="F102" s="79">
        <f>F18*'REC Spend projected'!$B$83</f>
        <v>1898748.7896950215</v>
      </c>
      <c r="G102" s="79">
        <f>G18*'REC Spend projected'!$B$83</f>
        <v>1712573.2092874874</v>
      </c>
      <c r="H102" s="79">
        <f>H18*'REC Spend projected'!$B$83</f>
        <v>1132230.8649053778</v>
      </c>
      <c r="I102" s="79">
        <f>I18*'REC Spend projected'!$B$83</f>
        <v>884494.69044543011</v>
      </c>
      <c r="J102" s="79">
        <f>J18*'REC Spend projected'!$B$83</f>
        <v>0</v>
      </c>
      <c r="K102" s="79">
        <f>K18*'REC Spend projected'!$B$83</f>
        <v>0</v>
      </c>
      <c r="L102" s="79">
        <f>L18*'REC Spend projected'!$B$83</f>
        <v>0</v>
      </c>
      <c r="M102" s="79">
        <f>M18*'REC Spend projected'!$B$83</f>
        <v>0</v>
      </c>
      <c r="N102" s="79">
        <f t="shared" si="26"/>
        <v>5628047.5543333162</v>
      </c>
      <c r="O102" s="79">
        <f>O18*'REC Spend projected'!$B$83</f>
        <v>358488.41287979897</v>
      </c>
      <c r="P102" s="79">
        <f t="shared" si="22"/>
        <v>13738887.318744695</v>
      </c>
      <c r="Q102" s="79">
        <f>'REC Spend projected'!AC99</f>
        <v>-42722787.459728286</v>
      </c>
      <c r="R102" s="79">
        <f>'REC Spend projected'!AE99</f>
        <v>-50507083.26675754</v>
      </c>
      <c r="T102" s="194" t="s">
        <v>31</v>
      </c>
      <c r="U102" s="210">
        <f t="shared" si="23"/>
        <v>1387107.6576428602</v>
      </c>
      <c r="V102" s="210"/>
      <c r="W102" s="210">
        <f t="shared" si="27"/>
        <v>737196.13955540198</v>
      </c>
      <c r="X102" s="210">
        <f t="shared" si="28"/>
        <v>5628047.5543333162</v>
      </c>
      <c r="Y102" s="210">
        <f t="shared" si="24"/>
        <v>358488.41287979897</v>
      </c>
      <c r="Z102" s="210">
        <f t="shared" si="25"/>
        <v>-42722787.459728286</v>
      </c>
    </row>
    <row r="103" spans="2:26" ht="15.75" thickBot="1" x14ac:dyDescent="0.3">
      <c r="B103" s="78" t="s">
        <v>32</v>
      </c>
      <c r="C103" s="79">
        <f>SUM('ABP Under Contract'!K107:P107)</f>
        <v>0</v>
      </c>
      <c r="D103" s="79">
        <f>'REC Spend projected'!H102+'REC Spend projected'!I102+'REC Spend projected'!J102+'REC Spend projected'!K102+'REC Spend projected'!L102</f>
        <v>1380189.6353497957</v>
      </c>
      <c r="E103" s="79">
        <f>E19*'REC Spend projected'!$B$83</f>
        <v>700121.38341562764</v>
      </c>
      <c r="F103" s="79">
        <f>F19*'REC Spend projected'!$B$83</f>
        <v>1648601.8643956236</v>
      </c>
      <c r="G103" s="79">
        <f>G19*'REC Spend projected'!$B$83</f>
        <v>1655077.7649785348</v>
      </c>
      <c r="H103" s="79">
        <f>H19*'REC Spend projected'!$B$83</f>
        <v>1100467.148332987</v>
      </c>
      <c r="I103" s="79">
        <f>I19*'REC Spend projected'!$B$83</f>
        <v>961084.40903937758</v>
      </c>
      <c r="J103" s="79">
        <f>J19*'REC Spend projected'!$B$83</f>
        <v>0</v>
      </c>
      <c r="K103" s="79">
        <f>K19*'REC Spend projected'!$B$83</f>
        <v>0</v>
      </c>
      <c r="L103" s="79">
        <f>L19*'REC Spend projected'!$B$83</f>
        <v>0</v>
      </c>
      <c r="M103" s="79">
        <f>M19*'REC Spend projected'!$B$83</f>
        <v>0</v>
      </c>
      <c r="N103" s="79">
        <f t="shared" si="26"/>
        <v>5365231.1867465228</v>
      </c>
      <c r="O103" s="79">
        <f>O19*'REC Spend projected'!$B$83</f>
        <v>360973.81514805247</v>
      </c>
      <c r="P103" s="79">
        <f t="shared" si="22"/>
        <v>13171747.207406521</v>
      </c>
      <c r="Q103" s="79">
        <f>'REC Spend projected'!AC100</f>
        <v>-49260953.107611835</v>
      </c>
      <c r="R103" s="79">
        <f>'REC Spend projected'!AE100</f>
        <v>-57176797.673670173</v>
      </c>
      <c r="T103" s="194" t="s">
        <v>32</v>
      </c>
      <c r="U103" s="210">
        <f t="shared" si="23"/>
        <v>1380189.6353497957</v>
      </c>
      <c r="V103" s="210"/>
      <c r="W103" s="210">
        <f t="shared" si="27"/>
        <v>700121.38341562764</v>
      </c>
      <c r="X103" s="210">
        <f t="shared" si="28"/>
        <v>5365231.1867465228</v>
      </c>
      <c r="Y103" s="210">
        <f t="shared" si="24"/>
        <v>360973.81514805247</v>
      </c>
      <c r="Z103" s="210">
        <f t="shared" si="25"/>
        <v>-49260953.107611835</v>
      </c>
    </row>
    <row r="104" spans="2:26" ht="15.75" thickBot="1" x14ac:dyDescent="0.3">
      <c r="B104" s="78" t="s">
        <v>33</v>
      </c>
      <c r="C104" s="79">
        <f>SUM('ABP Under Contract'!K108:P108)</f>
        <v>0</v>
      </c>
      <c r="D104" s="79">
        <f>'REC Spend projected'!H103+'REC Spend projected'!I103+'REC Spend projected'!J103+'REC Spend projected'!K103+'REC Spend projected'!L103</f>
        <v>1419753.8758396257</v>
      </c>
      <c r="E104" s="79">
        <f>E20*'REC Spend projected'!$B$83</f>
        <v>763297.47357817669</v>
      </c>
      <c r="F104" s="79">
        <f>F20*'REC Spend projected'!$B$83</f>
        <v>1446360.1534993616</v>
      </c>
      <c r="G104" s="79">
        <f>G20*'REC Spend projected'!$B$83</f>
        <v>1646084.0380971599</v>
      </c>
      <c r="H104" s="79">
        <f>H20*'REC Spend projected'!$B$83</f>
        <v>1107667.4760279581</v>
      </c>
      <c r="I104" s="79">
        <f>I20*'REC Spend projected'!$B$83</f>
        <v>942085.71313340229</v>
      </c>
      <c r="J104" s="79">
        <f>J20*'REC Spend projected'!$B$83</f>
        <v>407575.15335725411</v>
      </c>
      <c r="K104" s="79">
        <f>K20*'REC Spend projected'!$B$83</f>
        <v>0</v>
      </c>
      <c r="L104" s="79">
        <f>L20*'REC Spend projected'!$B$83</f>
        <v>0</v>
      </c>
      <c r="M104" s="79">
        <f>M20*'REC Spend projected'!$B$83</f>
        <v>0</v>
      </c>
      <c r="N104" s="79">
        <f t="shared" si="26"/>
        <v>5549772.5341151357</v>
      </c>
      <c r="O104" s="79">
        <f>O20*'REC Spend projected'!$B$83</f>
        <v>362794.13445705944</v>
      </c>
      <c r="P104" s="79">
        <f t="shared" si="22"/>
        <v>13645390.552105132</v>
      </c>
      <c r="Q104" s="79">
        <f>'REC Spend projected'!AC101</f>
        <v>-55920979.707666121</v>
      </c>
      <c r="R104" s="79">
        <f>'REC Spend projected'!AE101</f>
        <v>-64037282.693026938</v>
      </c>
      <c r="T104" s="194" t="s">
        <v>33</v>
      </c>
      <c r="U104" s="210">
        <f t="shared" si="23"/>
        <v>1419753.8758396257</v>
      </c>
      <c r="V104" s="210"/>
      <c r="W104" s="210">
        <f t="shared" si="27"/>
        <v>763297.47357817669</v>
      </c>
      <c r="X104" s="210">
        <f t="shared" si="28"/>
        <v>5549772.5341151357</v>
      </c>
      <c r="Y104" s="210">
        <f t="shared" si="24"/>
        <v>362794.13445705944</v>
      </c>
      <c r="Z104" s="210">
        <f t="shared" si="25"/>
        <v>-55920979.707666121</v>
      </c>
    </row>
    <row r="105" spans="2:26" ht="15.75" thickBot="1" x14ac:dyDescent="0.3">
      <c r="B105" s="78" t="s">
        <v>34</v>
      </c>
      <c r="C105" s="79">
        <f>SUM('ABP Under Contract'!K109:P109)</f>
        <v>0</v>
      </c>
      <c r="D105" s="79">
        <f>'REC Spend projected'!H104+'REC Spend projected'!I104+'REC Spend projected'!J104+'REC Spend projected'!K104+'REC Spend projected'!L104</f>
        <v>1455499.94817521</v>
      </c>
      <c r="E105" s="79">
        <f>E21*'REC Spend projected'!$B$83</f>
        <v>789316.15864225221</v>
      </c>
      <c r="F105" s="79">
        <f>F21*'REC Spend projected'!$B$83</f>
        <v>1509665.9592037904</v>
      </c>
      <c r="G105" s="79">
        <f>G21*'REC Spend projected'!$B$83</f>
        <v>1562024.8713908431</v>
      </c>
      <c r="H105" s="79">
        <f>H21*'REC Spend projected'!$B$83</f>
        <v>1146169.2708432651</v>
      </c>
      <c r="I105" s="79">
        <f>I21*'REC Spend projected'!$B$83</f>
        <v>980336.04763464525</v>
      </c>
      <c r="J105" s="79">
        <f>J21*'REC Spend projected'!$B$83</f>
        <v>809890.72528007755</v>
      </c>
      <c r="K105" s="79">
        <f>K21*'REC Spend projected'!$B$83</f>
        <v>0</v>
      </c>
      <c r="L105" s="79">
        <f>L21*'REC Spend projected'!$B$83</f>
        <v>0</v>
      </c>
      <c r="M105" s="79">
        <f>M21*'REC Spend projected'!$B$83</f>
        <v>0</v>
      </c>
      <c r="N105" s="79">
        <f t="shared" si="26"/>
        <v>6008086.8743526209</v>
      </c>
      <c r="O105" s="79">
        <f>O21*'REC Spend projected'!$B$83</f>
        <v>363566.65600480186</v>
      </c>
      <c r="P105" s="79">
        <f t="shared" si="22"/>
        <v>14624556.511527507</v>
      </c>
      <c r="Q105" s="79">
        <f>'REC Spend projected'!AC102</f>
        <v>-62789448.754102036</v>
      </c>
      <c r="R105" s="79">
        <f>'REC Spend projected'!AE102</f>
        <v>-71403726.614558131</v>
      </c>
      <c r="T105" s="194" t="s">
        <v>34</v>
      </c>
      <c r="U105" s="210">
        <f t="shared" si="23"/>
        <v>1455499.94817521</v>
      </c>
      <c r="V105" s="210"/>
      <c r="W105" s="210">
        <f t="shared" si="27"/>
        <v>789316.15864225221</v>
      </c>
      <c r="X105" s="210">
        <f t="shared" si="28"/>
        <v>6008086.8743526209</v>
      </c>
      <c r="Y105" s="210">
        <f t="shared" si="24"/>
        <v>363566.65600480186</v>
      </c>
      <c r="Z105" s="210">
        <f t="shared" si="25"/>
        <v>-62789448.754102036</v>
      </c>
    </row>
    <row r="106" spans="2:26" ht="15.75" thickBot="1" x14ac:dyDescent="0.3">
      <c r="B106" s="78" t="s">
        <v>35</v>
      </c>
      <c r="C106" s="79">
        <f>SUM('ABP Under Contract'!K110:P110)</f>
        <v>0</v>
      </c>
      <c r="D106" s="79">
        <f>'REC Spend projected'!H105+'REC Spend projected'!I105+'REC Spend projected'!J105+'REC Spend projected'!K105+'REC Spend projected'!L105</f>
        <v>1453688.9549178705</v>
      </c>
      <c r="E106" s="79">
        <f>E22*'REC Spend projected'!$B$83</f>
        <v>793952.86278874381</v>
      </c>
      <c r="F106" s="79">
        <f>F22*'REC Spend projected'!$B$83</f>
        <v>1544847.2500269585</v>
      </c>
      <c r="G106" s="79">
        <f>G22*'REC Spend projected'!$B$83</f>
        <v>1405821.8645470652</v>
      </c>
      <c r="H106" s="79">
        <f>H22*'REC Spend projected'!$B$83</f>
        <v>1160077.7662220839</v>
      </c>
      <c r="I106" s="79">
        <f>I22*'REC Spend projected'!$B$83</f>
        <v>994561.99723361444</v>
      </c>
      <c r="J106" s="79">
        <f>J22*'REC Spend projected'!$B$83</f>
        <v>847149.69406495627</v>
      </c>
      <c r="K106" s="79">
        <f>K22*'REC Spend projected'!$B$83</f>
        <v>375621.26133404538</v>
      </c>
      <c r="L106" s="79">
        <f>L22*'REC Spend projected'!$B$83</f>
        <v>0</v>
      </c>
      <c r="M106" s="79">
        <f>M22*'REC Spend projected'!$B$83</f>
        <v>0</v>
      </c>
      <c r="N106" s="79">
        <f t="shared" si="26"/>
        <v>6328079.8334287237</v>
      </c>
      <c r="O106" s="79">
        <f>O22*'REC Spend projected'!$B$83</f>
        <v>364306.92405274068</v>
      </c>
      <c r="P106" s="79">
        <f t="shared" si="22"/>
        <v>15268108.408616804</v>
      </c>
      <c r="Q106" s="79">
        <f>'REC Spend projected'!AC103</f>
        <v>-70147571.361911684</v>
      </c>
      <c r="R106" s="79">
        <f>'REC Spend projected'!AE103</f>
        <v>-79143424.194404423</v>
      </c>
      <c r="T106" s="194" t="s">
        <v>35</v>
      </c>
      <c r="U106" s="210">
        <f t="shared" si="23"/>
        <v>1453688.9549178705</v>
      </c>
      <c r="V106" s="210"/>
      <c r="W106" s="210">
        <f t="shared" si="27"/>
        <v>793952.86278874381</v>
      </c>
      <c r="X106" s="210">
        <f t="shared" si="28"/>
        <v>6328079.8334287237</v>
      </c>
      <c r="Y106" s="210">
        <f t="shared" si="24"/>
        <v>364306.92405274068</v>
      </c>
      <c r="Z106" s="210">
        <f t="shared" si="25"/>
        <v>-70147571.361911684</v>
      </c>
    </row>
    <row r="107" spans="2:26" ht="15.75" thickBot="1" x14ac:dyDescent="0.3">
      <c r="B107" s="78" t="s">
        <v>36</v>
      </c>
      <c r="C107" s="79">
        <f>SUM('ABP Under Contract'!K111:P111)</f>
        <v>0</v>
      </c>
      <c r="D107" s="79">
        <f>'REC Spend projected'!H106+'REC Spend projected'!I106+'REC Spend projected'!J106+'REC Spend projected'!K106+'REC Spend projected'!L106</f>
        <v>1474460.0455807096</v>
      </c>
      <c r="E107" s="79">
        <f>E23*'REC Spend projected'!$B$83</f>
        <v>811811.1236936826</v>
      </c>
      <c r="F107" s="79">
        <f>F23*'REC Spend projected'!$B$83</f>
        <v>1565062.1099481231</v>
      </c>
      <c r="G107" s="79">
        <f>G23*'REC Spend projected'!$B$83</f>
        <v>1396270.5064478917</v>
      </c>
      <c r="H107" s="79">
        <f>H23*'REC Spend projected'!$B$83</f>
        <v>1012441.4703118977</v>
      </c>
      <c r="I107" s="79">
        <f>I23*'REC Spend projected'!$B$83</f>
        <v>1004107.7678936881</v>
      </c>
      <c r="J107" s="79">
        <f>J23*'REC Spend projected'!$B$83</f>
        <v>856432.97433488665</v>
      </c>
      <c r="K107" s="79">
        <f>K23*'REC Spend projected'!$B$83</f>
        <v>783696.68416440429</v>
      </c>
      <c r="L107" s="79">
        <f>L23*'REC Spend projected'!$B$83</f>
        <v>0</v>
      </c>
      <c r="M107" s="79">
        <f>M23*'REC Spend projected'!$B$83</f>
        <v>0</v>
      </c>
      <c r="N107" s="79">
        <f t="shared" si="26"/>
        <v>6618011.5131008904</v>
      </c>
      <c r="O107" s="79">
        <f>O23*'REC Spend projected'!$B$83</f>
        <v>364782.66339145688</v>
      </c>
      <c r="P107" s="79">
        <f t="shared" si="22"/>
        <v>15887076.85886763</v>
      </c>
      <c r="Q107" s="79">
        <f>'REC Spend projected'!AC104</f>
        <v>-77883399.66221495</v>
      </c>
      <c r="R107" s="79">
        <f>'REC Spend projected'!AE104</f>
        <v>-87216532.94769001</v>
      </c>
      <c r="T107" s="194" t="s">
        <v>36</v>
      </c>
      <c r="U107" s="210">
        <f t="shared" si="23"/>
        <v>1474460.0455807096</v>
      </c>
      <c r="V107" s="210"/>
      <c r="W107" s="210">
        <f t="shared" si="27"/>
        <v>811811.1236936826</v>
      </c>
      <c r="X107" s="210">
        <f t="shared" si="28"/>
        <v>6618011.5131008904</v>
      </c>
      <c r="Y107" s="210">
        <f t="shared" si="24"/>
        <v>364782.66339145688</v>
      </c>
      <c r="Z107" s="210">
        <f t="shared" si="25"/>
        <v>-77883399.66221495</v>
      </c>
    </row>
    <row r="108" spans="2:26" ht="15.75" thickBot="1" x14ac:dyDescent="0.3">
      <c r="B108" s="78" t="s">
        <v>37</v>
      </c>
      <c r="C108" s="79">
        <f>SUM('ABP Under Contract'!K112:P112)</f>
        <v>0</v>
      </c>
      <c r="D108" s="79">
        <f>'REC Spend projected'!H107+'REC Spend projected'!I107+'REC Spend projected'!J107+'REC Spend projected'!K107+'REC Spend projected'!L107</f>
        <v>1434483.3666591875</v>
      </c>
      <c r="E108" s="79">
        <f>E24*'REC Spend projected'!$B$83</f>
        <v>827764.1954125897</v>
      </c>
      <c r="F108" s="79">
        <f>F24*'REC Spend projected'!$B$83</f>
        <v>1599117.4106208412</v>
      </c>
      <c r="G108" s="79">
        <f>G24*'REC Spend projected'!$B$83</f>
        <v>1427024.5679439909</v>
      </c>
      <c r="H108" s="79">
        <f>H24*'REC Spend projected'!$B$83</f>
        <v>851423.52750857256</v>
      </c>
      <c r="I108" s="79">
        <f>I24*'REC Spend projected'!$B$83</f>
        <v>1018999.1926370565</v>
      </c>
      <c r="J108" s="79">
        <f>J24*'REC Spend projected'!$B$83</f>
        <v>871652.95715304115</v>
      </c>
      <c r="K108" s="79">
        <f>K24*'REC Spend projected'!$B$83</f>
        <v>857352.34820979985</v>
      </c>
      <c r="L108" s="79">
        <f>L24*'REC Spend projected'!$B$83</f>
        <v>346172.55444545625</v>
      </c>
      <c r="M108" s="79">
        <f>M24*'REC Spend projected'!$B$83</f>
        <v>0</v>
      </c>
      <c r="N108" s="79">
        <f t="shared" si="26"/>
        <v>6971742.558518758</v>
      </c>
      <c r="O108" s="79">
        <f>O24*'REC Spend projected'!$B$83</f>
        <v>365378.406523966</v>
      </c>
      <c r="P108" s="79">
        <f t="shared" si="22"/>
        <v>16571111.085633259</v>
      </c>
      <c r="Q108" s="79">
        <f>'REC Spend projected'!AC105</f>
        <v>-85946536.50159128</v>
      </c>
      <c r="R108" s="79">
        <f>'REC Spend projected'!AE105</f>
        <v>-95719717.252042323</v>
      </c>
      <c r="T108" s="194" t="s">
        <v>37</v>
      </c>
      <c r="U108" s="210">
        <f t="shared" si="23"/>
        <v>1434483.3666591875</v>
      </c>
      <c r="V108" s="210"/>
      <c r="W108" s="210">
        <f t="shared" si="27"/>
        <v>827764.1954125897</v>
      </c>
      <c r="X108" s="210">
        <f t="shared" si="28"/>
        <v>6971742.558518758</v>
      </c>
      <c r="Y108" s="210">
        <f t="shared" si="24"/>
        <v>365378.406523966</v>
      </c>
      <c r="Z108" s="210">
        <f t="shared" si="25"/>
        <v>-85946536.50159128</v>
      </c>
    </row>
    <row r="109" spans="2:26" ht="15.75" thickBot="1" x14ac:dyDescent="0.3">
      <c r="B109" s="78" t="s">
        <v>38</v>
      </c>
      <c r="C109" s="79">
        <f>SUM('ABP Under Contract'!K113:P113)</f>
        <v>0</v>
      </c>
      <c r="D109" s="79">
        <f>'REC Spend projected'!H108+'REC Spend projected'!I108+'REC Spend projected'!J108+'REC Spend projected'!K108+'REC Spend projected'!L108</f>
        <v>0</v>
      </c>
      <c r="E109" s="79">
        <f>E25*'REC Spend projected'!$B$83</f>
        <v>831747.08661439829</v>
      </c>
      <c r="F109" s="79">
        <f>F25*'REC Spend projected'!$B$83</f>
        <v>1622883.422469625</v>
      </c>
      <c r="G109" s="79">
        <f>G25*'REC Spend projected'!$B$83</f>
        <v>1450045.7281936209</v>
      </c>
      <c r="H109" s="79">
        <f>H25*'REC Spend projected'!$B$83</f>
        <v>836697.97285822895</v>
      </c>
      <c r="I109" s="79">
        <f>I25*'REC Spend projected'!$B$83</f>
        <v>884070.06467165553</v>
      </c>
      <c r="J109" s="79">
        <f>J25*'REC Spend projected'!$B$83</f>
        <v>881527.95490844327</v>
      </c>
      <c r="K109" s="79">
        <f>K25*'REC Spend projected'!$B$83</f>
        <v>866718.30254949385</v>
      </c>
      <c r="L109" s="79">
        <f>L25*'REC Spend projected'!$B$83</f>
        <v>761094.26921074453</v>
      </c>
      <c r="M109" s="79">
        <f>M25*'REC Spend projected'!$B$83</f>
        <v>0</v>
      </c>
      <c r="N109" s="79">
        <f t="shared" si="26"/>
        <v>7303037.7148618121</v>
      </c>
      <c r="O109" s="79">
        <f>O25*'REC Spend projected'!$B$83</f>
        <v>365832.01433726132</v>
      </c>
      <c r="P109" s="79">
        <f t="shared" si="22"/>
        <v>15803654.530675285</v>
      </c>
      <c r="Q109" s="79">
        <f>'REC Spend projected'!AC106</f>
        <v>-94458049.156400681</v>
      </c>
      <c r="R109" s="79">
        <f>'REC Spend projected'!AE106</f>
        <v>-104370121.66156735</v>
      </c>
      <c r="T109" s="194" t="s">
        <v>38</v>
      </c>
      <c r="U109" s="210">
        <f t="shared" si="23"/>
        <v>0</v>
      </c>
      <c r="V109" s="210"/>
      <c r="W109" s="210">
        <f t="shared" si="27"/>
        <v>831747.08661439829</v>
      </c>
      <c r="X109" s="210">
        <f t="shared" si="28"/>
        <v>7303037.7148618121</v>
      </c>
      <c r="Y109" s="210">
        <f t="shared" si="24"/>
        <v>365832.01433726132</v>
      </c>
      <c r="Z109" s="210">
        <f t="shared" si="25"/>
        <v>-94458049.156400681</v>
      </c>
    </row>
    <row r="110" spans="2:26" ht="15.75" thickBot="1" x14ac:dyDescent="0.3">
      <c r="B110" s="78" t="s">
        <v>39</v>
      </c>
      <c r="C110" s="79">
        <f>SUM('ABP Under Contract'!K114:P114)</f>
        <v>0</v>
      </c>
      <c r="D110" s="79">
        <f>'REC Spend projected'!H109+'REC Spend projected'!I109+'REC Spend projected'!J109+'REC Spend projected'!K109+'REC Spend projected'!L109</f>
        <v>0</v>
      </c>
      <c r="E110" s="79">
        <f>E26*'REC Spend projected'!$B$83</f>
        <v>840342.55534311186</v>
      </c>
      <c r="F110" s="79">
        <f>F26*'REC Spend projected'!$B$83</f>
        <v>1636184.937667883</v>
      </c>
      <c r="G110" s="79">
        <f>G26*'REC Spend projected'!$B$83</f>
        <v>1461623.6417793396</v>
      </c>
      <c r="H110" s="79">
        <f>H26*'REC Spend projected'!$B$83</f>
        <v>842233.88057102647</v>
      </c>
      <c r="I110" s="79">
        <f>I26*'REC Spend projected'!$B$83</f>
        <v>797513.21183647891</v>
      </c>
      <c r="J110" s="79">
        <f>J26*'REC Spend projected'!$B$83</f>
        <v>887687.72538177029</v>
      </c>
      <c r="K110" s="79">
        <f>K26*'REC Spend projected'!$B$83</f>
        <v>872939.13142969098</v>
      </c>
      <c r="L110" s="79">
        <f>L26*'REC Spend projected'!$B$83</f>
        <v>860069.16459726542</v>
      </c>
      <c r="M110" s="79">
        <f>M26*'REC Spend projected'!$B$83</f>
        <v>638065.25235386495</v>
      </c>
      <c r="N110" s="79">
        <f t="shared" si="26"/>
        <v>7996316.9456173191</v>
      </c>
      <c r="O110" s="79">
        <f>O26*'REC Spend projected'!$B$83</f>
        <v>366298.83637827518</v>
      </c>
      <c r="P110" s="79">
        <f t="shared" si="22"/>
        <v>17199275.282956026</v>
      </c>
      <c r="Q110" s="79">
        <f>'REC Spend projected'!AC107</f>
        <v>-103100248.2770744</v>
      </c>
      <c r="R110" s="79">
        <f>'REC Spend projected'!AE107</f>
        <v>-113281149.50413591</v>
      </c>
      <c r="T110" s="194" t="s">
        <v>39</v>
      </c>
      <c r="U110" s="210">
        <f t="shared" si="23"/>
        <v>0</v>
      </c>
      <c r="V110" s="210"/>
      <c r="W110" s="210">
        <f t="shared" si="27"/>
        <v>840342.55534311186</v>
      </c>
      <c r="X110" s="210">
        <f t="shared" si="28"/>
        <v>7996316.9456173191</v>
      </c>
      <c r="Y110" s="210">
        <f t="shared" si="24"/>
        <v>366298.83637827518</v>
      </c>
      <c r="Z110" s="210">
        <f t="shared" si="25"/>
        <v>-103100248.2770744</v>
      </c>
    </row>
    <row r="120" spans="2:15" ht="45.75" thickBot="1" x14ac:dyDescent="0.3">
      <c r="B120" s="83" t="s">
        <v>338</v>
      </c>
    </row>
    <row r="121" spans="2:15" ht="15.75" thickBot="1" x14ac:dyDescent="0.3">
      <c r="B121" s="352" t="s">
        <v>339</v>
      </c>
      <c r="C121" s="353"/>
      <c r="D121" s="353"/>
      <c r="E121" s="354"/>
      <c r="F121" s="355" t="s">
        <v>335</v>
      </c>
      <c r="G121" s="353"/>
      <c r="H121" s="356" t="s">
        <v>340</v>
      </c>
      <c r="I121" s="357"/>
      <c r="J121" s="72"/>
      <c r="K121" s="299"/>
      <c r="L121" s="299"/>
      <c r="M121" s="299"/>
      <c r="N121" s="299"/>
    </row>
    <row r="122" spans="2:15" ht="34.5" thickBot="1" x14ac:dyDescent="0.3">
      <c r="B122" s="73" t="s">
        <v>1</v>
      </c>
      <c r="C122" s="74" t="s">
        <v>341</v>
      </c>
      <c r="D122" s="74" t="s">
        <v>342</v>
      </c>
      <c r="E122" s="75" t="s">
        <v>343</v>
      </c>
      <c r="F122" s="75" t="s">
        <v>344</v>
      </c>
      <c r="G122" s="75" t="s">
        <v>345</v>
      </c>
      <c r="H122" s="74" t="s">
        <v>346</v>
      </c>
      <c r="I122" s="74" t="s">
        <v>347</v>
      </c>
      <c r="J122" s="74" t="s">
        <v>348</v>
      </c>
      <c r="K122" s="74" t="s">
        <v>316</v>
      </c>
      <c r="L122" s="74" t="s">
        <v>330</v>
      </c>
      <c r="M122" s="221" t="s">
        <v>349</v>
      </c>
      <c r="N122" s="76" t="s">
        <v>228</v>
      </c>
    </row>
    <row r="123" spans="2:15" ht="15.75" thickBot="1" x14ac:dyDescent="0.3">
      <c r="B123" s="78" t="s">
        <v>16</v>
      </c>
      <c r="C123" s="80">
        <f>'REC Spend projected'!H4</f>
        <v>30848359.600711424</v>
      </c>
      <c r="D123" s="79">
        <f>'REC Spend projected'!B4+'REC Spend projected'!C4+'REC Spend projected'!D4</f>
        <v>216561392.63</v>
      </c>
      <c r="E123" s="79">
        <f>'REC Spend projected'!I4</f>
        <v>5397290.4699999997</v>
      </c>
      <c r="F123" s="79">
        <f>'REC Spend projected'!E4+'REC Spend projected'!F4+'REC Spend projected'!G4</f>
        <v>0</v>
      </c>
      <c r="G123" s="79">
        <f>'REC Spend projected'!J4+'REC Spend projected'!K4+'REC Spend projected'!L4</f>
        <v>0</v>
      </c>
      <c r="H123" s="79">
        <f>'REC Spend projected'!Q4+'REC Spend projected'!R4+'REC Spend projected'!S4+'REC Spend projected'!T4+'REC Spend projected'!U4+'REC Spend projected'!V4</f>
        <v>0</v>
      </c>
      <c r="I123" s="79">
        <f>'REC Spend projected'!W4+'REC Spend projected'!X4+'REC Spend projected'!Y4</f>
        <v>0</v>
      </c>
      <c r="J123" s="79">
        <f>'REC Spend projected'!M4+'REC Spend projected'!N4+'REC Spend projected'!O4</f>
        <v>18018880.058405567</v>
      </c>
      <c r="K123" s="79">
        <f t="shared" ref="K123:K145" si="29">SUM(C123:J123)</f>
        <v>270825922.75911701</v>
      </c>
      <c r="L123" s="79">
        <f>'REC Spend projected'!AC4</f>
        <v>519026555.7110191</v>
      </c>
      <c r="M123" s="79">
        <f>'REC Spend projected'!AD4</f>
        <v>270825922.75911701</v>
      </c>
      <c r="N123" s="79">
        <f>'REC Spend projected'!AE4</f>
        <v>248200632.95190209</v>
      </c>
      <c r="O123" s="82"/>
    </row>
    <row r="124" spans="2:15" ht="15.75" thickBot="1" x14ac:dyDescent="0.3">
      <c r="B124" s="78" t="s">
        <v>17</v>
      </c>
      <c r="C124" s="80">
        <f>'REC Spend projected'!H5</f>
        <v>24142255.383493654</v>
      </c>
      <c r="D124" s="79">
        <f>'REC Spend projected'!B5+'REC Spend projected'!C5+'REC Spend projected'!D5</f>
        <v>206843524.29000002</v>
      </c>
      <c r="E124" s="79">
        <f>'REC Spend projected'!I5</f>
        <v>19260591.157020841</v>
      </c>
      <c r="F124" s="79">
        <f>'REC Spend projected'!E5+'REC Spend projected'!F5+'REC Spend projected'!G5</f>
        <v>0</v>
      </c>
      <c r="G124" s="79">
        <f>'REC Spend projected'!J5+'REC Spend projected'!K5+'REC Spend projected'!L5</f>
        <v>0</v>
      </c>
      <c r="H124" s="79">
        <f>'REC Spend projected'!Q5+'REC Spend projected'!R5+'REC Spend projected'!S5+'REC Spend projected'!T5+'REC Spend projected'!U5+'REC Spend projected'!V5</f>
        <v>0</v>
      </c>
      <c r="I124" s="79">
        <f>'REC Spend projected'!W5+'REC Spend projected'!X5+'REC Spend projected'!Y5</f>
        <v>0</v>
      </c>
      <c r="J124" s="79">
        <f>'REC Spend projected'!M5+'REC Spend projected'!N5+'REC Spend projected'!O5</f>
        <v>73942135.092404008</v>
      </c>
      <c r="K124" s="79">
        <f t="shared" si="29"/>
        <v>324188505.92291856</v>
      </c>
      <c r="L124" s="79">
        <f>'REC Spend projected'!AC5</f>
        <v>712938469.36536932</v>
      </c>
      <c r="M124" s="79">
        <f>'REC Spend projected'!AD5</f>
        <v>324188505.92291856</v>
      </c>
      <c r="N124" s="79">
        <f>'REC Spend projected'!AE5</f>
        <v>388749963.44245076</v>
      </c>
      <c r="O124" s="82"/>
    </row>
    <row r="125" spans="2:15" ht="15.75" thickBot="1" x14ac:dyDescent="0.3">
      <c r="B125" s="78" t="s">
        <v>18</v>
      </c>
      <c r="C125" s="80">
        <f>'REC Spend projected'!H6</f>
        <v>22062344.595163539</v>
      </c>
      <c r="D125" s="79">
        <f>'REC Spend projected'!B6+'REC Spend projected'!C6+'REC Spend projected'!D6</f>
        <v>256275587.24000001</v>
      </c>
      <c r="E125" s="79">
        <f>'REC Spend projected'!I6</f>
        <v>22975411.212579787</v>
      </c>
      <c r="F125" s="79">
        <f>'REC Spend projected'!E6+'REC Spend projected'!F6+'REC Spend projected'!G6</f>
        <v>0</v>
      </c>
      <c r="G125" s="79">
        <f>'REC Spend projected'!J6+'REC Spend projected'!K6+'REC Spend projected'!L6</f>
        <v>0</v>
      </c>
      <c r="H125" s="79">
        <f>'REC Spend projected'!Q6+'REC Spend projected'!R6+'REC Spend projected'!S6+'REC Spend projected'!T6+'REC Spend projected'!U6+'REC Spend projected'!V6</f>
        <v>0</v>
      </c>
      <c r="I125" s="79">
        <f>'REC Spend projected'!W6+'REC Spend projected'!X6+'REC Spend projected'!Y6</f>
        <v>0</v>
      </c>
      <c r="J125" s="79">
        <f>'REC Spend projected'!M6+'REC Spend projected'!N6+'REC Spend projected'!O6</f>
        <v>67623889.800951704</v>
      </c>
      <c r="K125" s="79">
        <f t="shared" si="29"/>
        <v>368937232.84869504</v>
      </c>
      <c r="L125" s="79">
        <f>'REC Spend projected'!AC6</f>
        <v>976212956.80750775</v>
      </c>
      <c r="M125" s="79">
        <f>'REC Spend projected'!AD6</f>
        <v>368937232.84869504</v>
      </c>
      <c r="N125" s="79">
        <f>'REC Spend projected'!AE6</f>
        <v>607275723.95881271</v>
      </c>
      <c r="O125" s="82"/>
    </row>
    <row r="126" spans="2:15" ht="15.75" thickBot="1" x14ac:dyDescent="0.3">
      <c r="B126" s="78" t="s">
        <v>19</v>
      </c>
      <c r="C126" s="80">
        <f>'REC Spend projected'!H7</f>
        <v>17721007.415898785</v>
      </c>
      <c r="D126" s="79">
        <f>'REC Spend projected'!B7+'REC Spend projected'!C7+'REC Spend projected'!D7</f>
        <v>472820169.50000006</v>
      </c>
      <c r="E126" s="79">
        <f>'REC Spend projected'!I7</f>
        <v>22594914.147020839</v>
      </c>
      <c r="F126" s="79">
        <f>'REC Spend projected'!E7+'REC Spend projected'!F7+'REC Spend projected'!G7</f>
        <v>0</v>
      </c>
      <c r="G126" s="79">
        <f>'REC Spend projected'!J7+'REC Spend projected'!K7+'REC Spend projected'!L7</f>
        <v>0</v>
      </c>
      <c r="H126" s="79">
        <f>'REC Spend projected'!Q7+'REC Spend projected'!R7+'REC Spend projected'!S7+'REC Spend projected'!T7+'REC Spend projected'!U7+'REC Spend projected'!V7</f>
        <v>0</v>
      </c>
      <c r="I126" s="79">
        <f>'REC Spend projected'!W7+'REC Spend projected'!X7+'REC Spend projected'!Y7</f>
        <v>0</v>
      </c>
      <c r="J126" s="79">
        <f>'REC Spend projected'!M7+'REC Spend projected'!N7+'REC Spend projected'!O7</f>
        <v>67322647.088471591</v>
      </c>
      <c r="K126" s="79">
        <f t="shared" si="29"/>
        <v>580458738.15139127</v>
      </c>
      <c r="L126" s="79">
        <f>'REC Spend projected'!AC7</f>
        <v>1184697293.5745325</v>
      </c>
      <c r="M126" s="79">
        <f>'REC Spend projected'!AD7</f>
        <v>580458738.15139127</v>
      </c>
      <c r="N126" s="79">
        <f>'REC Spend projected'!AE7</f>
        <v>604238555.42314124</v>
      </c>
      <c r="O126" s="82"/>
    </row>
    <row r="127" spans="2:15" ht="15.75" thickBot="1" x14ac:dyDescent="0.3">
      <c r="B127" s="78" t="s">
        <v>21</v>
      </c>
      <c r="C127" s="80">
        <f>'REC Spend projected'!H8</f>
        <v>17421541.685608782</v>
      </c>
      <c r="D127" s="79">
        <f>'REC Spend projected'!B8+'REC Spend projected'!C8+'REC Spend projected'!D8</f>
        <v>391818753.43999994</v>
      </c>
      <c r="E127" s="79">
        <f>'REC Spend projected'!I8</f>
        <v>22594914.147020839</v>
      </c>
      <c r="F127" s="79">
        <f>'REC Spend projected'!E8+'REC Spend projected'!F8+'REC Spend projected'!G8</f>
        <v>987482.15700000001</v>
      </c>
      <c r="G127" s="79">
        <f>'REC Spend projected'!J8+'REC Spend projected'!K8+'REC Spend projected'!L8</f>
        <v>44325.176186843986</v>
      </c>
      <c r="H127" s="79">
        <f>'REC Spend projected'!Q8+'REC Spend projected'!R8+'REC Spend projected'!S8+'REC Spend projected'!T8+'REC Spend projected'!U8+'REC Spend projected'!V8</f>
        <v>33640118.733321041</v>
      </c>
      <c r="I127" s="79">
        <f>'REC Spend projected'!W8+'REC Spend projected'!X8+'REC Spend projected'!Y8</f>
        <v>0</v>
      </c>
      <c r="J127" s="79">
        <f>'REC Spend projected'!M8+'REC Spend projected'!N8+'REC Spend projected'!O8</f>
        <v>77198419.557390258</v>
      </c>
      <c r="K127" s="79">
        <f t="shared" si="29"/>
        <v>543705554.89652765</v>
      </c>
      <c r="L127" s="79">
        <f>'REC Spend projected'!AC8</f>
        <v>1177519207.3361497</v>
      </c>
      <c r="M127" s="79">
        <f>'REC Spend projected'!AD8</f>
        <v>543705554.89652777</v>
      </c>
      <c r="N127" s="79">
        <f>'REC Spend projected'!AE8</f>
        <v>633813652.43962193</v>
      </c>
      <c r="O127" s="82"/>
    </row>
    <row r="128" spans="2:15" ht="15.75" thickBot="1" x14ac:dyDescent="0.3">
      <c r="B128" s="78" t="s">
        <v>22</v>
      </c>
      <c r="C128" s="80">
        <f>'REC Spend projected'!H9</f>
        <v>11401431.694168944</v>
      </c>
      <c r="D128" s="79">
        <f>'REC Spend projected'!B9+'REC Spend projected'!C9+'REC Spend projected'!D9</f>
        <v>222555431.81</v>
      </c>
      <c r="E128" s="79">
        <f>'REC Spend projected'!I9</f>
        <v>25216962.408598416</v>
      </c>
      <c r="F128" s="79">
        <f>'REC Spend projected'!E9+'REC Spend projected'!F9+'REC Spend projected'!G9</f>
        <v>23817922.540000003</v>
      </c>
      <c r="G128" s="79">
        <f>'REC Spend projected'!J9+'REC Spend projected'!K9+'REC Spend projected'!L9</f>
        <v>30804300.626826916</v>
      </c>
      <c r="H128" s="79">
        <f>'REC Spend projected'!Q9+'REC Spend projected'!R9+'REC Spend projected'!S9+'REC Spend projected'!T9+'REC Spend projected'!U9+'REC Spend projected'!V9</f>
        <v>255395715.96154532</v>
      </c>
      <c r="I128" s="79">
        <f>'REC Spend projected'!W9+'REC Spend projected'!X9+'REC Spend projected'!Y9</f>
        <v>0</v>
      </c>
      <c r="J128" s="79">
        <f>'REC Spend projected'!M9+'REC Spend projected'!N9+'REC Spend projected'!O9</f>
        <v>67145711.256652042</v>
      </c>
      <c r="K128" s="79">
        <f t="shared" si="29"/>
        <v>636337476.2977916</v>
      </c>
      <c r="L128" s="79">
        <f>'REC Spend projected'!AC9</f>
        <v>1205337360.9946899</v>
      </c>
      <c r="M128" s="79">
        <f>'REC Spend projected'!AD9</f>
        <v>636337476.2977916</v>
      </c>
      <c r="N128" s="79">
        <f>'REC Spend projected'!AE9</f>
        <v>568999884.69689834</v>
      </c>
      <c r="O128" s="82"/>
    </row>
    <row r="129" spans="2:15" ht="15.75" thickBot="1" x14ac:dyDescent="0.3">
      <c r="B129" s="78" t="s">
        <v>23</v>
      </c>
      <c r="C129" s="80">
        <f>'REC Spend projected'!H10</f>
        <v>8215431.7104763286</v>
      </c>
      <c r="D129" s="79">
        <f>'REC Spend projected'!B10+'REC Spend projected'!C10+'REC Spend projected'!D10</f>
        <v>197579474.98000002</v>
      </c>
      <c r="E129" s="79">
        <f>'REC Spend projected'!I10</f>
        <v>25216962.408598416</v>
      </c>
      <c r="F129" s="79">
        <f>'REC Spend projected'!E10+'REC Spend projected'!F10+'REC Spend projected'!G10</f>
        <v>33902696.729999997</v>
      </c>
      <c r="G129" s="79">
        <f>'REC Spend projected'!J10+'REC Spend projected'!K10+'REC Spend projected'!L10</f>
        <v>109417659.26468527</v>
      </c>
      <c r="H129" s="79">
        <f>'REC Spend projected'!Q10+'REC Spend projected'!R10+'REC Spend projected'!S10+'REC Spend projected'!T10+'REC Spend projected'!U10+'REC Spend projected'!V10</f>
        <v>316615339.7188648</v>
      </c>
      <c r="I129" s="79">
        <f>'REC Spend projected'!W10+'REC Spend projected'!X10+'REC Spend projected'!Y10</f>
        <v>0</v>
      </c>
      <c r="J129" s="79">
        <f>'REC Spend projected'!M10+'REC Spend projected'!N10+'REC Spend projected'!O10</f>
        <v>67095059.275192291</v>
      </c>
      <c r="K129" s="79">
        <f t="shared" si="29"/>
        <v>758042624.08781707</v>
      </c>
      <c r="L129" s="79">
        <f>'REC Spend projected'!AC10</f>
        <v>1138835193.8699746</v>
      </c>
      <c r="M129" s="79">
        <f>'REC Spend projected'!AD10</f>
        <v>758042624.08781719</v>
      </c>
      <c r="N129" s="79">
        <f>'REC Spend projected'!AE10</f>
        <v>380792569.78215742</v>
      </c>
      <c r="O129" s="82"/>
    </row>
    <row r="130" spans="2:15" ht="15.75" thickBot="1" x14ac:dyDescent="0.3">
      <c r="B130" s="78" t="s">
        <v>24</v>
      </c>
      <c r="C130" s="80">
        <f>'REC Spend projected'!H11</f>
        <v>4480482.7749063233</v>
      </c>
      <c r="D130" s="79">
        <f>'REC Spend projected'!B11+'REC Spend projected'!C11+'REC Spend projected'!D11</f>
        <v>172680986.29000002</v>
      </c>
      <c r="E130" s="79">
        <f>'REC Spend projected'!I11</f>
        <v>25216962.408598416</v>
      </c>
      <c r="F130" s="79">
        <f>'REC Spend projected'!E11+'REC Spend projected'!F11+'REC Spend projected'!G11</f>
        <v>33276616.420000002</v>
      </c>
      <c r="G130" s="79">
        <f>'REC Spend projected'!J11+'REC Spend projected'!K11+'REC Spend projected'!L11</f>
        <v>216341919.22565913</v>
      </c>
      <c r="H130" s="79">
        <f>'REC Spend projected'!Q11+'REC Spend projected'!R11+'REC Spend projected'!S11+'REC Spend projected'!T11+'REC Spend projected'!U11+'REC Spend projected'!V11</f>
        <v>374895100.58817184</v>
      </c>
      <c r="I130" s="79">
        <f>'REC Spend projected'!W11+'REC Spend projected'!X11+'REC Spend projected'!Y11</f>
        <v>0</v>
      </c>
      <c r="J130" s="79">
        <f>'REC Spend projected'!M11+'REC Spend projected'!N11+'REC Spend projected'!O11</f>
        <v>77304402.141023755</v>
      </c>
      <c r="K130" s="79">
        <f t="shared" si="29"/>
        <v>904196469.84835947</v>
      </c>
      <c r="L130" s="79">
        <f>'REC Spend projected'!AC11</f>
        <v>957605974.48294914</v>
      </c>
      <c r="M130" s="79">
        <f>'REC Spend projected'!AD11</f>
        <v>904196469.84835958</v>
      </c>
      <c r="N130" s="79">
        <f>'REC Spend projected'!AE11</f>
        <v>53409504.634589553</v>
      </c>
      <c r="O130" s="82"/>
    </row>
    <row r="131" spans="2:15" ht="15.75" thickBot="1" x14ac:dyDescent="0.3">
      <c r="B131" s="81" t="s">
        <v>25</v>
      </c>
      <c r="C131" s="80">
        <f>'REC Spend projected'!H12</f>
        <v>4478132.259204451</v>
      </c>
      <c r="D131" s="79">
        <f>'REC Spend projected'!B12+'REC Spend projected'!C12+'REC Spend projected'!D12</f>
        <v>154674537.72</v>
      </c>
      <c r="E131" s="79">
        <f>'REC Spend projected'!I12</f>
        <v>25216962.408598416</v>
      </c>
      <c r="F131" s="79">
        <f>'REC Spend projected'!E12+'REC Spend projected'!F12+'REC Spend projected'!G12</f>
        <v>33268430.32</v>
      </c>
      <c r="G131" s="79">
        <f>'REC Spend projected'!J12+'REC Spend projected'!K12+'REC Spend projected'!L12</f>
        <v>249180667.60181963</v>
      </c>
      <c r="H131" s="79">
        <f>'REC Spend projected'!Q12+'REC Spend projected'!R12+'REC Spend projected'!S12+'REC Spend projected'!T12+'REC Spend projected'!U12+'REC Spend projected'!V12</f>
        <v>430713791.44982588</v>
      </c>
      <c r="I131" s="79">
        <f>'REC Spend projected'!W12+'REC Spend projected'!X12+'REC Spend projected'!Y12</f>
        <v>102266593.52128965</v>
      </c>
      <c r="J131" s="79">
        <f>'REC Spend projected'!M12+'REC Spend projected'!N12+'REC Spend projected'!O12</f>
        <v>67640600.719584882</v>
      </c>
      <c r="K131" s="79">
        <f t="shared" si="29"/>
        <v>1067439716.0003231</v>
      </c>
      <c r="L131" s="79">
        <f>'REC Spend projected'!AC12</f>
        <v>641429528.62075233</v>
      </c>
      <c r="M131" s="79">
        <f>'REC Spend projected'!AD12</f>
        <v>1067439716.0003231</v>
      </c>
      <c r="N131" s="79">
        <f>'REC Spend projected'!AE12</f>
        <v>-426010187.37957072</v>
      </c>
      <c r="O131" s="82"/>
    </row>
    <row r="132" spans="2:15" ht="15.75" thickBot="1" x14ac:dyDescent="0.3">
      <c r="B132" s="78" t="s">
        <v>26</v>
      </c>
      <c r="C132" s="80">
        <f>'REC Spend projected'!H13</f>
        <v>4338008.6485485407</v>
      </c>
      <c r="D132" s="79">
        <f>'REC Spend projected'!B13+'REC Spend projected'!C13+'REC Spend projected'!D13</f>
        <v>153105719.99000001</v>
      </c>
      <c r="E132" s="79">
        <f>'REC Spend projected'!I13</f>
        <v>25216962.408598416</v>
      </c>
      <c r="F132" s="79">
        <f>'REC Spend projected'!E13+'REC Spend projected'!F13+'REC Spend projected'!G13</f>
        <v>33260423.080000002</v>
      </c>
      <c r="G132" s="79">
        <f>'REC Spend projected'!J13+'REC Spend projected'!K13+'REC Spend projected'!L13</f>
        <v>255229923.93849656</v>
      </c>
      <c r="H132" s="79">
        <f>'REC Spend projected'!Q13+'REC Spend projected'!R13+'REC Spend projected'!S13+'REC Spend projected'!T13+'REC Spend projected'!U13+'REC Spend projected'!V13</f>
        <v>484170504.50199741</v>
      </c>
      <c r="I132" s="79">
        <f>'REC Spend projected'!W13+'REC Spend projected'!X13+'REC Spend projected'!Y13</f>
        <v>218086387.67953733</v>
      </c>
      <c r="J132" s="79">
        <f>'REC Spend projected'!M13+'REC Spend projected'!N13+'REC Spend projected'!O13</f>
        <v>68123785.490454584</v>
      </c>
      <c r="K132" s="79">
        <f t="shared" si="29"/>
        <v>1241531715.737633</v>
      </c>
      <c r="L132" s="79">
        <f>'REC Spend projected'!AC13</f>
        <v>178115995.63558197</v>
      </c>
      <c r="M132" s="79">
        <f>'REC Spend projected'!AD13</f>
        <v>1241531715.7376328</v>
      </c>
      <c r="N132" s="79">
        <f>'REC Spend projected'!AE13</f>
        <v>-1063415720.1020508</v>
      </c>
      <c r="O132" s="82"/>
    </row>
    <row r="133" spans="2:15" ht="15.75" thickBot="1" x14ac:dyDescent="0.3">
      <c r="B133" s="78" t="s">
        <v>27</v>
      </c>
      <c r="C133" s="80">
        <f>'REC Spend projected'!H14</f>
        <v>4303453.6786395097</v>
      </c>
      <c r="D133" s="79">
        <f>'REC Spend projected'!B14+'REC Spend projected'!C14+'REC Spend projected'!D14</f>
        <v>149820970.60000002</v>
      </c>
      <c r="E133" s="79">
        <f>'REC Spend projected'!I14</f>
        <v>25216962.408598416</v>
      </c>
      <c r="F133" s="79">
        <f>'REC Spend projected'!E14+'REC Spend projected'!F14+'REC Spend projected'!G14</f>
        <v>33252334.620000001</v>
      </c>
      <c r="G133" s="79">
        <f>'REC Spend projected'!J14+'REC Spend projected'!K14+'REC Spend projected'!L14</f>
        <v>255101412.58871025</v>
      </c>
      <c r="H133" s="79">
        <f>'REC Spend projected'!Q14+'REC Spend projected'!R14+'REC Spend projected'!S14+'REC Spend projected'!T14+'REC Spend projected'!U14+'REC Spend projected'!V14</f>
        <v>535360365.00794107</v>
      </c>
      <c r="I133" s="79">
        <f>'REC Spend projected'!W14+'REC Spend projected'!X14+'REC Spend projected'!Y14</f>
        <v>339820661.8582502</v>
      </c>
      <c r="J133" s="79">
        <f>'REC Spend projected'!M14+'REC Spend projected'!N14+'REC Spend projected'!O14</f>
        <v>78786284.459790573</v>
      </c>
      <c r="K133" s="79">
        <f t="shared" si="29"/>
        <v>1421662445.2219298</v>
      </c>
      <c r="L133" s="79">
        <f>'REC Spend projected'!AC14</f>
        <v>-437206238.1090318</v>
      </c>
      <c r="M133" s="79">
        <f>'REC Spend projected'!AD14</f>
        <v>1421662445.22193</v>
      </c>
      <c r="N133" s="79">
        <f>'REC Spend projected'!AE14</f>
        <v>-1858868683.3309617</v>
      </c>
      <c r="O133" s="82"/>
    </row>
    <row r="134" spans="2:15" ht="15.75" thickBot="1" x14ac:dyDescent="0.3">
      <c r="B134" s="78" t="s">
        <v>28</v>
      </c>
      <c r="C134" s="80">
        <f>'REC Spend projected'!H15</f>
        <v>4261079.6921323007</v>
      </c>
      <c r="D134" s="79">
        <f>'REC Spend projected'!B15+'REC Spend projected'!C15+'REC Spend projected'!D15</f>
        <v>104408369.2</v>
      </c>
      <c r="E134" s="79">
        <f>'REC Spend projected'!I15</f>
        <v>25216962.408598416</v>
      </c>
      <c r="F134" s="79">
        <f>'REC Spend projected'!E15+'REC Spend projected'!F15+'REC Spend projected'!G15</f>
        <v>2609259.86</v>
      </c>
      <c r="G134" s="79">
        <f>'REC Spend projected'!J15+'REC Spend projected'!K15+'REC Spend projected'!L15</f>
        <v>262090559.87652451</v>
      </c>
      <c r="H134" s="79">
        <f>'REC Spend projected'!Q15+'REC Spend projected'!R15+'REC Spend projected'!S15+'REC Spend projected'!T15+'REC Spend projected'!U15+'REC Spend projected'!V15</f>
        <v>574232037.87029362</v>
      </c>
      <c r="I134" s="79">
        <f>'REC Spend projected'!W15+'REC Spend projected'!X15+'REC Spend projected'!Y15</f>
        <v>449549464.55250758</v>
      </c>
      <c r="J134" s="79">
        <f>'REC Spend projected'!M15+'REC Spend projected'!N15+'REC Spend projected'!O15</f>
        <v>69538734.721551597</v>
      </c>
      <c r="K134" s="79">
        <f t="shared" si="29"/>
        <v>1491906468.1816082</v>
      </c>
      <c r="L134" s="79">
        <f>'REC Spend projected'!AC15</f>
        <v>-1207577525.9459083</v>
      </c>
      <c r="M134" s="79">
        <f>'REC Spend projected'!AD15</f>
        <v>1491906468.181608</v>
      </c>
      <c r="N134" s="79">
        <f>'REC Spend projected'!AE15</f>
        <v>-2699483994.1275163</v>
      </c>
      <c r="O134" s="82"/>
    </row>
    <row r="135" spans="2:15" ht="15.75" thickBot="1" x14ac:dyDescent="0.3">
      <c r="B135" s="78" t="s">
        <v>29</v>
      </c>
      <c r="C135" s="80">
        <f>'REC Spend projected'!H16</f>
        <v>0</v>
      </c>
      <c r="D135" s="79">
        <f>'REC Spend projected'!B16+'REC Spend projected'!C16+'REC Spend projected'!D16</f>
        <v>104039452.09999999</v>
      </c>
      <c r="E135" s="79">
        <f>'REC Spend projected'!I16</f>
        <v>25216962.408598416</v>
      </c>
      <c r="F135" s="79">
        <f>'REC Spend projected'!E16+'REC Spend projected'!F16+'REC Spend projected'!G16</f>
        <v>2510815.7200000002</v>
      </c>
      <c r="G135" s="79">
        <f>'REC Spend projected'!J16+'REC Spend projected'!K16+'REC Spend projected'!L16</f>
        <v>262424421.43176392</v>
      </c>
      <c r="H135" s="79">
        <f>'REC Spend projected'!Q16+'REC Spend projected'!R16+'REC Spend projected'!S16+'REC Spend projected'!T16+'REC Spend projected'!U16+'REC Spend projected'!V16</f>
        <v>582725011.61942673</v>
      </c>
      <c r="I135" s="79">
        <f>'REC Spend projected'!W16+'REC Spend projected'!X16+'REC Spend projected'!Y16</f>
        <v>567923565.04347205</v>
      </c>
      <c r="J135" s="79">
        <f>'REC Spend projected'!M16+'REC Spend projected'!N16+'REC Spend projected'!O16</f>
        <v>70311109.983324051</v>
      </c>
      <c r="K135" s="79">
        <f t="shared" si="29"/>
        <v>1615151338.3065853</v>
      </c>
      <c r="L135" s="79">
        <f>'REC Spend projected'!AC16</f>
        <v>-2022446994.6833811</v>
      </c>
      <c r="M135" s="79">
        <f>'REC Spend projected'!AD16</f>
        <v>1615151338.3065848</v>
      </c>
      <c r="N135" s="79">
        <f>'REC Spend projected'!AE16</f>
        <v>-3637598332.9899659</v>
      </c>
      <c r="O135" s="82"/>
    </row>
    <row r="136" spans="2:15" ht="15.75" thickBot="1" x14ac:dyDescent="0.3">
      <c r="B136" s="78" t="s">
        <v>30</v>
      </c>
      <c r="C136" s="80">
        <f>'REC Spend projected'!H17</f>
        <v>0</v>
      </c>
      <c r="D136" s="79">
        <f>'REC Spend projected'!B17+'REC Spend projected'!C17+'REC Spend projected'!D17</f>
        <v>72979719.939999998</v>
      </c>
      <c r="E136" s="79">
        <f>'REC Spend projected'!I17</f>
        <v>22803773.825288881</v>
      </c>
      <c r="F136" s="79">
        <f>'REC Spend projected'!E17+'REC Spend projected'!F17+'REC Spend projected'!G17</f>
        <v>1585799.13</v>
      </c>
      <c r="G136" s="79">
        <f>'REC Spend projected'!J17+'REC Spend projected'!K17+'REC Spend projected'!L17</f>
        <v>247693814.19488293</v>
      </c>
      <c r="H136" s="79">
        <f>'REC Spend projected'!Q17+'REC Spend projected'!R17+'REC Spend projected'!S17+'REC Spend projected'!T17+'REC Spend projected'!U17+'REC Spend projected'!V17</f>
        <v>499780480.2244876</v>
      </c>
      <c r="I136" s="79">
        <f>'REC Spend projected'!W17+'REC Spend projected'!X17+'REC Spend projected'!Y17</f>
        <v>636375547.15411639</v>
      </c>
      <c r="J136" s="79">
        <f>'REC Spend projected'!M17+'REC Spend projected'!N17+'REC Spend projected'!O17</f>
        <v>70999871.477821618</v>
      </c>
      <c r="K136" s="79">
        <f t="shared" si="29"/>
        <v>1552219005.9465973</v>
      </c>
      <c r="L136" s="79">
        <f>'REC Spend projected'!AC17</f>
        <v>-2937602617.0625782</v>
      </c>
      <c r="M136" s="79">
        <f>'REC Spend projected'!AD17</f>
        <v>1552219005.9465973</v>
      </c>
      <c r="N136" s="79">
        <f>'REC Spend projected'!AE17</f>
        <v>-4489821623.0091753</v>
      </c>
      <c r="O136" s="82"/>
    </row>
    <row r="137" spans="2:15" ht="15.75" thickBot="1" x14ac:dyDescent="0.3">
      <c r="B137" s="78" t="s">
        <v>31</v>
      </c>
      <c r="C137" s="80">
        <f>'REC Spend projected'!H18</f>
        <v>0</v>
      </c>
      <c r="D137" s="79">
        <f>'REC Spend projected'!B18+'REC Spend projected'!C18+'REC Spend projected'!D18</f>
        <v>72614586.129999995</v>
      </c>
      <c r="E137" s="79">
        <f>'REC Spend projected'!I18</f>
        <v>22790653.063402295</v>
      </c>
      <c r="F137" s="79">
        <f>'REC Spend projected'!E18+'REC Spend projected'!F18+'REC Spend projected'!G18</f>
        <v>1577684.79</v>
      </c>
      <c r="G137" s="79">
        <f>'REC Spend projected'!J18+'REC Spend projected'!K18+'REC Spend projected'!L18</f>
        <v>233195271.96660408</v>
      </c>
      <c r="H137" s="79">
        <f>'REC Spend projected'!Q18+'REC Spend projected'!R18+'REC Spend projected'!S18+'REC Spend projected'!T18+'REC Spend projected'!U18+'REC Spend projected'!V18</f>
        <v>479376171.49152476</v>
      </c>
      <c r="I137" s="79">
        <f>'REC Spend projected'!W18+'REC Spend projected'!X18+'REC Spend projected'!Y18</f>
        <v>683369169.59056449</v>
      </c>
      <c r="J137" s="79">
        <f>'REC Spend projected'!M18+'REC Spend projected'!N18+'REC Spend projected'!O18</f>
        <v>71638874.837884039</v>
      </c>
      <c r="K137" s="79">
        <f t="shared" si="29"/>
        <v>1564562411.8699796</v>
      </c>
      <c r="L137" s="79">
        <f>'REC Spend projected'!AC18</f>
        <v>-3768525795.0797071</v>
      </c>
      <c r="M137" s="79">
        <f>'REC Spend projected'!AD18</f>
        <v>1564562411.8699796</v>
      </c>
      <c r="N137" s="79">
        <f>'REC Spend projected'!AE18</f>
        <v>-5333088206.949687</v>
      </c>
      <c r="O137" s="82"/>
    </row>
    <row r="138" spans="2:15" ht="15.75" thickBot="1" x14ac:dyDescent="0.3">
      <c r="B138" s="78" t="s">
        <v>32</v>
      </c>
      <c r="C138" s="80">
        <f>'REC Spend projected'!H19</f>
        <v>0</v>
      </c>
      <c r="D138" s="79">
        <f>'REC Spend projected'!B19+'REC Spend projected'!C19+'REC Spend projected'!D19</f>
        <v>72251854.329999998</v>
      </c>
      <c r="E138" s="79">
        <f>'REC Spend projected'!I19</f>
        <v>20115592.524979867</v>
      </c>
      <c r="F138" s="79">
        <f>'REC Spend projected'!E19+'REC Spend projected'!F19+'REC Spend projected'!G19</f>
        <v>1569827.9</v>
      </c>
      <c r="G138" s="79">
        <f>'REC Spend projected'!J19+'REC Spend projected'!K19+'REC Spend projected'!L19</f>
        <v>259490814.07270366</v>
      </c>
      <c r="H138" s="79">
        <f>'REC Spend projected'!Q19+'REC Spend projected'!R19+'REC Spend projected'!S19+'REC Spend projected'!T19+'REC Spend projected'!U19+'REC Spend projected'!V19</f>
        <v>459839129.51190358</v>
      </c>
      <c r="I138" s="79">
        <f>'REC Spend projected'!W19+'REC Spend projected'!X19+'REC Spend projected'!Y19</f>
        <v>702423917.20921111</v>
      </c>
      <c r="J138" s="79">
        <f>'REC Spend projected'!M19+'REC Spend projected'!N19+'REC Spend projected'!O19</f>
        <v>72135547.577141881</v>
      </c>
      <c r="K138" s="79">
        <f t="shared" si="29"/>
        <v>1587826683.1259403</v>
      </c>
      <c r="L138" s="79">
        <f>'REC Spend projected'!AC19</f>
        <v>-4595236621.0449581</v>
      </c>
      <c r="M138" s="79">
        <f>'REC Spend projected'!AD19</f>
        <v>1587826683.1259401</v>
      </c>
      <c r="N138" s="79">
        <f>'REC Spend projected'!AE19</f>
        <v>-6183063304.1708984</v>
      </c>
      <c r="O138" s="82"/>
    </row>
    <row r="139" spans="2:15" ht="15.75" thickBot="1" x14ac:dyDescent="0.3">
      <c r="B139" s="78" t="s">
        <v>33</v>
      </c>
      <c r="C139" s="80">
        <f>'REC Spend projected'!H20</f>
        <v>0</v>
      </c>
      <c r="D139" s="79">
        <f>'REC Spend projected'!B20+'REC Spend projected'!C20+'REC Spend projected'!D20</f>
        <v>71890701.040000007</v>
      </c>
      <c r="E139" s="79">
        <f>'REC Spend projected'!I20</f>
        <v>8502461.7215775736</v>
      </c>
      <c r="F139" s="79">
        <f>'REC Spend projected'!E20+'REC Spend projected'!F20+'REC Spend projected'!G20</f>
        <v>1562026.26</v>
      </c>
      <c r="G139" s="79">
        <f>'REC Spend projected'!J20+'REC Spend projected'!K20+'REC Spend projected'!L20</f>
        <v>270694060.54766244</v>
      </c>
      <c r="H139" s="79">
        <f>'REC Spend projected'!Q20+'REC Spend projected'!R20+'REC Spend projected'!S20+'REC Spend projected'!T20+'REC Spend projected'!U20+'REC Spend projected'!V20</f>
        <v>441005011.42156696</v>
      </c>
      <c r="I139" s="79">
        <f>'REC Spend projected'!W20+'REC Spend projected'!X20+'REC Spend projected'!Y20</f>
        <v>757778132.41298187</v>
      </c>
      <c r="J139" s="79">
        <f>'REC Spend projected'!M20+'REC Spend projected'!N20+'REC Spend projected'!O20</f>
        <v>72499312.827168688</v>
      </c>
      <c r="K139" s="79">
        <f t="shared" si="29"/>
        <v>1623931706.2309577</v>
      </c>
      <c r="L139" s="79">
        <f>'REC Spend projected'!AC20</f>
        <v>-5433086209.931942</v>
      </c>
      <c r="M139" s="79">
        <f>'REC Spend projected'!AD20</f>
        <v>1623931706.2309577</v>
      </c>
      <c r="N139" s="79">
        <f>'REC Spend projected'!AE20</f>
        <v>-7057017916.1629</v>
      </c>
      <c r="O139" s="82"/>
    </row>
    <row r="140" spans="2:15" ht="15.75" thickBot="1" x14ac:dyDescent="0.3">
      <c r="B140" s="78" t="s">
        <v>34</v>
      </c>
      <c r="C140" s="80">
        <f>'REC Spend projected'!H21</f>
        <v>0</v>
      </c>
      <c r="D140" s="79">
        <f>'REC Spend projected'!B21+'REC Spend projected'!C21+'REC Spend projected'!D21</f>
        <v>71531071.140000001</v>
      </c>
      <c r="E140" s="79">
        <f>'REC Spend projected'!I21</f>
        <v>2622658.7999999998</v>
      </c>
      <c r="F140" s="79">
        <f>'REC Spend projected'!E21+'REC Spend projected'!F21+'REC Spend projected'!G21</f>
        <v>1553979.52</v>
      </c>
      <c r="G140" s="79">
        <f>'REC Spend projected'!J21+'REC Spend projected'!K21+'REC Spend projected'!L21</f>
        <v>273193664.73312122</v>
      </c>
      <c r="H140" s="79">
        <f>'REC Spend projected'!Q21+'REC Spend projected'!R21+'REC Spend projected'!S21+'REC Spend projected'!T21+'REC Spend projected'!U21+'REC Spend projected'!V21</f>
        <v>422846093.05389291</v>
      </c>
      <c r="I140" s="79">
        <f>'REC Spend projected'!W21+'REC Spend projected'!X21+'REC Spend projected'!Y21</f>
        <v>877046104.8558619</v>
      </c>
      <c r="J140" s="79">
        <f>'REC Spend projected'!M21+'REC Spend projected'!N21+'REC Spend projected'!O21</f>
        <v>72653690.409483582</v>
      </c>
      <c r="K140" s="79">
        <f t="shared" si="29"/>
        <v>1721447262.5123596</v>
      </c>
      <c r="L140" s="79">
        <f>'REC Spend projected'!AC21</f>
        <v>-6301894902.5134478</v>
      </c>
      <c r="M140" s="79">
        <f>'REC Spend projected'!AD21</f>
        <v>1721447262.5123596</v>
      </c>
      <c r="N140" s="79">
        <f>'REC Spend projected'!AE21</f>
        <v>-8023342165.0258074</v>
      </c>
      <c r="O140" s="82"/>
    </row>
    <row r="141" spans="2:15" ht="15.75" thickBot="1" x14ac:dyDescent="0.3">
      <c r="B141" s="78" t="s">
        <v>35</v>
      </c>
      <c r="C141" s="80">
        <f>'REC Spend projected'!H22</f>
        <v>0</v>
      </c>
      <c r="D141" s="79">
        <f>'REC Spend projected'!B22+'REC Spend projected'!C22+'REC Spend projected'!D22</f>
        <v>71173258.040000007</v>
      </c>
      <c r="E141" s="79">
        <f>'REC Spend projected'!I22</f>
        <v>2622658.7999999998</v>
      </c>
      <c r="F141" s="79">
        <f>'REC Spend projected'!E22+'REC Spend projected'!F22+'REC Spend projected'!G22</f>
        <v>1546350.22</v>
      </c>
      <c r="G141" s="79">
        <f>'REC Spend projected'!J22+'REC Spend projected'!K22+'REC Spend projected'!L22</f>
        <v>281100022.56973344</v>
      </c>
      <c r="H141" s="79">
        <f>'REC Spend projected'!Q22+'REC Spend projected'!R22+'REC Spend projected'!S22+'REC Spend projected'!T22+'REC Spend projected'!U22+'REC Spend projected'!V22</f>
        <v>405335757.24497962</v>
      </c>
      <c r="I141" s="79">
        <f>'REC Spend projected'!W22+'REC Spend projected'!X22+'REC Spend projected'!Y22</f>
        <v>963119992.52127254</v>
      </c>
      <c r="J141" s="79">
        <f>'REC Spend projected'!M22+'REC Spend projected'!N22+'REC Spend projected'!O22</f>
        <v>72801622.582818717</v>
      </c>
      <c r="K141" s="79">
        <f t="shared" si="29"/>
        <v>1797699661.9788043</v>
      </c>
      <c r="L141" s="79">
        <f>'REC Spend projected'!AC22</f>
        <v>-7263288078.9318504</v>
      </c>
      <c r="M141" s="79">
        <f>'REC Spend projected'!AD22</f>
        <v>1797699661.9788041</v>
      </c>
      <c r="N141" s="79">
        <f>'REC Spend projected'!AE22</f>
        <v>-9060987740.9106541</v>
      </c>
      <c r="O141" s="82"/>
    </row>
    <row r="142" spans="2:15" ht="15.75" thickBot="1" x14ac:dyDescent="0.3">
      <c r="B142" s="78" t="s">
        <v>36</v>
      </c>
      <c r="C142" s="80">
        <f>'REC Spend projected'!H23</f>
        <v>0</v>
      </c>
      <c r="D142" s="79">
        <f>'REC Spend projected'!B23+'REC Spend projected'!C23+'REC Spend projected'!D23</f>
        <v>70817528.530000001</v>
      </c>
      <c r="E142" s="79">
        <f>'REC Spend projected'!I23</f>
        <v>2622658.7999999998</v>
      </c>
      <c r="F142" s="79">
        <f>'REC Spend projected'!E23+'REC Spend projected'!F23+'REC Spend projected'!G23</f>
        <v>1538466.73</v>
      </c>
      <c r="G142" s="79">
        <f>'REC Spend projected'!J23+'REC Spend projected'!K23+'REC Spend projected'!L23</f>
        <v>288243373.12163401</v>
      </c>
      <c r="H142" s="79">
        <f>'REC Spend projected'!Q23+'REC Spend projected'!R23+'REC Spend projected'!S23+'REC Spend projected'!T23+'REC Spend projected'!U23+'REC Spend projected'!V23</f>
        <v>388448449.56335634</v>
      </c>
      <c r="I142" s="79">
        <f>'REC Spend projected'!W23+'REC Spend projected'!X23+'REC Spend projected'!Y23</f>
        <v>1040533254.7142251</v>
      </c>
      <c r="J142" s="79">
        <f>'REC Spend projected'!M23+'REC Spend projected'!N23+'REC Spend projected'!O23</f>
        <v>72896692.408557206</v>
      </c>
      <c r="K142" s="79">
        <f t="shared" si="29"/>
        <v>1865100423.8677726</v>
      </c>
      <c r="L142" s="79">
        <f>'REC Spend projected'!AC23</f>
        <v>-8297764660.6254139</v>
      </c>
      <c r="M142" s="79">
        <f>'REC Spend projected'!AD23</f>
        <v>1865100423.8677726</v>
      </c>
      <c r="N142" s="79">
        <f>'REC Spend projected'!AE23</f>
        <v>-10162865084.493187</v>
      </c>
      <c r="O142" s="82"/>
    </row>
    <row r="143" spans="2:15" ht="15.75" thickBot="1" x14ac:dyDescent="0.3">
      <c r="B143" s="78" t="s">
        <v>37</v>
      </c>
      <c r="C143" s="80">
        <f>'REC Spend projected'!H24</f>
        <v>0</v>
      </c>
      <c r="D143" s="79">
        <f>'REC Spend projected'!B24+'REC Spend projected'!C24+'REC Spend projected'!D24</f>
        <v>70462881.260000005</v>
      </c>
      <c r="E143" s="79">
        <f>'REC Spend projected'!I24</f>
        <v>0</v>
      </c>
      <c r="F143" s="79">
        <f>'REC Spend projected'!E24+'REC Spend projected'!F24+'REC Spend projected'!G24</f>
        <v>1530999.8</v>
      </c>
      <c r="G143" s="79">
        <f>'REC Spend projected'!J24+'REC Spend projected'!K24+'REC Spend projected'!L24</f>
        <v>290499322.58059925</v>
      </c>
      <c r="H143" s="79">
        <f>'REC Spend projected'!Q24+'REC Spend projected'!R24+'REC Spend projected'!S24+'REC Spend projected'!T24+'REC Spend projected'!U24+'REC Spend projected'!V24</f>
        <v>386022390.64682192</v>
      </c>
      <c r="I143" s="79">
        <f>'REC Spend projected'!W24+'REC Spend projected'!X24+'REC Spend projected'!Y24</f>
        <v>1131501584.5164123</v>
      </c>
      <c r="J143" s="79">
        <f>'REC Spend projected'!M24+'REC Spend projected'!N24+'REC Spend projected'!O24</f>
        <v>73015743.307197154</v>
      </c>
      <c r="K143" s="79">
        <f t="shared" si="29"/>
        <v>1953032922.1110306</v>
      </c>
      <c r="L143" s="79">
        <f>'REC Spend projected'!AC24</f>
        <v>-9395673640.9199486</v>
      </c>
      <c r="M143" s="79">
        <f>'REC Spend projected'!AD24</f>
        <v>1953032922.1110306</v>
      </c>
      <c r="N143" s="79">
        <f>'REC Spend projected'!AE24</f>
        <v>-11348706563.030979</v>
      </c>
      <c r="O143" s="82"/>
    </row>
    <row r="144" spans="2:15" ht="15.75" thickBot="1" x14ac:dyDescent="0.3">
      <c r="B144" s="78" t="s">
        <v>38</v>
      </c>
      <c r="C144" s="80">
        <f>'REC Spend projected'!H25</f>
        <v>0</v>
      </c>
      <c r="D144" s="79">
        <f>'REC Spend projected'!B25+'REC Spend projected'!C25+'REC Spend projected'!D25</f>
        <v>70111192.060000002</v>
      </c>
      <c r="E144" s="79">
        <f>'REC Spend projected'!I25</f>
        <v>0</v>
      </c>
      <c r="F144" s="79">
        <f>'REC Spend projected'!E25+'REC Spend projected'!F25+'REC Spend projected'!G25</f>
        <v>1523423.8</v>
      </c>
      <c r="G144" s="79">
        <f>'REC Spend projected'!J25+'REC Spend projected'!K25+'REC Spend projected'!L25</f>
        <v>294650133.34819967</v>
      </c>
      <c r="H144" s="79">
        <f>'REC Spend projected'!Q25+'REC Spend projected'!R25+'REC Spend projected'!S25+'REC Spend projected'!T25+'REC Spend projected'!U25+'REC Spend projected'!V25</f>
        <v>324623536.5951674</v>
      </c>
      <c r="I144" s="79">
        <f>'REC Spend projected'!W25+'REC Spend projected'!X25+'REC Spend projected'!Y25</f>
        <v>1216773812.4857442</v>
      </c>
      <c r="J144" s="79">
        <f>'REC Spend projected'!M25+'REC Spend projected'!N25+'REC Spend projected'!O25</f>
        <v>73106390.458387077</v>
      </c>
      <c r="K144" s="79">
        <f t="shared" si="29"/>
        <v>1980788488.7474985</v>
      </c>
      <c r="L144" s="79">
        <f>'REC Spend projected'!AC25</f>
        <v>-10578493547.75141</v>
      </c>
      <c r="M144" s="79">
        <f>'REC Spend projected'!AD25</f>
        <v>1980788488.7474985</v>
      </c>
      <c r="N144" s="79">
        <f>'REC Spend projected'!AE25</f>
        <v>-12559282036.498909</v>
      </c>
      <c r="O144" s="82"/>
    </row>
    <row r="145" spans="2:15" ht="15.75" thickBot="1" x14ac:dyDescent="0.3">
      <c r="B145" s="78" t="s">
        <v>39</v>
      </c>
      <c r="C145" s="80">
        <f>'REC Spend projected'!H26</f>
        <v>0</v>
      </c>
      <c r="D145" s="79">
        <f>'REC Spend projected'!B26+'REC Spend projected'!C26+'REC Spend projected'!D26</f>
        <v>69760575.620000005</v>
      </c>
      <c r="E145" s="79">
        <f>'REC Spend projected'!I26</f>
        <v>0</v>
      </c>
      <c r="F145" s="79">
        <f>'REC Spend projected'!E26+'REC Spend projected'!F26+'REC Spend projected'!G26</f>
        <v>1515730.92</v>
      </c>
      <c r="G145" s="79">
        <f>'REC Spend projected'!J26+'REC Spend projected'!K26+'REC Spend projected'!L26</f>
        <v>286661355.48314369</v>
      </c>
      <c r="H145" s="79">
        <f>'REC Spend projected'!Q26+'REC Spend projected'!R26+'REC Spend projected'!S26+'REC Spend projected'!T26+'REC Spend projected'!U26+'REC Spend projected'!V26</f>
        <v>308417776.31735504</v>
      </c>
      <c r="I145" s="79">
        <f>'REC Spend projected'!W26+'REC Spend projected'!X26+'REC Spend projected'!Y26</f>
        <v>1294955016.8610358</v>
      </c>
      <c r="J145" s="79">
        <f>'REC Spend projected'!M26+'REC Spend projected'!N26+'REC Spend projected'!O26</f>
        <v>73199678.287410915</v>
      </c>
      <c r="K145" s="79">
        <f t="shared" si="29"/>
        <v>2034510133.4889455</v>
      </c>
      <c r="L145" s="79">
        <f>'REC Spend projected'!AC26</f>
        <v>-11785959426.918545</v>
      </c>
      <c r="M145" s="79">
        <f>'REC Spend projected'!AD26</f>
        <v>2034510133.4889455</v>
      </c>
      <c r="N145" s="79">
        <f>'REC Spend projected'!AE26</f>
        <v>-13820469560.40749</v>
      </c>
      <c r="O145" s="82"/>
    </row>
    <row r="150" spans="2:15" ht="15.75" thickBot="1" x14ac:dyDescent="0.3"/>
    <row r="151" spans="2:15" ht="15" customHeight="1" thickBot="1" x14ac:dyDescent="0.3">
      <c r="B151" s="352" t="s">
        <v>339</v>
      </c>
      <c r="C151" s="353"/>
      <c r="D151" s="353"/>
      <c r="E151" s="354"/>
      <c r="F151" s="355" t="s">
        <v>335</v>
      </c>
      <c r="G151" s="353"/>
      <c r="H151" s="356" t="s">
        <v>340</v>
      </c>
      <c r="I151" s="357"/>
      <c r="J151" s="72"/>
      <c r="K151" s="299"/>
      <c r="L151" s="299"/>
      <c r="M151" s="299"/>
    </row>
    <row r="152" spans="2:15" ht="34.5" thickBot="1" x14ac:dyDescent="0.3">
      <c r="B152" s="73" t="s">
        <v>1</v>
      </c>
      <c r="C152" s="74" t="s">
        <v>341</v>
      </c>
      <c r="D152" s="74" t="s">
        <v>342</v>
      </c>
      <c r="E152" s="75" t="s">
        <v>343</v>
      </c>
      <c r="F152" s="75" t="s">
        <v>344</v>
      </c>
      <c r="G152" s="75" t="s">
        <v>345</v>
      </c>
      <c r="H152" s="74" t="s">
        <v>346</v>
      </c>
      <c r="I152" s="74" t="s">
        <v>347</v>
      </c>
      <c r="J152" s="74" t="s">
        <v>348</v>
      </c>
      <c r="K152" s="74" t="s">
        <v>316</v>
      </c>
      <c r="L152" s="74" t="s">
        <v>330</v>
      </c>
      <c r="M152" s="232" t="s">
        <v>228</v>
      </c>
    </row>
    <row r="153" spans="2:15" ht="15.75" thickBot="1" x14ac:dyDescent="0.3">
      <c r="B153" s="78" t="s">
        <v>16</v>
      </c>
      <c r="C153" s="84">
        <f>C123/1000000</f>
        <v>30.848359600711422</v>
      </c>
      <c r="D153" s="84">
        <f t="shared" ref="D153:L153" si="30">D123/1000000</f>
        <v>216.56139263</v>
      </c>
      <c r="E153" s="84">
        <f t="shared" si="30"/>
        <v>5.3972904699999997</v>
      </c>
      <c r="F153" s="84">
        <f t="shared" si="30"/>
        <v>0</v>
      </c>
      <c r="G153" s="84">
        <f t="shared" si="30"/>
        <v>0</v>
      </c>
      <c r="H153" s="84">
        <f t="shared" si="30"/>
        <v>0</v>
      </c>
      <c r="I153" s="84">
        <f t="shared" si="30"/>
        <v>0</v>
      </c>
      <c r="J153" s="84">
        <f t="shared" si="30"/>
        <v>18.018880058405568</v>
      </c>
      <c r="K153" s="84">
        <f t="shared" si="30"/>
        <v>270.82592275911702</v>
      </c>
      <c r="L153" s="84">
        <f t="shared" si="30"/>
        <v>519.02655571101911</v>
      </c>
      <c r="M153" s="84">
        <f t="shared" ref="M153:M175" si="31">N123/1000000</f>
        <v>248.20063295190209</v>
      </c>
    </row>
    <row r="154" spans="2:15" ht="15.75" thickBot="1" x14ac:dyDescent="0.3">
      <c r="B154" s="78" t="s">
        <v>17</v>
      </c>
      <c r="C154" s="84">
        <f t="shared" ref="C154:L175" si="32">C124/1000000</f>
        <v>24.142255383493655</v>
      </c>
      <c r="D154" s="84">
        <f t="shared" si="32"/>
        <v>206.84352429000003</v>
      </c>
      <c r="E154" s="84">
        <f t="shared" si="32"/>
        <v>19.260591157020841</v>
      </c>
      <c r="F154" s="84">
        <f t="shared" si="32"/>
        <v>0</v>
      </c>
      <c r="G154" s="84">
        <f t="shared" si="32"/>
        <v>0</v>
      </c>
      <c r="H154" s="84">
        <f t="shared" si="32"/>
        <v>0</v>
      </c>
      <c r="I154" s="84">
        <f t="shared" si="32"/>
        <v>0</v>
      </c>
      <c r="J154" s="84">
        <f t="shared" si="32"/>
        <v>73.942135092404001</v>
      </c>
      <c r="K154" s="84">
        <f t="shared" si="32"/>
        <v>324.18850592291858</v>
      </c>
      <c r="L154" s="84">
        <f t="shared" si="32"/>
        <v>712.93846936536931</v>
      </c>
      <c r="M154" s="84">
        <f t="shared" si="31"/>
        <v>388.74996344245073</v>
      </c>
    </row>
    <row r="155" spans="2:15" ht="15.75" thickBot="1" x14ac:dyDescent="0.3">
      <c r="B155" s="78" t="s">
        <v>18</v>
      </c>
      <c r="C155" s="84">
        <f t="shared" si="32"/>
        <v>22.062344595163538</v>
      </c>
      <c r="D155" s="84">
        <f t="shared" si="32"/>
        <v>256.27558723999999</v>
      </c>
      <c r="E155" s="84">
        <f t="shared" si="32"/>
        <v>22.975411212579786</v>
      </c>
      <c r="F155" s="84">
        <f t="shared" si="32"/>
        <v>0</v>
      </c>
      <c r="G155" s="84">
        <f t="shared" si="32"/>
        <v>0</v>
      </c>
      <c r="H155" s="84">
        <f t="shared" si="32"/>
        <v>0</v>
      </c>
      <c r="I155" s="84">
        <f t="shared" si="32"/>
        <v>0</v>
      </c>
      <c r="J155" s="84">
        <f t="shared" si="32"/>
        <v>67.623889800951702</v>
      </c>
      <c r="K155" s="84">
        <f t="shared" si="32"/>
        <v>368.93723284869503</v>
      </c>
      <c r="L155" s="84">
        <f t="shared" si="32"/>
        <v>976.21295680750779</v>
      </c>
      <c r="M155" s="84">
        <f t="shared" si="31"/>
        <v>607.2757239588127</v>
      </c>
    </row>
    <row r="156" spans="2:15" ht="15.75" thickBot="1" x14ac:dyDescent="0.3">
      <c r="B156" s="78" t="s">
        <v>19</v>
      </c>
      <c r="C156" s="84">
        <f t="shared" si="32"/>
        <v>17.721007415898786</v>
      </c>
      <c r="D156" s="84">
        <f t="shared" si="32"/>
        <v>472.82016950000008</v>
      </c>
      <c r="E156" s="84">
        <f t="shared" si="32"/>
        <v>22.594914147020837</v>
      </c>
      <c r="F156" s="84">
        <f t="shared" si="32"/>
        <v>0</v>
      </c>
      <c r="G156" s="84">
        <f t="shared" si="32"/>
        <v>0</v>
      </c>
      <c r="H156" s="84">
        <f t="shared" si="32"/>
        <v>0</v>
      </c>
      <c r="I156" s="84">
        <f t="shared" si="32"/>
        <v>0</v>
      </c>
      <c r="J156" s="84">
        <f t="shared" si="32"/>
        <v>67.322647088471598</v>
      </c>
      <c r="K156" s="84">
        <f t="shared" si="32"/>
        <v>580.45873815139123</v>
      </c>
      <c r="L156" s="84">
        <f t="shared" si="32"/>
        <v>1184.6972935745325</v>
      </c>
      <c r="M156" s="84">
        <f t="shared" si="31"/>
        <v>604.23855542314129</v>
      </c>
    </row>
    <row r="157" spans="2:15" ht="15.75" thickBot="1" x14ac:dyDescent="0.3">
      <c r="B157" s="78" t="s">
        <v>21</v>
      </c>
      <c r="C157" s="84">
        <f t="shared" si="32"/>
        <v>17.421541685608783</v>
      </c>
      <c r="D157" s="84">
        <f t="shared" si="32"/>
        <v>391.81875343999997</v>
      </c>
      <c r="E157" s="84">
        <f t="shared" si="32"/>
        <v>22.594914147020837</v>
      </c>
      <c r="F157" s="84">
        <f t="shared" si="32"/>
        <v>0.98748215699999997</v>
      </c>
      <c r="G157" s="84">
        <f>G127/1000000</f>
        <v>4.4325176186843986E-2</v>
      </c>
      <c r="H157" s="84">
        <f>H127/1000000</f>
        <v>33.640118733321039</v>
      </c>
      <c r="I157" s="84">
        <f t="shared" si="32"/>
        <v>0</v>
      </c>
      <c r="J157" s="84">
        <f t="shared" si="32"/>
        <v>77.198419557390253</v>
      </c>
      <c r="K157" s="84">
        <f t="shared" si="32"/>
        <v>543.7055548965277</v>
      </c>
      <c r="L157" s="84">
        <f t="shared" si="32"/>
        <v>1177.5192073361497</v>
      </c>
      <c r="M157" s="84">
        <f t="shared" si="31"/>
        <v>633.81365243962193</v>
      </c>
    </row>
    <row r="158" spans="2:15" ht="15.75" thickBot="1" x14ac:dyDescent="0.3">
      <c r="B158" s="78" t="s">
        <v>22</v>
      </c>
      <c r="C158" s="84">
        <f t="shared" si="32"/>
        <v>11.401431694168943</v>
      </c>
      <c r="D158" s="84">
        <f t="shared" si="32"/>
        <v>222.55543181000002</v>
      </c>
      <c r="E158" s="84">
        <f t="shared" si="32"/>
        <v>25.216962408598416</v>
      </c>
      <c r="F158" s="84">
        <f t="shared" si="32"/>
        <v>23.817922540000001</v>
      </c>
      <c r="G158" s="84">
        <f t="shared" si="32"/>
        <v>30.804300626826915</v>
      </c>
      <c r="H158" s="84">
        <f t="shared" si="32"/>
        <v>255.39571596154531</v>
      </c>
      <c r="I158" s="84">
        <f t="shared" si="32"/>
        <v>0</v>
      </c>
      <c r="J158" s="84">
        <f t="shared" si="32"/>
        <v>67.145711256652049</v>
      </c>
      <c r="K158" s="84">
        <f t="shared" si="32"/>
        <v>636.33747629779157</v>
      </c>
      <c r="L158" s="84">
        <f t="shared" si="32"/>
        <v>1205.33736099469</v>
      </c>
      <c r="M158" s="84">
        <f t="shared" si="31"/>
        <v>568.99988469689833</v>
      </c>
    </row>
    <row r="159" spans="2:15" ht="15.75" thickBot="1" x14ac:dyDescent="0.3">
      <c r="B159" s="78" t="s">
        <v>23</v>
      </c>
      <c r="C159" s="84">
        <f t="shared" si="32"/>
        <v>8.215431710476329</v>
      </c>
      <c r="D159" s="84">
        <f t="shared" si="32"/>
        <v>197.57947498000001</v>
      </c>
      <c r="E159" s="84">
        <f t="shared" si="32"/>
        <v>25.216962408598416</v>
      </c>
      <c r="F159" s="84">
        <f t="shared" si="32"/>
        <v>33.902696729999995</v>
      </c>
      <c r="G159" s="84">
        <f t="shared" si="32"/>
        <v>109.41765926468527</v>
      </c>
      <c r="H159" s="84">
        <f t="shared" si="32"/>
        <v>316.61533971886479</v>
      </c>
      <c r="I159" s="84">
        <f t="shared" si="32"/>
        <v>0</v>
      </c>
      <c r="J159" s="84">
        <f t="shared" si="32"/>
        <v>67.095059275192284</v>
      </c>
      <c r="K159" s="84">
        <f t="shared" si="32"/>
        <v>758.0426240878171</v>
      </c>
      <c r="L159" s="84">
        <f t="shared" si="32"/>
        <v>1138.8351938699745</v>
      </c>
      <c r="M159" s="84">
        <f t="shared" si="31"/>
        <v>380.79256978215744</v>
      </c>
    </row>
    <row r="160" spans="2:15" ht="15.75" thickBot="1" x14ac:dyDescent="0.3">
      <c r="B160" s="78" t="s">
        <v>24</v>
      </c>
      <c r="C160" s="84">
        <f t="shared" si="32"/>
        <v>4.4804827749063234</v>
      </c>
      <c r="D160" s="84">
        <f t="shared" si="32"/>
        <v>172.68098629000002</v>
      </c>
      <c r="E160" s="84">
        <f t="shared" si="32"/>
        <v>25.216962408598416</v>
      </c>
      <c r="F160" s="84">
        <f t="shared" si="32"/>
        <v>33.276616420000003</v>
      </c>
      <c r="G160" s="84">
        <f t="shared" si="32"/>
        <v>216.34191922565913</v>
      </c>
      <c r="H160" s="84">
        <f t="shared" si="32"/>
        <v>374.89510058817183</v>
      </c>
      <c r="I160" s="84">
        <f t="shared" si="32"/>
        <v>0</v>
      </c>
      <c r="J160" s="84">
        <f t="shared" si="32"/>
        <v>77.304402141023758</v>
      </c>
      <c r="K160" s="84">
        <f t="shared" si="32"/>
        <v>904.19646984835947</v>
      </c>
      <c r="L160" s="84">
        <f t="shared" si="32"/>
        <v>957.60597448294914</v>
      </c>
      <c r="M160" s="84">
        <f t="shared" si="31"/>
        <v>53.409504634589553</v>
      </c>
    </row>
    <row r="161" spans="2:13" ht="15.75" thickBot="1" x14ac:dyDescent="0.3">
      <c r="B161" s="81" t="s">
        <v>25</v>
      </c>
      <c r="C161" s="84">
        <f t="shared" si="32"/>
        <v>4.4781322592044512</v>
      </c>
      <c r="D161" s="84">
        <f t="shared" si="32"/>
        <v>154.67453771999999</v>
      </c>
      <c r="E161" s="84">
        <f t="shared" si="32"/>
        <v>25.216962408598416</v>
      </c>
      <c r="F161" s="84">
        <f t="shared" si="32"/>
        <v>33.26843032</v>
      </c>
      <c r="G161" s="84">
        <f t="shared" si="32"/>
        <v>249.18066760181964</v>
      </c>
      <c r="H161" s="84">
        <f t="shared" si="32"/>
        <v>430.71379144982586</v>
      </c>
      <c r="I161" s="84">
        <f t="shared" si="32"/>
        <v>102.26659352128965</v>
      </c>
      <c r="J161" s="84">
        <f t="shared" si="32"/>
        <v>67.640600719584882</v>
      </c>
      <c r="K161" s="84">
        <f t="shared" si="32"/>
        <v>1067.439716000323</v>
      </c>
      <c r="L161" s="84">
        <f t="shared" si="32"/>
        <v>641.42952862075231</v>
      </c>
      <c r="M161" s="84">
        <f t="shared" si="31"/>
        <v>-426.01018737957071</v>
      </c>
    </row>
    <row r="162" spans="2:13" ht="15.75" thickBot="1" x14ac:dyDescent="0.3">
      <c r="B162" s="78" t="s">
        <v>26</v>
      </c>
      <c r="C162" s="84">
        <f t="shared" si="32"/>
        <v>4.3380086485485405</v>
      </c>
      <c r="D162" s="84">
        <f t="shared" si="32"/>
        <v>153.10571999000001</v>
      </c>
      <c r="E162" s="84">
        <f t="shared" si="32"/>
        <v>25.216962408598416</v>
      </c>
      <c r="F162" s="84">
        <f t="shared" si="32"/>
        <v>33.260423080000002</v>
      </c>
      <c r="G162" s="84">
        <f t="shared" si="32"/>
        <v>255.22992393849657</v>
      </c>
      <c r="H162" s="84">
        <f t="shared" si="32"/>
        <v>484.17050450199741</v>
      </c>
      <c r="I162" s="84">
        <f t="shared" si="32"/>
        <v>218.08638767953732</v>
      </c>
      <c r="J162" s="84">
        <f t="shared" si="32"/>
        <v>68.12378549045458</v>
      </c>
      <c r="K162" s="84">
        <f t="shared" si="32"/>
        <v>1241.531715737633</v>
      </c>
      <c r="L162" s="84">
        <f t="shared" si="32"/>
        <v>178.11599563558198</v>
      </c>
      <c r="M162" s="84">
        <f t="shared" si="31"/>
        <v>-1063.4157201020507</v>
      </c>
    </row>
    <row r="163" spans="2:13" ht="15.75" thickBot="1" x14ac:dyDescent="0.3">
      <c r="B163" s="78" t="s">
        <v>27</v>
      </c>
      <c r="C163" s="84">
        <f t="shared" si="32"/>
        <v>4.3034536786395101</v>
      </c>
      <c r="D163" s="84">
        <f t="shared" si="32"/>
        <v>149.82097060000001</v>
      </c>
      <c r="E163" s="84">
        <f t="shared" si="32"/>
        <v>25.216962408598416</v>
      </c>
      <c r="F163" s="84">
        <f t="shared" si="32"/>
        <v>33.252334619999999</v>
      </c>
      <c r="G163" s="84">
        <f t="shared" si="32"/>
        <v>255.10141258871025</v>
      </c>
      <c r="H163" s="84">
        <f t="shared" si="32"/>
        <v>535.36036500794103</v>
      </c>
      <c r="I163" s="84">
        <f t="shared" si="32"/>
        <v>339.82066185825022</v>
      </c>
      <c r="J163" s="84">
        <f t="shared" si="32"/>
        <v>78.786284459790579</v>
      </c>
      <c r="K163" s="84">
        <f t="shared" si="32"/>
        <v>1421.6624452219298</v>
      </c>
      <c r="L163" s="84">
        <f t="shared" si="32"/>
        <v>-437.2062381090318</v>
      </c>
      <c r="M163" s="84">
        <f t="shared" si="31"/>
        <v>-1858.8686833309616</v>
      </c>
    </row>
    <row r="164" spans="2:13" ht="15.75" thickBot="1" x14ac:dyDescent="0.3">
      <c r="B164" s="78" t="s">
        <v>28</v>
      </c>
      <c r="C164" s="84">
        <f t="shared" si="32"/>
        <v>4.2610796921323004</v>
      </c>
      <c r="D164" s="84">
        <f t="shared" si="32"/>
        <v>104.40836920000001</v>
      </c>
      <c r="E164" s="84">
        <f t="shared" si="32"/>
        <v>25.216962408598416</v>
      </c>
      <c r="F164" s="84">
        <f t="shared" si="32"/>
        <v>2.6092598599999999</v>
      </c>
      <c r="G164" s="84">
        <f t="shared" si="32"/>
        <v>262.09055987652448</v>
      </c>
      <c r="H164" s="84">
        <f t="shared" si="32"/>
        <v>574.23203787029365</v>
      </c>
      <c r="I164" s="84">
        <f t="shared" si="32"/>
        <v>449.54946455250757</v>
      </c>
      <c r="J164" s="84">
        <f t="shared" si="32"/>
        <v>69.538734721551592</v>
      </c>
      <c r="K164" s="84">
        <f t="shared" si="32"/>
        <v>1491.9064681816083</v>
      </c>
      <c r="L164" s="84">
        <f t="shared" si="32"/>
        <v>-1207.5775259459083</v>
      </c>
      <c r="M164" s="84">
        <f t="shared" si="31"/>
        <v>-2699.4839941275163</v>
      </c>
    </row>
    <row r="165" spans="2:13" ht="15.75" thickBot="1" x14ac:dyDescent="0.3">
      <c r="B165" s="78" t="s">
        <v>29</v>
      </c>
      <c r="C165" s="84">
        <f t="shared" si="32"/>
        <v>0</v>
      </c>
      <c r="D165" s="84">
        <f t="shared" si="32"/>
        <v>104.03945209999999</v>
      </c>
      <c r="E165" s="84">
        <f t="shared" si="32"/>
        <v>25.216962408598416</v>
      </c>
      <c r="F165" s="84">
        <f t="shared" si="32"/>
        <v>2.5108157200000001</v>
      </c>
      <c r="G165" s="84">
        <f t="shared" si="32"/>
        <v>262.4244214317639</v>
      </c>
      <c r="H165" s="84">
        <f t="shared" si="32"/>
        <v>582.72501161942671</v>
      </c>
      <c r="I165" s="84">
        <f t="shared" si="32"/>
        <v>567.92356504347208</v>
      </c>
      <c r="J165" s="84">
        <f t="shared" si="32"/>
        <v>70.311109983324044</v>
      </c>
      <c r="K165" s="84">
        <f t="shared" si="32"/>
        <v>1615.1513383065853</v>
      </c>
      <c r="L165" s="84">
        <f t="shared" si="32"/>
        <v>-2022.446994683381</v>
      </c>
      <c r="M165" s="84">
        <f t="shared" si="31"/>
        <v>-3637.5983329899659</v>
      </c>
    </row>
    <row r="166" spans="2:13" ht="15.75" thickBot="1" x14ac:dyDescent="0.3">
      <c r="B166" s="78" t="s">
        <v>30</v>
      </c>
      <c r="C166" s="84">
        <f t="shared" si="32"/>
        <v>0</v>
      </c>
      <c r="D166" s="84">
        <f t="shared" si="32"/>
        <v>72.979719939999995</v>
      </c>
      <c r="E166" s="84">
        <f t="shared" si="32"/>
        <v>22.803773825288882</v>
      </c>
      <c r="F166" s="84">
        <f t="shared" si="32"/>
        <v>1.5857991299999998</v>
      </c>
      <c r="G166" s="84">
        <f t="shared" si="32"/>
        <v>247.69381419488292</v>
      </c>
      <c r="H166" s="84">
        <f t="shared" si="32"/>
        <v>499.78048022448758</v>
      </c>
      <c r="I166" s="84">
        <f t="shared" si="32"/>
        <v>636.37554715411636</v>
      </c>
      <c r="J166" s="84">
        <f t="shared" si="32"/>
        <v>70.999871477821614</v>
      </c>
      <c r="K166" s="84">
        <f t="shared" si="32"/>
        <v>1552.2190059465972</v>
      </c>
      <c r="L166" s="84">
        <f t="shared" si="32"/>
        <v>-2937.6026170625782</v>
      </c>
      <c r="M166" s="84">
        <f t="shared" si="31"/>
        <v>-4489.8216230091757</v>
      </c>
    </row>
    <row r="167" spans="2:13" ht="15.75" thickBot="1" x14ac:dyDescent="0.3">
      <c r="B167" s="78" t="s">
        <v>31</v>
      </c>
      <c r="C167" s="84">
        <f t="shared" si="32"/>
        <v>0</v>
      </c>
      <c r="D167" s="84">
        <f t="shared" si="32"/>
        <v>72.614586129999992</v>
      </c>
      <c r="E167" s="84">
        <f t="shared" si="32"/>
        <v>22.790653063402296</v>
      </c>
      <c r="F167" s="84">
        <f t="shared" si="32"/>
        <v>1.5776847899999999</v>
      </c>
      <c r="G167" s="84">
        <f t="shared" si="32"/>
        <v>233.19527196660408</v>
      </c>
      <c r="H167" s="84">
        <f t="shared" si="32"/>
        <v>479.37617149152476</v>
      </c>
      <c r="I167" s="84">
        <f t="shared" si="32"/>
        <v>683.36916959056452</v>
      </c>
      <c r="J167" s="84">
        <f t="shared" si="32"/>
        <v>71.638874837884032</v>
      </c>
      <c r="K167" s="84">
        <f t="shared" si="32"/>
        <v>1564.5624118699795</v>
      </c>
      <c r="L167" s="84">
        <f t="shared" si="32"/>
        <v>-3768.5257950797072</v>
      </c>
      <c r="M167" s="84">
        <f t="shared" si="31"/>
        <v>-5333.0882069496874</v>
      </c>
    </row>
    <row r="168" spans="2:13" ht="15.75" thickBot="1" x14ac:dyDescent="0.3">
      <c r="B168" s="78" t="s">
        <v>32</v>
      </c>
      <c r="C168" s="84">
        <f t="shared" si="32"/>
        <v>0</v>
      </c>
      <c r="D168" s="84">
        <f t="shared" si="32"/>
        <v>72.25185433</v>
      </c>
      <c r="E168" s="84">
        <f t="shared" si="32"/>
        <v>20.115592524979867</v>
      </c>
      <c r="F168" s="84">
        <f t="shared" si="32"/>
        <v>1.5698278999999999</v>
      </c>
      <c r="G168" s="84">
        <f t="shared" si="32"/>
        <v>259.49081407270364</v>
      </c>
      <c r="H168" s="84">
        <f t="shared" si="32"/>
        <v>459.83912951190359</v>
      </c>
      <c r="I168" s="84">
        <f t="shared" si="32"/>
        <v>702.42391720921114</v>
      </c>
      <c r="J168" s="84">
        <f t="shared" si="32"/>
        <v>72.135547577141878</v>
      </c>
      <c r="K168" s="84">
        <f t="shared" si="32"/>
        <v>1587.8266831259402</v>
      </c>
      <c r="L168" s="84">
        <f t="shared" si="32"/>
        <v>-4595.2366210449582</v>
      </c>
      <c r="M168" s="84">
        <f t="shared" si="31"/>
        <v>-6183.0633041708988</v>
      </c>
    </row>
    <row r="169" spans="2:13" ht="15.75" thickBot="1" x14ac:dyDescent="0.3">
      <c r="B169" s="78" t="s">
        <v>33</v>
      </c>
      <c r="C169" s="84">
        <f t="shared" si="32"/>
        <v>0</v>
      </c>
      <c r="D169" s="84">
        <f t="shared" si="32"/>
        <v>71.89070104000001</v>
      </c>
      <c r="E169" s="84">
        <f t="shared" si="32"/>
        <v>8.5024617215775731</v>
      </c>
      <c r="F169" s="84">
        <f t="shared" si="32"/>
        <v>1.5620262600000001</v>
      </c>
      <c r="G169" s="84">
        <f t="shared" si="32"/>
        <v>270.69406054766245</v>
      </c>
      <c r="H169" s="84">
        <f t="shared" si="32"/>
        <v>441.00501142156696</v>
      </c>
      <c r="I169" s="84">
        <f t="shared" si="32"/>
        <v>757.7781324129819</v>
      </c>
      <c r="J169" s="84">
        <f t="shared" si="32"/>
        <v>72.499312827168694</v>
      </c>
      <c r="K169" s="84">
        <f t="shared" si="32"/>
        <v>1623.9317062309578</v>
      </c>
      <c r="L169" s="84">
        <f t="shared" si="32"/>
        <v>-5433.086209931942</v>
      </c>
      <c r="M169" s="84">
        <f t="shared" si="31"/>
        <v>-7057.0179161629003</v>
      </c>
    </row>
    <row r="170" spans="2:13" ht="15.75" thickBot="1" x14ac:dyDescent="0.3">
      <c r="B170" s="78" t="s">
        <v>34</v>
      </c>
      <c r="C170" s="84">
        <f t="shared" si="32"/>
        <v>0</v>
      </c>
      <c r="D170" s="84">
        <f t="shared" si="32"/>
        <v>71.531071139999995</v>
      </c>
      <c r="E170" s="84">
        <f t="shared" si="32"/>
        <v>2.6226588</v>
      </c>
      <c r="F170" s="84">
        <f t="shared" si="32"/>
        <v>1.5539795199999999</v>
      </c>
      <c r="G170" s="84">
        <f t="shared" si="32"/>
        <v>273.19366473312124</v>
      </c>
      <c r="H170" s="84">
        <f t="shared" si="32"/>
        <v>422.8460930538929</v>
      </c>
      <c r="I170" s="84">
        <f t="shared" si="32"/>
        <v>877.04610485586193</v>
      </c>
      <c r="J170" s="84">
        <f t="shared" si="32"/>
        <v>72.653690409483588</v>
      </c>
      <c r="K170" s="84">
        <f t="shared" si="32"/>
        <v>1721.4472625123597</v>
      </c>
      <c r="L170" s="84">
        <f t="shared" si="32"/>
        <v>-6301.894902513448</v>
      </c>
      <c r="M170" s="84">
        <f t="shared" si="31"/>
        <v>-8023.3421650258069</v>
      </c>
    </row>
    <row r="171" spans="2:13" ht="15.75" thickBot="1" x14ac:dyDescent="0.3">
      <c r="B171" s="78" t="s">
        <v>35</v>
      </c>
      <c r="C171" s="84">
        <f t="shared" si="32"/>
        <v>0</v>
      </c>
      <c r="D171" s="84">
        <f t="shared" si="32"/>
        <v>71.173258040000007</v>
      </c>
      <c r="E171" s="84">
        <f t="shared" si="32"/>
        <v>2.6226588</v>
      </c>
      <c r="F171" s="84">
        <f t="shared" si="32"/>
        <v>1.5463502199999999</v>
      </c>
      <c r="G171" s="84">
        <f t="shared" si="32"/>
        <v>281.10002256973343</v>
      </c>
      <c r="H171" s="84">
        <f t="shared" si="32"/>
        <v>405.33575724497962</v>
      </c>
      <c r="I171" s="84">
        <f t="shared" si="32"/>
        <v>963.11999252127259</v>
      </c>
      <c r="J171" s="84">
        <f t="shared" si="32"/>
        <v>72.801622582818723</v>
      </c>
      <c r="K171" s="84">
        <f t="shared" si="32"/>
        <v>1797.6996619788044</v>
      </c>
      <c r="L171" s="84">
        <f t="shared" si="32"/>
        <v>-7263.2880789318506</v>
      </c>
      <c r="M171" s="84">
        <f t="shared" si="31"/>
        <v>-9060.9877409106539</v>
      </c>
    </row>
    <row r="172" spans="2:13" ht="15.75" thickBot="1" x14ac:dyDescent="0.3">
      <c r="B172" s="78" t="s">
        <v>36</v>
      </c>
      <c r="C172" s="84">
        <f t="shared" si="32"/>
        <v>0</v>
      </c>
      <c r="D172" s="84">
        <f t="shared" si="32"/>
        <v>70.817528530000004</v>
      </c>
      <c r="E172" s="84">
        <f t="shared" si="32"/>
        <v>2.6226588</v>
      </c>
      <c r="F172" s="84">
        <f t="shared" si="32"/>
        <v>1.5384667299999999</v>
      </c>
      <c r="G172" s="84">
        <f t="shared" si="32"/>
        <v>288.24337312163402</v>
      </c>
      <c r="H172" s="84">
        <f t="shared" si="32"/>
        <v>388.44844956335635</v>
      </c>
      <c r="I172" s="84">
        <f t="shared" si="32"/>
        <v>1040.533254714225</v>
      </c>
      <c r="J172" s="84">
        <f t="shared" si="32"/>
        <v>72.8966924085572</v>
      </c>
      <c r="K172" s="84">
        <f t="shared" si="32"/>
        <v>1865.1004238677726</v>
      </c>
      <c r="L172" s="84">
        <f t="shared" si="32"/>
        <v>-8297.7646606254148</v>
      </c>
      <c r="M172" s="84">
        <f t="shared" si="31"/>
        <v>-10162.865084493187</v>
      </c>
    </row>
    <row r="173" spans="2:13" ht="15.75" thickBot="1" x14ac:dyDescent="0.3">
      <c r="B173" s="78" t="s">
        <v>37</v>
      </c>
      <c r="C173" s="84">
        <f t="shared" si="32"/>
        <v>0</v>
      </c>
      <c r="D173" s="84">
        <f t="shared" si="32"/>
        <v>70.462881260000003</v>
      </c>
      <c r="E173" s="84">
        <f t="shared" si="32"/>
        <v>0</v>
      </c>
      <c r="F173" s="84">
        <f t="shared" si="32"/>
        <v>1.5309998</v>
      </c>
      <c r="G173" s="84">
        <f t="shared" si="32"/>
        <v>290.49932258059926</v>
      </c>
      <c r="H173" s="84">
        <f t="shared" si="32"/>
        <v>386.02239064682192</v>
      </c>
      <c r="I173" s="84">
        <f t="shared" si="32"/>
        <v>1131.5015845164123</v>
      </c>
      <c r="J173" s="84">
        <f t="shared" si="32"/>
        <v>73.015743307197155</v>
      </c>
      <c r="K173" s="84">
        <f t="shared" si="32"/>
        <v>1953.0329221110305</v>
      </c>
      <c r="L173" s="84">
        <f t="shared" si="32"/>
        <v>-9395.6736409199493</v>
      </c>
      <c r="M173" s="84">
        <f t="shared" si="31"/>
        <v>-11348.706563030979</v>
      </c>
    </row>
    <row r="174" spans="2:13" ht="15.75" thickBot="1" x14ac:dyDescent="0.3">
      <c r="B174" s="78" t="s">
        <v>38</v>
      </c>
      <c r="C174" s="84">
        <f t="shared" si="32"/>
        <v>0</v>
      </c>
      <c r="D174" s="84">
        <f t="shared" si="32"/>
        <v>70.111192060000008</v>
      </c>
      <c r="E174" s="84">
        <f t="shared" si="32"/>
        <v>0</v>
      </c>
      <c r="F174" s="84">
        <f t="shared" si="32"/>
        <v>1.5234238</v>
      </c>
      <c r="G174" s="84">
        <f t="shared" si="32"/>
        <v>294.65013334819969</v>
      </c>
      <c r="H174" s="84">
        <f t="shared" si="32"/>
        <v>324.62353659516742</v>
      </c>
      <c r="I174" s="84">
        <f t="shared" si="32"/>
        <v>1216.7738124857442</v>
      </c>
      <c r="J174" s="84">
        <f t="shared" si="32"/>
        <v>73.106390458387082</v>
      </c>
      <c r="K174" s="84">
        <f t="shared" si="32"/>
        <v>1980.7884887474986</v>
      </c>
      <c r="L174" s="84">
        <f t="shared" si="32"/>
        <v>-10578.49354775141</v>
      </c>
      <c r="M174" s="84">
        <f t="shared" si="31"/>
        <v>-12559.282036498909</v>
      </c>
    </row>
    <row r="175" spans="2:13" ht="15.75" thickBot="1" x14ac:dyDescent="0.3">
      <c r="B175" s="78" t="s">
        <v>39</v>
      </c>
      <c r="C175" s="84">
        <f t="shared" si="32"/>
        <v>0</v>
      </c>
      <c r="D175" s="84">
        <f t="shared" si="32"/>
        <v>69.760575620000012</v>
      </c>
      <c r="E175" s="84">
        <f t="shared" si="32"/>
        <v>0</v>
      </c>
      <c r="F175" s="84">
        <f t="shared" si="32"/>
        <v>1.51573092</v>
      </c>
      <c r="G175" s="84">
        <f t="shared" si="32"/>
        <v>286.66135548314367</v>
      </c>
      <c r="H175" s="84">
        <f t="shared" si="32"/>
        <v>308.41777631735505</v>
      </c>
      <c r="I175" s="84">
        <f t="shared" si="32"/>
        <v>1294.9550168610358</v>
      </c>
      <c r="J175" s="84">
        <f t="shared" si="32"/>
        <v>73.199678287410919</v>
      </c>
      <c r="K175" s="84">
        <f t="shared" si="32"/>
        <v>2034.5101334889455</v>
      </c>
      <c r="L175" s="84">
        <f t="shared" si="32"/>
        <v>-11785.959426918545</v>
      </c>
      <c r="M175" s="84">
        <f t="shared" si="31"/>
        <v>-13820.46956040749</v>
      </c>
    </row>
  </sheetData>
  <mergeCells count="22">
    <mergeCell ref="B2:E2"/>
    <mergeCell ref="F2:G2"/>
    <mergeCell ref="H2:I2"/>
    <mergeCell ref="J2:K2"/>
    <mergeCell ref="B30:E30"/>
    <mergeCell ref="F30:G30"/>
    <mergeCell ref="H30:I30"/>
    <mergeCell ref="J30:K30"/>
    <mergeCell ref="B58:E58"/>
    <mergeCell ref="F58:G58"/>
    <mergeCell ref="H58:I58"/>
    <mergeCell ref="J58:K58"/>
    <mergeCell ref="B86:E86"/>
    <mergeCell ref="F86:G86"/>
    <mergeCell ref="H86:I86"/>
    <mergeCell ref="J86:K86"/>
    <mergeCell ref="B121:E121"/>
    <mergeCell ref="F121:G121"/>
    <mergeCell ref="H121:I121"/>
    <mergeCell ref="B151:E151"/>
    <mergeCell ref="F151:G151"/>
    <mergeCell ref="H151:I151"/>
  </mergeCells>
  <phoneticPr fontId="13" type="noConversion"/>
  <printOptions horizontalCentered="1" verticalCentered="1"/>
  <pageMargins left="0.7" right="0.7" top="0.75" bottom="0.75" header="0.3" footer="0.3"/>
  <pageSetup scale="49" orientation="landscape" r:id="rId1"/>
  <headerFooter>
    <oddHeader>&amp;A</oddHeader>
  </headerFooter>
  <rowBreaks count="2" manualBreakCount="2">
    <brk id="56" max="16383" man="1"/>
    <brk id="120" max="16383" man="1"/>
  </rowBreaks>
  <colBreaks count="1" manualBreakCount="1">
    <brk id="16" max="1048575" man="1"/>
  </colBreaks>
  <customProperties>
    <customPr name="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11784-F900-4255-ABD7-79B2653DF7EE}">
  <sheetPr>
    <tabColor theme="4" tint="0.59999389629810485"/>
    <pageSetUpPr fitToPage="1"/>
  </sheetPr>
  <dimension ref="A1:O220"/>
  <sheetViews>
    <sheetView zoomScaleNormal="100" workbookViewId="0">
      <selection activeCell="N64" sqref="N64:N130"/>
    </sheetView>
  </sheetViews>
  <sheetFormatPr defaultColWidth="20.42578125" defaultRowHeight="15" x14ac:dyDescent="0.25"/>
  <cols>
    <col min="1" max="1" width="19.5703125" bestFit="1" customWidth="1"/>
    <col min="2" max="2" width="14" bestFit="1" customWidth="1"/>
    <col min="3" max="3" width="14.5703125" bestFit="1" customWidth="1"/>
    <col min="4" max="4" width="14.42578125" bestFit="1" customWidth="1"/>
    <col min="5" max="5" width="25.5703125" bestFit="1" customWidth="1"/>
    <col min="6" max="6" width="12.42578125" bestFit="1" customWidth="1"/>
    <col min="8" max="8" width="20.42578125" style="332"/>
    <col min="11" max="11" width="14.42578125" bestFit="1" customWidth="1"/>
    <col min="12" max="12" width="14.42578125" customWidth="1"/>
    <col min="14" max="14" width="22.5703125" style="3" customWidth="1"/>
  </cols>
  <sheetData>
    <row r="1" spans="1:15" x14ac:dyDescent="0.25">
      <c r="A1" s="1" t="s">
        <v>0</v>
      </c>
      <c r="B1" s="51"/>
      <c r="C1" s="51"/>
      <c r="D1" s="51"/>
      <c r="E1" s="50"/>
      <c r="F1" s="50"/>
      <c r="G1" s="50"/>
      <c r="I1" s="50"/>
      <c r="J1" s="50"/>
      <c r="K1" s="50"/>
      <c r="L1" s="50"/>
    </row>
    <row r="2" spans="1:15" ht="45" x14ac:dyDescent="0.25">
      <c r="A2" s="13" t="s">
        <v>1</v>
      </c>
      <c r="B2" s="13" t="s">
        <v>2</v>
      </c>
      <c r="C2" s="13" t="s">
        <v>3</v>
      </c>
      <c r="D2" s="13" t="s">
        <v>4</v>
      </c>
      <c r="E2" s="13" t="s">
        <v>5</v>
      </c>
      <c r="F2" s="13" t="s">
        <v>6</v>
      </c>
      <c r="G2" s="13" t="s">
        <v>7</v>
      </c>
      <c r="H2" s="333" t="s">
        <v>353</v>
      </c>
      <c r="I2" s="13" t="s">
        <v>8</v>
      </c>
      <c r="J2" s="13" t="s">
        <v>9</v>
      </c>
      <c r="K2" s="13" t="s">
        <v>10</v>
      </c>
      <c r="L2" s="324"/>
    </row>
    <row r="3" spans="1:15" x14ac:dyDescent="0.25">
      <c r="A3" s="49"/>
      <c r="B3" s="49"/>
      <c r="C3" s="49"/>
      <c r="D3" s="49"/>
      <c r="E3" s="49"/>
      <c r="F3" s="49"/>
      <c r="G3" s="49"/>
      <c r="H3" s="334"/>
      <c r="I3" s="49"/>
      <c r="J3" s="49"/>
      <c r="K3" s="49"/>
      <c r="L3" s="325"/>
    </row>
    <row r="4" spans="1:15" x14ac:dyDescent="0.25">
      <c r="A4" s="41" t="s">
        <v>11</v>
      </c>
      <c r="B4" s="41" t="s">
        <v>12</v>
      </c>
      <c r="C4" s="8" t="s">
        <v>13</v>
      </c>
      <c r="D4" s="48">
        <v>0.13</v>
      </c>
      <c r="E4" s="47">
        <f>E36+E69+E102</f>
        <v>76112663.900604993</v>
      </c>
      <c r="F4" s="46">
        <f>D4*E4</f>
        <v>9894646.3070786502</v>
      </c>
      <c r="G4" s="45">
        <f t="shared" ref="G4:G25" si="0">K4/E4</f>
        <v>1.8631099304986654</v>
      </c>
      <c r="H4" s="335"/>
      <c r="I4" s="272"/>
      <c r="J4" s="273"/>
      <c r="K4" s="44">
        <f t="shared" ref="K4:K29" si="1">K69+K36+K102</f>
        <v>141806259.94992444</v>
      </c>
      <c r="L4" s="326"/>
      <c r="O4" s="207"/>
    </row>
    <row r="5" spans="1:15" x14ac:dyDescent="0.25">
      <c r="A5" s="8" t="s">
        <v>14</v>
      </c>
      <c r="B5" s="8" t="s">
        <v>11</v>
      </c>
      <c r="C5" s="8" t="s">
        <v>13</v>
      </c>
      <c r="D5" s="48">
        <v>0.14499999999999999</v>
      </c>
      <c r="E5" s="47">
        <f t="shared" ref="E5:E29" si="2">E37+E70+E103</f>
        <v>101959380.99297675</v>
      </c>
      <c r="F5" s="46">
        <f>D5*E5</f>
        <v>14784110.243981628</v>
      </c>
      <c r="G5" s="45">
        <f>K5/E5</f>
        <v>1.8631022631949592</v>
      </c>
      <c r="H5" s="335"/>
      <c r="I5" s="272"/>
      <c r="J5" s="273"/>
      <c r="K5" s="44">
        <f>K70+K37+K103</f>
        <v>189960753.4819721</v>
      </c>
      <c r="L5" s="326"/>
      <c r="O5" s="207"/>
    </row>
    <row r="6" spans="1:15" x14ac:dyDescent="0.25">
      <c r="A6" s="8" t="s">
        <v>15</v>
      </c>
      <c r="B6" s="8" t="s">
        <v>14</v>
      </c>
      <c r="C6" s="8" t="s">
        <v>13</v>
      </c>
      <c r="D6" s="48">
        <v>0.16</v>
      </c>
      <c r="E6" s="47">
        <f t="shared" si="2"/>
        <v>125865782.01627436</v>
      </c>
      <c r="F6" s="46">
        <f t="shared" ref="F6:F29" si="3">D6*E6</f>
        <v>20138525.122603897</v>
      </c>
      <c r="G6" s="45">
        <f t="shared" si="0"/>
        <v>1.8637295446897024</v>
      </c>
      <c r="H6" s="335"/>
      <c r="I6" s="272"/>
      <c r="J6" s="273"/>
      <c r="K6" s="44">
        <f t="shared" si="1"/>
        <v>234579776.60920435</v>
      </c>
      <c r="L6" s="326"/>
      <c r="O6" s="207"/>
    </row>
    <row r="7" spans="1:15" x14ac:dyDescent="0.25">
      <c r="A7" s="8" t="s">
        <v>16</v>
      </c>
      <c r="B7" s="8" t="s">
        <v>15</v>
      </c>
      <c r="C7" s="8" t="s">
        <v>13</v>
      </c>
      <c r="D7" s="48">
        <v>0.17500000000000004</v>
      </c>
      <c r="E7" s="47">
        <f t="shared" si="2"/>
        <v>120852469.47880016</v>
      </c>
      <c r="F7" s="46">
        <f t="shared" si="3"/>
        <v>21149182.158790033</v>
      </c>
      <c r="G7" s="45">
        <f t="shared" si="0"/>
        <v>1.8637269201154412</v>
      </c>
      <c r="H7" s="335"/>
      <c r="I7" s="272"/>
      <c r="J7" s="273"/>
      <c r="K7" s="44">
        <f>K72+K39+K105</f>
        <v>225236000.73006958</v>
      </c>
      <c r="L7" s="326"/>
      <c r="O7" s="207"/>
    </row>
    <row r="8" spans="1:15" x14ac:dyDescent="0.25">
      <c r="A8" s="8" t="s">
        <v>17</v>
      </c>
      <c r="B8" s="8" t="s">
        <v>16</v>
      </c>
      <c r="C8" s="8" t="s">
        <v>13</v>
      </c>
      <c r="D8" s="48">
        <v>0.19000000000000006</v>
      </c>
      <c r="E8" s="47">
        <f t="shared" si="2"/>
        <v>119923435.18328001</v>
      </c>
      <c r="F8" s="46">
        <f t="shared" si="3"/>
        <v>22785452.684823208</v>
      </c>
      <c r="G8" s="45">
        <f t="shared" si="0"/>
        <v>3.8752878926725569</v>
      </c>
      <c r="H8" s="335"/>
      <c r="I8" s="272"/>
      <c r="J8" s="273"/>
      <c r="K8" s="44">
        <f t="shared" si="1"/>
        <v>464737836.41346717</v>
      </c>
      <c r="L8" s="326"/>
      <c r="O8" s="207"/>
    </row>
    <row r="9" spans="1:15" x14ac:dyDescent="0.25">
      <c r="A9" s="8" t="s">
        <v>18</v>
      </c>
      <c r="B9" s="8" t="s">
        <v>17</v>
      </c>
      <c r="C9" s="8" t="s">
        <v>13</v>
      </c>
      <c r="D9" s="48">
        <v>0.20500000000000007</v>
      </c>
      <c r="E9" s="47">
        <f t="shared" si="2"/>
        <v>120302327.52374344</v>
      </c>
      <c r="F9" s="46">
        <f t="shared" si="3"/>
        <v>24661977.142367411</v>
      </c>
      <c r="G9" s="45">
        <f>K9/E9</f>
        <v>4.8832221741438255</v>
      </c>
      <c r="H9" s="335"/>
      <c r="I9" s="272"/>
      <c r="J9" s="273"/>
      <c r="K9" s="44">
        <f t="shared" si="1"/>
        <v>587462993.36505699</v>
      </c>
      <c r="L9" s="326"/>
      <c r="O9" s="207"/>
    </row>
    <row r="10" spans="1:15" x14ac:dyDescent="0.25">
      <c r="A10" s="41" t="s">
        <v>19</v>
      </c>
      <c r="B10" s="8" t="s">
        <v>18</v>
      </c>
      <c r="C10" s="8" t="s">
        <v>13</v>
      </c>
      <c r="D10" s="48">
        <v>0.22000000000000008</v>
      </c>
      <c r="E10" s="47">
        <f t="shared" si="2"/>
        <v>118284569.94609663</v>
      </c>
      <c r="F10" s="46">
        <f t="shared" si="3"/>
        <v>26022605.388141267</v>
      </c>
      <c r="G10" s="45">
        <f t="shared" si="0"/>
        <v>4.8816305447012747</v>
      </c>
      <c r="H10" s="335">
        <f t="shared" ref="H10" si="4">J10/I10</f>
        <v>0.31358750000000002</v>
      </c>
      <c r="I10" s="272">
        <f>I42+I75+I108</f>
        <v>800000</v>
      </c>
      <c r="J10" s="273">
        <f t="shared" ref="I10:J29" si="5">J42+J75+J108</f>
        <v>250870</v>
      </c>
      <c r="K10" s="44">
        <f>K75+K42+K108</f>
        <v>577421569.61571968</v>
      </c>
      <c r="L10" s="326"/>
      <c r="M10" t="s">
        <v>20</v>
      </c>
      <c r="O10" s="207"/>
    </row>
    <row r="11" spans="1:15" x14ac:dyDescent="0.25">
      <c r="A11" s="41" t="s">
        <v>21</v>
      </c>
      <c r="B11" s="41" t="s">
        <v>19</v>
      </c>
      <c r="C11" s="8" t="s">
        <v>13</v>
      </c>
      <c r="D11" s="48">
        <v>0.2350000000000001</v>
      </c>
      <c r="E11" s="47">
        <f t="shared" si="2"/>
        <v>117448534.41866967</v>
      </c>
      <c r="F11" s="46">
        <f t="shared" si="3"/>
        <v>27600405.588387385</v>
      </c>
      <c r="G11" s="45">
        <f t="shared" si="0"/>
        <v>4.8811222272849379</v>
      </c>
      <c r="H11" s="335">
        <f>J11/I11</f>
        <v>0.34699999999999998</v>
      </c>
      <c r="I11" s="272">
        <f>I43+I76+I109</f>
        <v>1000000</v>
      </c>
      <c r="J11" s="273">
        <f t="shared" si="5"/>
        <v>347000</v>
      </c>
      <c r="K11" s="44">
        <f t="shared" si="1"/>
        <v>573280651.91300857</v>
      </c>
      <c r="L11" s="326"/>
      <c r="M11" t="s">
        <v>20</v>
      </c>
      <c r="O11" s="207"/>
    </row>
    <row r="12" spans="1:15" x14ac:dyDescent="0.25">
      <c r="A12" s="41" t="s">
        <v>22</v>
      </c>
      <c r="B12" s="41" t="s">
        <v>21</v>
      </c>
      <c r="C12" s="8" t="s">
        <v>13</v>
      </c>
      <c r="D12" s="48">
        <v>0.25000000000000011</v>
      </c>
      <c r="E12" s="47">
        <f t="shared" si="2"/>
        <v>117076946.99110551</v>
      </c>
      <c r="F12" s="46">
        <f t="shared" si="3"/>
        <v>29269236.747776389</v>
      </c>
      <c r="G12" s="45">
        <f t="shared" si="0"/>
        <v>4.8816075516428308</v>
      </c>
      <c r="H12" s="335">
        <f t="shared" ref="H12:H29" si="6">J12/I12</f>
        <v>0</v>
      </c>
      <c r="I12" s="272">
        <f t="shared" si="5"/>
        <v>1000000</v>
      </c>
      <c r="J12" s="273">
        <f t="shared" si="5"/>
        <v>0</v>
      </c>
      <c r="K12" s="44">
        <f t="shared" si="1"/>
        <v>571523708.55506802</v>
      </c>
      <c r="L12" s="326"/>
      <c r="M12" s="176" t="s">
        <v>365</v>
      </c>
      <c r="O12" s="207"/>
    </row>
    <row r="13" spans="1:15" x14ac:dyDescent="0.25">
      <c r="A13" s="8" t="s">
        <v>23</v>
      </c>
      <c r="B13" s="8" t="s">
        <v>22</v>
      </c>
      <c r="C13" s="8" t="s">
        <v>13</v>
      </c>
      <c r="D13" s="48">
        <v>0.28000000000000003</v>
      </c>
      <c r="E13" s="47">
        <f t="shared" si="2"/>
        <v>116598024.16007395</v>
      </c>
      <c r="F13" s="46">
        <f t="shared" si="3"/>
        <v>32647446.76482071</v>
      </c>
      <c r="G13" s="45">
        <f t="shared" si="0"/>
        <v>4.8871780913780007</v>
      </c>
      <c r="H13" s="335">
        <f t="shared" si="6"/>
        <v>0</v>
      </c>
      <c r="I13" s="331">
        <f t="shared" si="5"/>
        <v>1000000</v>
      </c>
      <c r="J13" s="273">
        <f t="shared" si="5"/>
        <v>0</v>
      </c>
      <c r="K13" s="44">
        <f t="shared" si="1"/>
        <v>569835309.17307627</v>
      </c>
      <c r="L13" s="326"/>
      <c r="M13" s="176" t="s">
        <v>365</v>
      </c>
      <c r="O13" s="207"/>
    </row>
    <row r="14" spans="1:15" x14ac:dyDescent="0.25">
      <c r="A14" s="8" t="s">
        <v>24</v>
      </c>
      <c r="B14" s="8" t="s">
        <v>23</v>
      </c>
      <c r="C14" s="8" t="s">
        <v>13</v>
      </c>
      <c r="D14" s="48">
        <v>0.31</v>
      </c>
      <c r="E14" s="47">
        <f t="shared" si="2"/>
        <v>117951516.97371611</v>
      </c>
      <c r="F14" s="46">
        <f t="shared" si="3"/>
        <v>36564970.261851996</v>
      </c>
      <c r="G14" s="45">
        <f t="shared" si="0"/>
        <v>4.8902584680562162</v>
      </c>
      <c r="H14" s="335">
        <f t="shared" si="6"/>
        <v>0</v>
      </c>
      <c r="I14" s="331">
        <f t="shared" si="5"/>
        <v>1000000</v>
      </c>
      <c r="J14" s="273">
        <f t="shared" si="5"/>
        <v>0</v>
      </c>
      <c r="K14" s="44">
        <f t="shared" si="1"/>
        <v>576813404.70079172</v>
      </c>
      <c r="L14" s="326"/>
      <c r="M14" s="176" t="s">
        <v>365</v>
      </c>
      <c r="O14" s="207"/>
    </row>
    <row r="15" spans="1:15" x14ac:dyDescent="0.25">
      <c r="A15" s="8" t="s">
        <v>25</v>
      </c>
      <c r="B15" s="8" t="s">
        <v>24</v>
      </c>
      <c r="C15" s="8" t="s">
        <v>13</v>
      </c>
      <c r="D15" s="48">
        <v>0.34</v>
      </c>
      <c r="E15" s="47">
        <f t="shared" si="2"/>
        <v>120160471.95284462</v>
      </c>
      <c r="F15" s="46">
        <f t="shared" si="3"/>
        <v>40854560.463967174</v>
      </c>
      <c r="G15" s="45">
        <f t="shared" si="0"/>
        <v>4.8936227898382709</v>
      </c>
      <c r="H15" s="335">
        <f t="shared" si="6"/>
        <v>0</v>
      </c>
      <c r="I15" s="331">
        <f t="shared" si="5"/>
        <v>1000000</v>
      </c>
      <c r="J15" s="273">
        <f t="shared" si="5"/>
        <v>0</v>
      </c>
      <c r="K15" s="44">
        <f>K80+K47+K113</f>
        <v>588020023.98616278</v>
      </c>
      <c r="L15" s="326"/>
      <c r="M15" s="176" t="s">
        <v>365</v>
      </c>
      <c r="O15" s="207"/>
    </row>
    <row r="16" spans="1:15" x14ac:dyDescent="0.25">
      <c r="A16" s="41" t="s">
        <v>26</v>
      </c>
      <c r="B16" s="8" t="s">
        <v>25</v>
      </c>
      <c r="C16" s="8" t="s">
        <v>13</v>
      </c>
      <c r="D16" s="48">
        <v>0.37</v>
      </c>
      <c r="E16" s="47">
        <f t="shared" si="2"/>
        <v>123340335.76100779</v>
      </c>
      <c r="F16" s="46">
        <f t="shared" si="3"/>
        <v>45635924.231572881</v>
      </c>
      <c r="G16" s="45">
        <f t="shared" si="0"/>
        <v>4.8980423094173071</v>
      </c>
      <c r="H16" s="335">
        <f t="shared" si="6"/>
        <v>0</v>
      </c>
      <c r="I16" s="331">
        <f t="shared" si="5"/>
        <v>1000000</v>
      </c>
      <c r="J16" s="273">
        <f t="shared" si="5"/>
        <v>0</v>
      </c>
      <c r="K16" s="44">
        <f t="shared" si="1"/>
        <v>604126183.01515269</v>
      </c>
      <c r="L16" s="326"/>
      <c r="M16" s="176" t="s">
        <v>365</v>
      </c>
      <c r="O16" s="207"/>
    </row>
    <row r="17" spans="1:15" x14ac:dyDescent="0.25">
      <c r="A17" s="41" t="s">
        <v>27</v>
      </c>
      <c r="B17" s="41" t="s">
        <v>26</v>
      </c>
      <c r="C17" s="8" t="s">
        <v>13</v>
      </c>
      <c r="D17" s="48">
        <v>0.4</v>
      </c>
      <c r="E17" s="47">
        <f t="shared" si="2"/>
        <v>127710558.89337468</v>
      </c>
      <c r="F17" s="46">
        <f>D17*E17</f>
        <v>51084223.557349876</v>
      </c>
      <c r="G17" s="45">
        <f t="shared" si="0"/>
        <v>4.903349319110256</v>
      </c>
      <c r="H17" s="335">
        <f t="shared" si="6"/>
        <v>0</v>
      </c>
      <c r="I17" s="331">
        <f t="shared" si="5"/>
        <v>1000000</v>
      </c>
      <c r="J17" s="273">
        <f t="shared" si="5"/>
        <v>0</v>
      </c>
      <c r="K17" s="44">
        <f t="shared" si="1"/>
        <v>626209481.99301898</v>
      </c>
      <c r="L17" s="326"/>
      <c r="M17" s="176" t="s">
        <v>365</v>
      </c>
      <c r="O17" s="207"/>
    </row>
    <row r="18" spans="1:15" x14ac:dyDescent="0.25">
      <c r="A18" s="41" t="s">
        <v>28</v>
      </c>
      <c r="B18" s="41" t="s">
        <v>27</v>
      </c>
      <c r="C18" s="8" t="s">
        <v>13</v>
      </c>
      <c r="D18" s="48">
        <v>0.40902608000000001</v>
      </c>
      <c r="E18" s="47">
        <f t="shared" si="2"/>
        <v>132702918.8251438</v>
      </c>
      <c r="F18" s="46">
        <f t="shared" si="3"/>
        <v>54278954.691606775</v>
      </c>
      <c r="G18" s="45">
        <f t="shared" si="0"/>
        <v>4.9078887122537838</v>
      </c>
      <c r="H18" s="335">
        <f t="shared" si="6"/>
        <v>0</v>
      </c>
      <c r="I18" s="331">
        <f t="shared" si="5"/>
        <v>1000000</v>
      </c>
      <c r="J18" s="273">
        <f t="shared" si="5"/>
        <v>0</v>
      </c>
      <c r="K18" s="44">
        <f t="shared" si="1"/>
        <v>651291157.3850534</v>
      </c>
      <c r="L18" s="326"/>
      <c r="M18" s="176" t="s">
        <v>365</v>
      </c>
      <c r="O18" s="207"/>
    </row>
    <row r="19" spans="1:15" x14ac:dyDescent="0.25">
      <c r="A19" s="8" t="s">
        <v>29</v>
      </c>
      <c r="B19" s="8" t="s">
        <v>28</v>
      </c>
      <c r="C19" s="8" t="s">
        <v>13</v>
      </c>
      <c r="D19" s="48">
        <v>0.41825583530041599</v>
      </c>
      <c r="E19" s="47">
        <f t="shared" si="2"/>
        <v>137828482.74825796</v>
      </c>
      <c r="F19" s="46">
        <f t="shared" si="3"/>
        <v>57647567.180061609</v>
      </c>
      <c r="G19" s="45">
        <f t="shared" si="0"/>
        <v>4.9121704450649348</v>
      </c>
      <c r="H19" s="335">
        <f t="shared" si="6"/>
        <v>0</v>
      </c>
      <c r="I19" s="331">
        <f t="shared" si="5"/>
        <v>1000000</v>
      </c>
      <c r="J19" s="273">
        <f t="shared" si="5"/>
        <v>0</v>
      </c>
      <c r="K19" s="44">
        <f t="shared" si="1"/>
        <v>677036999.44413507</v>
      </c>
      <c r="L19" s="326"/>
      <c r="M19" s="176" t="s">
        <v>365</v>
      </c>
      <c r="O19" s="207"/>
    </row>
    <row r="20" spans="1:15" x14ac:dyDescent="0.25">
      <c r="A20" s="8" t="s">
        <v>30</v>
      </c>
      <c r="B20" s="8" t="s">
        <v>29</v>
      </c>
      <c r="C20" s="8" t="s">
        <v>13</v>
      </c>
      <c r="D20" s="48">
        <v>0.42769386187513697</v>
      </c>
      <c r="E20" s="47">
        <f t="shared" si="2"/>
        <v>142396210.2591947</v>
      </c>
      <c r="F20" s="46">
        <f t="shared" si="3"/>
        <v>60901985.082138978</v>
      </c>
      <c r="G20" s="45">
        <f t="shared" si="0"/>
        <v>4.9158310790240138</v>
      </c>
      <c r="H20" s="335">
        <f t="shared" si="6"/>
        <v>0</v>
      </c>
      <c r="I20" s="331">
        <f t="shared" si="5"/>
        <v>1000000</v>
      </c>
      <c r="J20" s="273">
        <f>J52+J85+J118</f>
        <v>0</v>
      </c>
      <c r="K20" s="44">
        <f t="shared" si="1"/>
        <v>699995715.92738748</v>
      </c>
      <c r="L20" s="326"/>
      <c r="M20" s="176" t="s">
        <v>365</v>
      </c>
      <c r="O20" s="207"/>
    </row>
    <row r="21" spans="1:15" x14ac:dyDescent="0.25">
      <c r="A21" s="8" t="s">
        <v>31</v>
      </c>
      <c r="B21" s="8" t="s">
        <v>30</v>
      </c>
      <c r="C21" s="8" t="s">
        <v>13</v>
      </c>
      <c r="D21" s="48">
        <v>0.43734485940712181</v>
      </c>
      <c r="E21" s="47">
        <f t="shared" si="2"/>
        <v>146636712.7150135</v>
      </c>
      <c r="F21" s="46">
        <f t="shared" si="3"/>
        <v>64130812.506270096</v>
      </c>
      <c r="G21" s="45">
        <f>K21/E21</f>
        <v>4.9189307000580182</v>
      </c>
      <c r="H21" s="335">
        <f t="shared" si="6"/>
        <v>0</v>
      </c>
      <c r="I21" s="331">
        <f t="shared" si="5"/>
        <v>1000000</v>
      </c>
      <c r="J21" s="273">
        <f t="shared" si="5"/>
        <v>0</v>
      </c>
      <c r="K21" s="44">
        <f t="shared" si="1"/>
        <v>721295827.92946792</v>
      </c>
      <c r="L21" s="326"/>
      <c r="M21" s="176" t="s">
        <v>365</v>
      </c>
      <c r="O21" s="207"/>
    </row>
    <row r="22" spans="1:15" x14ac:dyDescent="0.25">
      <c r="A22" s="8" t="s">
        <v>32</v>
      </c>
      <c r="B22" s="8" t="s">
        <v>31</v>
      </c>
      <c r="C22" s="8" t="s">
        <v>13</v>
      </c>
      <c r="D22" s="48">
        <v>0.44721363362861538</v>
      </c>
      <c r="E22" s="47">
        <f t="shared" si="2"/>
        <v>149932244.55344012</v>
      </c>
      <c r="F22" s="46">
        <f t="shared" si="3"/>
        <v>67051743.884838134</v>
      </c>
      <c r="G22" s="45">
        <f t="shared" si="0"/>
        <v>4.921233508524832</v>
      </c>
      <c r="H22" s="335">
        <f t="shared" si="6"/>
        <v>0</v>
      </c>
      <c r="I22" s="331">
        <f t="shared" si="5"/>
        <v>1000000</v>
      </c>
      <c r="J22" s="273">
        <f t="shared" si="5"/>
        <v>0</v>
      </c>
      <c r="K22" s="44">
        <f t="shared" si="1"/>
        <v>737851585.90472925</v>
      </c>
      <c r="L22" s="326"/>
      <c r="M22" s="176" t="s">
        <v>365</v>
      </c>
      <c r="O22" s="207"/>
    </row>
    <row r="23" spans="1:15" x14ac:dyDescent="0.25">
      <c r="A23" s="8" t="s">
        <v>33</v>
      </c>
      <c r="B23" s="8" t="s">
        <v>32</v>
      </c>
      <c r="C23" s="8" t="s">
        <v>13</v>
      </c>
      <c r="D23" s="48">
        <v>0.45730509871417185</v>
      </c>
      <c r="E23" s="47">
        <f t="shared" si="2"/>
        <v>152347139.67752904</v>
      </c>
      <c r="F23" s="46">
        <f t="shared" si="3"/>
        <v>69669123.749054149</v>
      </c>
      <c r="G23" s="45">
        <f t="shared" si="0"/>
        <v>4.9228170336930637</v>
      </c>
      <c r="H23" s="335">
        <f t="shared" si="6"/>
        <v>0</v>
      </c>
      <c r="I23" s="331">
        <f t="shared" si="5"/>
        <v>1000000</v>
      </c>
      <c r="J23" s="273">
        <f t="shared" si="5"/>
        <v>0</v>
      </c>
      <c r="K23" s="44">
        <f t="shared" si="1"/>
        <v>749977094.23895633</v>
      </c>
      <c r="L23" s="326"/>
      <c r="M23" s="176" t="s">
        <v>365</v>
      </c>
      <c r="O23" s="207"/>
    </row>
    <row r="24" spans="1:15" x14ac:dyDescent="0.25">
      <c r="A24" s="8" t="s">
        <v>34</v>
      </c>
      <c r="B24" s="8" t="s">
        <v>33</v>
      </c>
      <c r="C24" s="8" t="s">
        <v>13</v>
      </c>
      <c r="D24" s="48">
        <v>0.46762427972767689</v>
      </c>
      <c r="E24" s="47">
        <f t="shared" si="2"/>
        <v>153369791.39240366</v>
      </c>
      <c r="F24" s="46">
        <f t="shared" si="3"/>
        <v>71719438.231856823</v>
      </c>
      <c r="G24" s="45">
        <f t="shared" si="0"/>
        <v>4.9235446354454222</v>
      </c>
      <c r="H24" s="335">
        <f t="shared" si="6"/>
        <v>0</v>
      </c>
      <c r="I24" s="331">
        <f t="shared" si="5"/>
        <v>1000000</v>
      </c>
      <c r="J24" s="273">
        <f t="shared" si="5"/>
        <v>0</v>
      </c>
      <c r="K24" s="44">
        <f t="shared" si="1"/>
        <v>755123013.64945257</v>
      </c>
      <c r="L24" s="326"/>
      <c r="M24" s="176" t="s">
        <v>365</v>
      </c>
      <c r="O24" s="207"/>
    </row>
    <row r="25" spans="1:15" x14ac:dyDescent="0.25">
      <c r="A25" s="8" t="s">
        <v>35</v>
      </c>
      <c r="B25" s="8" t="s">
        <v>34</v>
      </c>
      <c r="C25" s="8" t="s">
        <v>13</v>
      </c>
      <c r="D25" s="48">
        <v>0.47817631512458791</v>
      </c>
      <c r="E25" s="47">
        <f t="shared" si="2"/>
        <v>154352652.37567851</v>
      </c>
      <c r="F25" s="46">
        <f t="shared" si="3"/>
        <v>73807782.542708427</v>
      </c>
      <c r="G25" s="45">
        <f t="shared" si="0"/>
        <v>4.9241401064107633</v>
      </c>
      <c r="H25" s="335">
        <f t="shared" si="6"/>
        <v>0</v>
      </c>
      <c r="I25" s="331">
        <f t="shared" si="5"/>
        <v>1000000</v>
      </c>
      <c r="J25" s="273">
        <f t="shared" si="5"/>
        <v>0</v>
      </c>
      <c r="K25" s="44">
        <f t="shared" si="1"/>
        <v>760054086.09395719</v>
      </c>
      <c r="L25" s="326"/>
      <c r="M25" s="176" t="s">
        <v>365</v>
      </c>
      <c r="O25" s="207"/>
    </row>
    <row r="26" spans="1:15" x14ac:dyDescent="0.25">
      <c r="A26" s="8" t="s">
        <v>36</v>
      </c>
      <c r="B26" s="8" t="s">
        <v>35</v>
      </c>
      <c r="C26" s="8" t="s">
        <v>13</v>
      </c>
      <c r="D26" s="48">
        <v>0.48896645931063754</v>
      </c>
      <c r="E26" s="47">
        <f t="shared" si="2"/>
        <v>154984027.06193298</v>
      </c>
      <c r="F26" s="46">
        <f t="shared" si="3"/>
        <v>75781990.962177396</v>
      </c>
      <c r="G26" s="45">
        <v>4.8906096307934241</v>
      </c>
      <c r="H26" s="335">
        <f t="shared" si="6"/>
        <v>0</v>
      </c>
      <c r="I26" s="331">
        <f t="shared" si="5"/>
        <v>1000000</v>
      </c>
      <c r="J26" s="273">
        <f t="shared" si="5"/>
        <v>0</v>
      </c>
      <c r="K26" s="44">
        <f t="shared" si="1"/>
        <v>763223080.28524029</v>
      </c>
      <c r="L26" s="326"/>
      <c r="M26" s="176" t="s">
        <v>365</v>
      </c>
      <c r="O26" s="207"/>
    </row>
    <row r="27" spans="1:15" x14ac:dyDescent="0.25">
      <c r="A27" s="8" t="s">
        <v>37</v>
      </c>
      <c r="B27" s="8" t="s">
        <v>36</v>
      </c>
      <c r="C27" s="8" t="s">
        <v>13</v>
      </c>
      <c r="D27" s="48">
        <v>0.50000008525827411</v>
      </c>
      <c r="E27" s="47">
        <f t="shared" si="2"/>
        <v>155775596.8172794</v>
      </c>
      <c r="F27" s="46">
        <f t="shared" si="3"/>
        <v>77887811.689798236</v>
      </c>
      <c r="G27" s="45">
        <v>4.8906096307934241</v>
      </c>
      <c r="H27" s="335">
        <f t="shared" si="6"/>
        <v>0</v>
      </c>
      <c r="I27" s="331">
        <f t="shared" si="5"/>
        <v>1000000</v>
      </c>
      <c r="J27" s="273">
        <f t="shared" si="5"/>
        <v>0</v>
      </c>
      <c r="K27" s="44">
        <f t="shared" si="1"/>
        <v>767191443.57323825</v>
      </c>
      <c r="L27" s="326"/>
      <c r="M27" s="176" t="s">
        <v>365</v>
      </c>
      <c r="O27" s="207"/>
    </row>
    <row r="28" spans="1:15" x14ac:dyDescent="0.25">
      <c r="A28" s="8" t="s">
        <v>38</v>
      </c>
      <c r="B28" s="8" t="s">
        <v>37</v>
      </c>
      <c r="C28" s="8" t="s">
        <v>13</v>
      </c>
      <c r="D28" s="48">
        <v>0.5</v>
      </c>
      <c r="E28" s="47">
        <f t="shared" si="2"/>
        <v>156375413.29734337</v>
      </c>
      <c r="F28" s="46">
        <f t="shared" si="3"/>
        <v>78187706.648671687</v>
      </c>
      <c r="G28" s="45">
        <v>4.8906096307934241</v>
      </c>
      <c r="H28" s="335">
        <f t="shared" si="6"/>
        <v>0</v>
      </c>
      <c r="I28" s="331">
        <f t="shared" si="5"/>
        <v>1000000</v>
      </c>
      <c r="J28" s="273">
        <f t="shared" si="5"/>
        <v>0</v>
      </c>
      <c r="K28" s="44">
        <f t="shared" si="1"/>
        <v>770213015.27956915</v>
      </c>
      <c r="L28" s="326"/>
      <c r="M28" s="176" t="s">
        <v>365</v>
      </c>
    </row>
    <row r="29" spans="1:15" x14ac:dyDescent="0.25">
      <c r="A29" s="8" t="s">
        <v>39</v>
      </c>
      <c r="B29" s="8" t="s">
        <v>38</v>
      </c>
      <c r="C29" s="8" t="s">
        <v>13</v>
      </c>
      <c r="D29" s="48">
        <v>0.5</v>
      </c>
      <c r="E29" s="47">
        <f t="shared" si="2"/>
        <v>156995755.53066766</v>
      </c>
      <c r="F29" s="46">
        <f t="shared" si="3"/>
        <v>78497877.765333831</v>
      </c>
      <c r="G29" s="45">
        <v>4.8906096307934241</v>
      </c>
      <c r="H29" s="335">
        <f t="shared" si="6"/>
        <v>0</v>
      </c>
      <c r="I29" s="331">
        <f t="shared" si="5"/>
        <v>1000000</v>
      </c>
      <c r="J29" s="273">
        <f t="shared" si="5"/>
        <v>0</v>
      </c>
      <c r="K29" s="44">
        <f t="shared" si="1"/>
        <v>773322609.58036363</v>
      </c>
      <c r="L29" s="326"/>
      <c r="M29" s="176" t="s">
        <v>365</v>
      </c>
    </row>
    <row r="33" spans="1:14" x14ac:dyDescent="0.25">
      <c r="A33" s="1" t="s">
        <v>40</v>
      </c>
    </row>
    <row r="34" spans="1:14" ht="45" x14ac:dyDescent="0.25">
      <c r="A34" s="13" t="s">
        <v>1</v>
      </c>
      <c r="B34" s="13" t="s">
        <v>2</v>
      </c>
      <c r="C34" s="13" t="s">
        <v>3</v>
      </c>
      <c r="D34" s="13" t="s">
        <v>4</v>
      </c>
      <c r="E34" s="328" t="s">
        <v>41</v>
      </c>
      <c r="F34" s="13" t="s">
        <v>6</v>
      </c>
      <c r="G34" s="13" t="s">
        <v>7</v>
      </c>
      <c r="H34" s="333" t="s">
        <v>353</v>
      </c>
      <c r="I34" s="13" t="s">
        <v>8</v>
      </c>
      <c r="J34" s="13" t="s">
        <v>9</v>
      </c>
      <c r="K34" s="13" t="s">
        <v>10</v>
      </c>
      <c r="L34" s="13"/>
      <c r="M34" s="13" t="s">
        <v>366</v>
      </c>
    </row>
    <row r="35" spans="1:14" x14ac:dyDescent="0.25">
      <c r="A35" s="49"/>
      <c r="B35" s="49"/>
      <c r="C35" s="49"/>
      <c r="D35" s="49"/>
      <c r="E35" s="49"/>
      <c r="F35" s="49"/>
      <c r="G35" s="49"/>
      <c r="H35" s="334"/>
      <c r="I35" s="49"/>
      <c r="J35" s="49"/>
      <c r="K35" s="49"/>
      <c r="L35" s="325"/>
    </row>
    <row r="36" spans="1:14" x14ac:dyDescent="0.25">
      <c r="A36" s="41" t="s">
        <v>11</v>
      </c>
      <c r="B36" s="41" t="s">
        <v>12</v>
      </c>
      <c r="C36" s="8" t="s">
        <v>40</v>
      </c>
      <c r="D36" s="48">
        <v>0.13</v>
      </c>
      <c r="E36" s="62">
        <v>21152969.5</v>
      </c>
      <c r="F36" s="46">
        <f t="shared" ref="F36:F61" si="7">D36*E36</f>
        <v>2749886.0350000001</v>
      </c>
      <c r="G36" s="52">
        <v>1.8053999999999999</v>
      </c>
      <c r="H36" s="45"/>
      <c r="I36" s="52"/>
      <c r="J36" s="52"/>
      <c r="K36" s="44">
        <f>E36*G36</f>
        <v>38189571.135299996</v>
      </c>
      <c r="L36" s="326"/>
    </row>
    <row r="37" spans="1:14" x14ac:dyDescent="0.25">
      <c r="A37" s="8" t="s">
        <v>14</v>
      </c>
      <c r="B37" s="8" t="s">
        <v>11</v>
      </c>
      <c r="C37" s="8" t="s">
        <v>40</v>
      </c>
      <c r="D37" s="48">
        <v>0.14499999999999999</v>
      </c>
      <c r="E37" s="62">
        <v>29995819.886929087</v>
      </c>
      <c r="F37" s="46">
        <f t="shared" si="7"/>
        <v>4349393.8836047174</v>
      </c>
      <c r="G37" s="52">
        <v>1.8053999999999999</v>
      </c>
      <c r="H37" s="45"/>
      <c r="I37" s="52"/>
      <c r="J37" s="52"/>
      <c r="K37" s="44">
        <f>E37*G37</f>
        <v>54154453.223861769</v>
      </c>
      <c r="L37" s="326"/>
    </row>
    <row r="38" spans="1:14" x14ac:dyDescent="0.25">
      <c r="A38" s="8" t="s">
        <v>15</v>
      </c>
      <c r="B38" s="8" t="s">
        <v>14</v>
      </c>
      <c r="C38" s="8" t="s">
        <v>40</v>
      </c>
      <c r="D38" s="48">
        <v>0.16</v>
      </c>
      <c r="E38" s="62">
        <v>36810006</v>
      </c>
      <c r="F38" s="46">
        <f t="shared" si="7"/>
        <v>5889600.96</v>
      </c>
      <c r="G38" s="52">
        <v>1.8053999999999999</v>
      </c>
      <c r="H38" s="45"/>
      <c r="I38" s="52"/>
      <c r="J38" s="52"/>
      <c r="K38" s="44">
        <f>E38*G38</f>
        <v>66456784.832399994</v>
      </c>
      <c r="L38" s="326"/>
    </row>
    <row r="39" spans="1:14" x14ac:dyDescent="0.25">
      <c r="A39" s="8" t="s">
        <v>16</v>
      </c>
      <c r="B39" s="8" t="s">
        <v>15</v>
      </c>
      <c r="C39" s="8" t="s">
        <v>40</v>
      </c>
      <c r="D39" s="48">
        <v>0.17500000000000004</v>
      </c>
      <c r="E39" s="62">
        <f>35620834882/1000</f>
        <v>35620834.881999999</v>
      </c>
      <c r="F39" s="46">
        <f t="shared" si="7"/>
        <v>6233646.1043500016</v>
      </c>
      <c r="G39" s="52">
        <v>1.8053999999999999</v>
      </c>
      <c r="H39" s="45"/>
      <c r="I39" s="52"/>
      <c r="J39" s="52"/>
      <c r="K39" s="44">
        <f>E39*G39</f>
        <v>64309855.295962796</v>
      </c>
      <c r="L39" s="326"/>
    </row>
    <row r="40" spans="1:14" x14ac:dyDescent="0.25">
      <c r="A40" s="8" t="s">
        <v>17</v>
      </c>
      <c r="B40" s="8" t="s">
        <v>16</v>
      </c>
      <c r="C40" s="8" t="s">
        <v>40</v>
      </c>
      <c r="D40" s="48">
        <v>0.19000000000000006</v>
      </c>
      <c r="E40" s="62">
        <v>35458611</v>
      </c>
      <c r="F40" s="46">
        <f t="shared" si="7"/>
        <v>6737136.0900000017</v>
      </c>
      <c r="G40" s="56">
        <f>(G39*(1/3))+(G41*(2/3))</f>
        <v>3.652133333333333</v>
      </c>
      <c r="H40" s="45"/>
      <c r="I40" s="56"/>
      <c r="J40" s="56"/>
      <c r="K40" s="44">
        <f>E40*G40</f>
        <v>129499575.18679999</v>
      </c>
      <c r="L40" s="326"/>
      <c r="M40" s="3">
        <f>'REC Spend projected'!H32+'REC Spend projected'!I32+'REC Spend projected'!J32+'REC Spend projected'!K32+'REC Spend projected'!L32+'REC Spend projected'!W32+'REC Spend projected'!X32+'REC Spend projected'!Y32</f>
        <v>10985217.937169807</v>
      </c>
    </row>
    <row r="41" spans="1:14" x14ac:dyDescent="0.25">
      <c r="A41" s="8" t="s">
        <v>18</v>
      </c>
      <c r="B41" s="8" t="s">
        <v>17</v>
      </c>
      <c r="C41" s="8" t="s">
        <v>40</v>
      </c>
      <c r="D41" s="48">
        <v>0.20500000000000007</v>
      </c>
      <c r="E41" s="62">
        <v>35074493</v>
      </c>
      <c r="F41" s="46">
        <f t="shared" si="7"/>
        <v>7190271.0650000023</v>
      </c>
      <c r="G41" s="52">
        <v>4.5754999999999999</v>
      </c>
      <c r="H41" s="45"/>
      <c r="I41" s="52"/>
      <c r="J41" s="52"/>
      <c r="K41" s="44">
        <f t="shared" ref="K41" si="8">G41*E41</f>
        <v>160483342.72150001</v>
      </c>
      <c r="L41" s="326"/>
      <c r="M41" s="3">
        <f>'REC Spend projected'!H33+'REC Spend projected'!I33+'REC Spend projected'!J33+'REC Spend projected'!K33+'REC Spend projected'!L33+'REC Spend projected'!W33+'REC Spend projected'!X33+'REC Spend projected'!Y33</f>
        <v>11508673.347169807</v>
      </c>
      <c r="N41" s="323"/>
    </row>
    <row r="42" spans="1:14" x14ac:dyDescent="0.25">
      <c r="A42" s="41" t="s">
        <v>19</v>
      </c>
      <c r="B42" s="8" t="s">
        <v>18</v>
      </c>
      <c r="C42" s="8" t="s">
        <v>40</v>
      </c>
      <c r="D42" s="48">
        <v>0.22000000000000008</v>
      </c>
      <c r="E42" s="62">
        <f>34318518.792809</f>
        <v>34318518.792809002</v>
      </c>
      <c r="F42" s="46">
        <f t="shared" si="7"/>
        <v>7550074.1344179837</v>
      </c>
      <c r="G42" s="52">
        <v>4.5754999999999999</v>
      </c>
      <c r="H42" s="335">
        <v>0.31391599999999997</v>
      </c>
      <c r="I42" s="11">
        <v>200000</v>
      </c>
      <c r="J42" s="26">
        <f>H42*I42</f>
        <v>62783.199999999997</v>
      </c>
      <c r="K42" s="282">
        <f>(G42*E42)-J42</f>
        <v>156961599.53649759</v>
      </c>
      <c r="L42" s="327"/>
      <c r="M42" s="3">
        <f>'REC Spend projected'!H34+'REC Spend projected'!I34+'REC Spend projected'!J34+'REC Spend projected'!K34+'REC Spend projected'!L34+'REC Spend projected'!W34+'REC Spend projected'!X34+'REC Spend projected'!Y34</f>
        <v>10028071.880758878</v>
      </c>
      <c r="N42" s="323"/>
    </row>
    <row r="43" spans="1:14" x14ac:dyDescent="0.25">
      <c r="A43" s="41" t="s">
        <v>21</v>
      </c>
      <c r="B43" s="41" t="s">
        <v>19</v>
      </c>
      <c r="C43" s="8" t="s">
        <v>40</v>
      </c>
      <c r="D43" s="48">
        <v>0.2350000000000001</v>
      </c>
      <c r="E43" s="62">
        <v>33963264.598822832</v>
      </c>
      <c r="F43" s="46">
        <f t="shared" si="7"/>
        <v>7981367.1807233691</v>
      </c>
      <c r="G43" s="52">
        <v>4.5754999999999999</v>
      </c>
      <c r="H43" s="335">
        <v>0.27900000000000003</v>
      </c>
      <c r="I43" s="11">
        <v>200000</v>
      </c>
      <c r="J43" s="26">
        <f>H43*I43</f>
        <v>55800.000000000007</v>
      </c>
      <c r="K43" s="282">
        <f t="shared" ref="K43:K61" si="9">(G43*E43)-J43</f>
        <v>155343117.17191386</v>
      </c>
      <c r="L43" s="326"/>
      <c r="M43" s="3">
        <f>'REC Spend projected'!H35+'REC Spend projected'!I35+'REC Spend projected'!J35+'REC Spend projected'!K35+'REC Spend projected'!L35+'REC Spend projected'!W35+'REC Spend projected'!X35+'REC Spend projected'!Y35</f>
        <v>9898909.0857186709</v>
      </c>
      <c r="N43" s="323"/>
    </row>
    <row r="44" spans="1:14" x14ac:dyDescent="0.25">
      <c r="A44" s="41" t="s">
        <v>22</v>
      </c>
      <c r="B44" s="41" t="s">
        <v>21</v>
      </c>
      <c r="C44" s="8" t="s">
        <v>40</v>
      </c>
      <c r="D44" s="48">
        <v>0.25000000000000011</v>
      </c>
      <c r="E44" s="62">
        <f>E43*1.02</f>
        <v>34642529.890799291</v>
      </c>
      <c r="F44" s="46">
        <f t="shared" si="7"/>
        <v>8660632.4726998266</v>
      </c>
      <c r="G44" s="52">
        <v>4.5754999999999999</v>
      </c>
      <c r="H44" s="335">
        <f>MIN(N44*G44,G44)</f>
        <v>0</v>
      </c>
      <c r="I44" s="11">
        <v>200000</v>
      </c>
      <c r="J44" s="26">
        <f>H44*I44</f>
        <v>0</v>
      </c>
      <c r="K44" s="282">
        <f t="shared" si="9"/>
        <v>158506895.51535216</v>
      </c>
      <c r="L44" s="326"/>
      <c r="M44" s="3">
        <f>'REC Spend projected'!H36+'REC Spend projected'!I36+'REC Spend projected'!J36+'REC Spend projected'!K36+'REC Spend projected'!L36+'REC Spend projected'!W36+'REC Spend projected'!X36+'REC Spend projected'!Y36</f>
        <v>17583806.603288878</v>
      </c>
      <c r="N44" s="323"/>
    </row>
    <row r="45" spans="1:14" x14ac:dyDescent="0.25">
      <c r="A45" s="8" t="s">
        <v>23</v>
      </c>
      <c r="B45" s="8" t="s">
        <v>22</v>
      </c>
      <c r="C45" s="8" t="s">
        <v>40</v>
      </c>
      <c r="D45" s="48">
        <v>0.28000000000000003</v>
      </c>
      <c r="E45" s="62">
        <v>33122720.436321735</v>
      </c>
      <c r="F45" s="46">
        <f t="shared" si="7"/>
        <v>9274361.7221700866</v>
      </c>
      <c r="G45" s="52">
        <v>4.5754999999999999</v>
      </c>
      <c r="H45" s="335">
        <f t="shared" ref="H45:H61" si="10">MIN(N45*G45,G45)</f>
        <v>0</v>
      </c>
      <c r="I45" s="11">
        <v>200000</v>
      </c>
      <c r="J45" s="26">
        <f>H45*I45</f>
        <v>0</v>
      </c>
      <c r="K45" s="282">
        <f t="shared" si="9"/>
        <v>151553007.35639009</v>
      </c>
      <c r="L45" s="326"/>
      <c r="M45" s="3">
        <f>'REC Spend projected'!H37+'REC Spend projected'!I37+'REC Spend projected'!J37+'REC Spend projected'!K37+'REC Spend projected'!L37+'REC Spend projected'!W37+'REC Spend projected'!X37+'REC Spend projected'!Y37</f>
        <v>39278359.588480294</v>
      </c>
      <c r="N45" s="323"/>
    </row>
    <row r="46" spans="1:14" x14ac:dyDescent="0.25">
      <c r="A46" s="8" t="s">
        <v>24</v>
      </c>
      <c r="B46" s="8" t="s">
        <v>23</v>
      </c>
      <c r="C46" s="8" t="s">
        <v>40</v>
      </c>
      <c r="D46" s="48">
        <v>0.31</v>
      </c>
      <c r="E46" s="62">
        <v>32848808.6508765</v>
      </c>
      <c r="F46" s="46">
        <f t="shared" si="7"/>
        <v>10183130.681771714</v>
      </c>
      <c r="G46" s="52">
        <v>4.5754999999999999</v>
      </c>
      <c r="H46" s="335">
        <f t="shared" si="10"/>
        <v>0</v>
      </c>
      <c r="I46" s="11">
        <v>200000</v>
      </c>
      <c r="J46" s="26">
        <f t="shared" ref="J46:J50" si="11">H46*I46</f>
        <v>0</v>
      </c>
      <c r="K46" s="282">
        <f t="shared" si="9"/>
        <v>150299723.98208541</v>
      </c>
      <c r="L46" s="326"/>
      <c r="M46" s="3">
        <f>'REC Spend projected'!H38+'REC Spend projected'!I38+'REC Spend projected'!J38+'REC Spend projected'!K38+'REC Spend projected'!L38+'REC Spend projected'!W38+'REC Spend projected'!X38+'REC Spend projected'!Y38</f>
        <v>70245154.497704551</v>
      </c>
      <c r="N46" s="323"/>
    </row>
    <row r="47" spans="1:14" x14ac:dyDescent="0.25">
      <c r="A47" s="8" t="s">
        <v>25</v>
      </c>
      <c r="B47" s="8" t="s">
        <v>24</v>
      </c>
      <c r="C47" s="8" t="s">
        <v>40</v>
      </c>
      <c r="D47" s="48">
        <v>0.34</v>
      </c>
      <c r="E47" s="62">
        <v>32589426.534430474</v>
      </c>
      <c r="F47" s="46">
        <f t="shared" si="7"/>
        <v>11080405.021706361</v>
      </c>
      <c r="G47" s="52">
        <v>4.5754999999999999</v>
      </c>
      <c r="H47" s="335">
        <f t="shared" si="10"/>
        <v>0</v>
      </c>
      <c r="I47" s="11">
        <v>200000</v>
      </c>
      <c r="J47" s="26">
        <f t="shared" si="11"/>
        <v>0</v>
      </c>
      <c r="K47" s="282">
        <f t="shared" si="9"/>
        <v>149112921.10828662</v>
      </c>
      <c r="L47" s="326"/>
      <c r="M47" s="3">
        <f>'REC Spend projected'!H39+'REC Spend projected'!I39+'REC Spend projected'!J39+'REC Spend projected'!K39+'REC Spend projected'!L39+'REC Spend projected'!W39+'REC Spend projected'!X39+'REC Spend projected'!Y39</f>
        <v>109373593.77992167</v>
      </c>
      <c r="N47" s="323"/>
    </row>
    <row r="48" spans="1:14" x14ac:dyDescent="0.25">
      <c r="A48" s="41" t="s">
        <v>26</v>
      </c>
      <c r="B48" s="8" t="s">
        <v>25</v>
      </c>
      <c r="C48" s="8" t="s">
        <v>40</v>
      </c>
      <c r="D48" s="48">
        <v>0.37</v>
      </c>
      <c r="E48" s="62">
        <v>32318315.002490982</v>
      </c>
      <c r="F48" s="46">
        <f t="shared" si="7"/>
        <v>11957776.550921664</v>
      </c>
      <c r="G48" s="52">
        <v>4.5754999999999999</v>
      </c>
      <c r="H48" s="335">
        <f t="shared" si="10"/>
        <v>0</v>
      </c>
      <c r="I48" s="11">
        <v>200000</v>
      </c>
      <c r="J48" s="26">
        <f t="shared" si="11"/>
        <v>0</v>
      </c>
      <c r="K48" s="282">
        <f t="shared" si="9"/>
        <v>147872450.29389748</v>
      </c>
      <c r="L48" s="326"/>
      <c r="M48" s="3">
        <f>'REC Spend projected'!H40+'REC Spend projected'!I40+'REC Spend projected'!J40+'REC Spend projected'!K40+'REC Spend projected'!L40+'REC Spend projected'!W40+'REC Spend projected'!X40+'REC Spend projected'!Y40</f>
        <v>144668613.76730016</v>
      </c>
      <c r="N48" s="323"/>
    </row>
    <row r="49" spans="1:14" x14ac:dyDescent="0.25">
      <c r="A49" s="41" t="s">
        <v>27</v>
      </c>
      <c r="B49" s="41" t="s">
        <v>26</v>
      </c>
      <c r="C49" s="8" t="s">
        <v>40</v>
      </c>
      <c r="D49" s="48">
        <v>0.4</v>
      </c>
      <c r="E49" s="62">
        <v>32024777.360337004</v>
      </c>
      <c r="F49" s="46">
        <f t="shared" si="7"/>
        <v>12809910.944134802</v>
      </c>
      <c r="G49" s="52">
        <v>4.5754999999999999</v>
      </c>
      <c r="H49" s="335">
        <f t="shared" si="10"/>
        <v>0</v>
      </c>
      <c r="I49" s="11">
        <v>200000</v>
      </c>
      <c r="J49" s="26">
        <f t="shared" si="11"/>
        <v>0</v>
      </c>
      <c r="K49" s="282">
        <f t="shared" si="9"/>
        <v>146529368.81222194</v>
      </c>
      <c r="L49" s="326"/>
      <c r="M49" s="3">
        <f>'REC Spend projected'!H41+'REC Spend projected'!I41+'REC Spend projected'!J41+'REC Spend projected'!K41+'REC Spend projected'!L41+'REC Spend projected'!W41+'REC Spend projected'!X41+'REC Spend projected'!Y41</f>
        <v>179887381.88108078</v>
      </c>
      <c r="N49" s="323"/>
    </row>
    <row r="50" spans="1:14" x14ac:dyDescent="0.25">
      <c r="A50" s="41" t="s">
        <v>28</v>
      </c>
      <c r="B50" s="41" t="s">
        <v>27</v>
      </c>
      <c r="C50" s="8" t="s">
        <v>40</v>
      </c>
      <c r="D50" s="48">
        <v>0.40902608000000001</v>
      </c>
      <c r="E50" s="62">
        <v>32024777.360337004</v>
      </c>
      <c r="F50" s="46">
        <f t="shared" si="7"/>
        <v>13098969.146571392</v>
      </c>
      <c r="G50" s="52">
        <v>4.5754999999999999</v>
      </c>
      <c r="H50" s="335">
        <f t="shared" si="10"/>
        <v>0</v>
      </c>
      <c r="I50" s="11">
        <v>200000</v>
      </c>
      <c r="J50" s="26">
        <f t="shared" si="11"/>
        <v>0</v>
      </c>
      <c r="K50" s="282">
        <f t="shared" si="9"/>
        <v>146529368.81222194</v>
      </c>
      <c r="L50" s="326"/>
      <c r="M50" s="3">
        <f>'REC Spend projected'!H42+'REC Spend projected'!I42+'REC Spend projected'!J42+'REC Spend projected'!K42+'REC Spend projected'!L42+'REC Spend projected'!W42+'REC Spend projected'!X42+'REC Spend projected'!Y42</f>
        <v>213690569.48919812</v>
      </c>
      <c r="N50" s="323"/>
    </row>
    <row r="51" spans="1:14" x14ac:dyDescent="0.25">
      <c r="A51" s="8" t="s">
        <v>29</v>
      </c>
      <c r="B51" s="8" t="s">
        <v>28</v>
      </c>
      <c r="C51" s="8" t="s">
        <v>40</v>
      </c>
      <c r="D51" s="48">
        <v>0.41825583530041599</v>
      </c>
      <c r="E51" s="62">
        <v>32024777.360337004</v>
      </c>
      <c r="F51" s="46">
        <f t="shared" si="7"/>
        <v>13394550.005157605</v>
      </c>
      <c r="G51" s="52">
        <v>4.5754999999999999</v>
      </c>
      <c r="H51" s="335">
        <f t="shared" si="10"/>
        <v>0</v>
      </c>
      <c r="I51" s="11">
        <v>200000</v>
      </c>
      <c r="J51" s="26">
        <f t="shared" ref="J51:J61" si="12">H51*I51</f>
        <v>0</v>
      </c>
      <c r="K51" s="282">
        <f t="shared" si="9"/>
        <v>146529368.81222194</v>
      </c>
      <c r="L51" s="326"/>
      <c r="M51" s="3">
        <f>'REC Spend projected'!H43+'REC Spend projected'!I43+'REC Spend projected'!J43+'REC Spend projected'!K43+'REC Spend projected'!L43+'REC Spend projected'!W43+'REC Spend projected'!X43+'REC Spend projected'!Y43</f>
        <v>248070093.05212459</v>
      </c>
      <c r="N51" s="323"/>
    </row>
    <row r="52" spans="1:14" x14ac:dyDescent="0.25">
      <c r="A52" s="8" t="s">
        <v>30</v>
      </c>
      <c r="B52" s="8" t="s">
        <v>29</v>
      </c>
      <c r="C52" s="8" t="s">
        <v>40</v>
      </c>
      <c r="D52" s="48">
        <v>0.42769386187513697</v>
      </c>
      <c r="E52" s="62">
        <v>32024777.360337004</v>
      </c>
      <c r="F52" s="46">
        <f t="shared" si="7"/>
        <v>13696800.704933988</v>
      </c>
      <c r="G52" s="52">
        <v>4.5754999999999999</v>
      </c>
      <c r="H52" s="335">
        <f t="shared" si="10"/>
        <v>0</v>
      </c>
      <c r="I52" s="11">
        <v>200000</v>
      </c>
      <c r="J52" s="26">
        <f t="shared" si="12"/>
        <v>0</v>
      </c>
      <c r="K52" s="282">
        <f t="shared" si="9"/>
        <v>146529368.81222194</v>
      </c>
      <c r="L52" s="326"/>
      <c r="M52" s="3">
        <f>'REC Spend projected'!H44+'REC Spend projected'!I44+'REC Spend projected'!J44+'REC Spend projected'!K44+'REC Spend projected'!L44+'REC Spend projected'!W44+'REC Spend projected'!X44+'REC Spend projected'!Y44</f>
        <v>262384137.46397862</v>
      </c>
      <c r="N52" s="323"/>
    </row>
    <row r="53" spans="1:14" x14ac:dyDescent="0.25">
      <c r="A53" s="8" t="s">
        <v>31</v>
      </c>
      <c r="B53" s="8" t="s">
        <v>30</v>
      </c>
      <c r="C53" s="8" t="s">
        <v>40</v>
      </c>
      <c r="D53" s="48">
        <v>0.43734485940712181</v>
      </c>
      <c r="E53" s="62">
        <v>32024777.360337004</v>
      </c>
      <c r="F53" s="46">
        <f t="shared" si="7"/>
        <v>14005871.752200965</v>
      </c>
      <c r="G53" s="52">
        <v>4.5754999999999999</v>
      </c>
      <c r="H53" s="335">
        <f t="shared" si="10"/>
        <v>0</v>
      </c>
      <c r="I53" s="11">
        <v>200000</v>
      </c>
      <c r="J53" s="26">
        <f t="shared" si="12"/>
        <v>0</v>
      </c>
      <c r="K53" s="282">
        <f t="shared" si="9"/>
        <v>146529368.81222194</v>
      </c>
      <c r="L53" s="326"/>
      <c r="M53" s="3">
        <f>'REC Spend projected'!H45+'REC Spend projected'!I45+'REC Spend projected'!J45+'REC Spend projected'!K45+'REC Spend projected'!L45+'REC Spend projected'!W45+'REC Spend projected'!X45+'REC Spend projected'!Y45</f>
        <v>271795177.43500525</v>
      </c>
      <c r="N53" s="323"/>
    </row>
    <row r="54" spans="1:14" x14ac:dyDescent="0.25">
      <c r="A54" s="8" t="s">
        <v>32</v>
      </c>
      <c r="B54" s="8" t="s">
        <v>31</v>
      </c>
      <c r="C54" s="8" t="s">
        <v>40</v>
      </c>
      <c r="D54" s="48">
        <v>0.44721363362861538</v>
      </c>
      <c r="E54" s="62">
        <v>32024777.360337004</v>
      </c>
      <c r="F54" s="46">
        <f t="shared" si="7"/>
        <v>14321917.049463728</v>
      </c>
      <c r="G54" s="52">
        <v>4.5754999999999999</v>
      </c>
      <c r="H54" s="335">
        <f t="shared" si="10"/>
        <v>0</v>
      </c>
      <c r="I54" s="11">
        <v>200000</v>
      </c>
      <c r="J54" s="26">
        <f t="shared" si="12"/>
        <v>0</v>
      </c>
      <c r="K54" s="282">
        <f t="shared" si="9"/>
        <v>146529368.81222194</v>
      </c>
      <c r="L54" s="326"/>
      <c r="M54" s="3">
        <f>'REC Spend projected'!H46+'REC Spend projected'!I46+'REC Spend projected'!J46+'REC Spend projected'!K46+'REC Spend projected'!L46+'REC Spend projected'!W46+'REC Spend projected'!X46+'REC Spend projected'!Y46</f>
        <v>284677474.0074752</v>
      </c>
      <c r="N54" s="323"/>
    </row>
    <row r="55" spans="1:14" x14ac:dyDescent="0.25">
      <c r="A55" s="8" t="s">
        <v>33</v>
      </c>
      <c r="B55" s="8" t="s">
        <v>32</v>
      </c>
      <c r="C55" s="8" t="s">
        <v>40</v>
      </c>
      <c r="D55" s="48">
        <v>0.45730509871417185</v>
      </c>
      <c r="E55" s="62">
        <v>32024777.360337004</v>
      </c>
      <c r="F55" s="46">
        <f t="shared" si="7"/>
        <v>14645093.972068289</v>
      </c>
      <c r="G55" s="52">
        <v>4.5754999999999999</v>
      </c>
      <c r="H55" s="335">
        <f t="shared" si="10"/>
        <v>0</v>
      </c>
      <c r="I55" s="11">
        <v>200000</v>
      </c>
      <c r="J55" s="26">
        <f t="shared" si="12"/>
        <v>0</v>
      </c>
      <c r="K55" s="282">
        <f t="shared" si="9"/>
        <v>146529368.81222194</v>
      </c>
      <c r="L55" s="326"/>
      <c r="M55" s="3">
        <f>'REC Spend projected'!H47+'REC Spend projected'!I47+'REC Spend projected'!J47+'REC Spend projected'!K47+'REC Spend projected'!L47+'REC Spend projected'!W47+'REC Spend projected'!X47+'REC Spend projected'!Y47</f>
        <v>300547350.19396842</v>
      </c>
      <c r="N55" s="323"/>
    </row>
    <row r="56" spans="1:14" x14ac:dyDescent="0.25">
      <c r="A56" s="8" t="s">
        <v>34</v>
      </c>
      <c r="B56" s="8" t="s">
        <v>33</v>
      </c>
      <c r="C56" s="8" t="s">
        <v>40</v>
      </c>
      <c r="D56" s="48">
        <v>0.46762427972767689</v>
      </c>
      <c r="E56" s="62">
        <v>32024777.360337004</v>
      </c>
      <c r="F56" s="46">
        <f t="shared" si="7"/>
        <v>14975563.446566805</v>
      </c>
      <c r="G56" s="52">
        <v>4.5754999999999999</v>
      </c>
      <c r="H56" s="335">
        <f t="shared" si="10"/>
        <v>0</v>
      </c>
      <c r="I56" s="11">
        <v>200000</v>
      </c>
      <c r="J56" s="26">
        <f t="shared" si="12"/>
        <v>0</v>
      </c>
      <c r="K56" s="282">
        <f t="shared" si="9"/>
        <v>146529368.81222194</v>
      </c>
      <c r="L56" s="326"/>
      <c r="M56" s="3">
        <f>'REC Spend projected'!H48+'REC Spend projected'!I48+'REC Spend projected'!J48+'REC Spend projected'!K48+'REC Spend projected'!L48+'REC Spend projected'!W48+'REC Spend projected'!X48+'REC Spend projected'!Y48</f>
        <v>334088887.93503016</v>
      </c>
      <c r="N56" s="323"/>
    </row>
    <row r="57" spans="1:14" x14ac:dyDescent="0.25">
      <c r="A57" s="8" t="s">
        <v>35</v>
      </c>
      <c r="B57" s="8" t="s">
        <v>34</v>
      </c>
      <c r="C57" s="8" t="s">
        <v>40</v>
      </c>
      <c r="D57" s="48">
        <v>0.47817631512458803</v>
      </c>
      <c r="E57" s="62">
        <v>32024777.360337004</v>
      </c>
      <c r="F57" s="46">
        <f t="shared" si="7"/>
        <v>15313490.03085128</v>
      </c>
      <c r="G57" s="52">
        <v>4.5754999999999999</v>
      </c>
      <c r="H57" s="335">
        <f t="shared" si="10"/>
        <v>0</v>
      </c>
      <c r="I57" s="11">
        <v>200000</v>
      </c>
      <c r="J57" s="26">
        <f t="shared" si="12"/>
        <v>0</v>
      </c>
      <c r="K57" s="282">
        <f t="shared" si="9"/>
        <v>146529368.81222194</v>
      </c>
      <c r="L57" s="326"/>
      <c r="M57" s="3">
        <f>'REC Spend projected'!H49+'REC Spend projected'!I49+'REC Spend projected'!J49+'REC Spend projected'!K49+'REC Spend projected'!L49+'REC Spend projected'!W49+'REC Spend projected'!X49+'REC Spend projected'!Y49</f>
        <v>361306911.13240284</v>
      </c>
      <c r="N57" s="323"/>
    </row>
    <row r="58" spans="1:14" x14ac:dyDescent="0.25">
      <c r="A58" s="8" t="s">
        <v>36</v>
      </c>
      <c r="B58" s="8" t="s">
        <v>35</v>
      </c>
      <c r="C58" s="8" t="s">
        <v>40</v>
      </c>
      <c r="D58" s="48">
        <v>0.48896645931063754</v>
      </c>
      <c r="E58" s="62">
        <v>32024777.360337004</v>
      </c>
      <c r="F58" s="46">
        <f t="shared" si="7"/>
        <v>15659041.996095451</v>
      </c>
      <c r="G58" s="52">
        <v>4.5754999999999999</v>
      </c>
      <c r="H58" s="335">
        <f t="shared" si="10"/>
        <v>0</v>
      </c>
      <c r="I58" s="11">
        <v>200000</v>
      </c>
      <c r="J58" s="26">
        <f t="shared" si="12"/>
        <v>0</v>
      </c>
      <c r="K58" s="282">
        <f t="shared" si="9"/>
        <v>146529368.81222194</v>
      </c>
      <c r="L58" s="326"/>
      <c r="M58" s="3">
        <f>'REC Spend projected'!H50+'REC Spend projected'!I50+'REC Spend projected'!J50+'REC Spend projected'!K50+'REC Spend projected'!L50+'REC Spend projected'!W50+'REC Spend projected'!X50+'REC Spend projected'!Y50</f>
        <v>385795715.50705338</v>
      </c>
      <c r="N58" s="323"/>
    </row>
    <row r="59" spans="1:14" x14ac:dyDescent="0.25">
      <c r="A59" s="8" t="s">
        <v>37</v>
      </c>
      <c r="B59" s="8" t="s">
        <v>36</v>
      </c>
      <c r="C59" s="8" t="s">
        <v>40</v>
      </c>
      <c r="D59" s="48">
        <v>0.50000008525827411</v>
      </c>
      <c r="E59" s="62">
        <v>32024777.360337004</v>
      </c>
      <c r="F59" s="46">
        <f t="shared" si="7"/>
        <v>16012391.410545748</v>
      </c>
      <c r="G59" s="52">
        <v>4.5754999999999999</v>
      </c>
      <c r="H59" s="335">
        <f t="shared" si="10"/>
        <v>0</v>
      </c>
      <c r="I59" s="11">
        <v>200000</v>
      </c>
      <c r="J59" s="26">
        <f t="shared" si="12"/>
        <v>0</v>
      </c>
      <c r="K59" s="282">
        <f t="shared" si="9"/>
        <v>146529368.81222194</v>
      </c>
      <c r="L59" s="326"/>
      <c r="M59" s="3">
        <f>'REC Spend projected'!H51+'REC Spend projected'!I51+'REC Spend projected'!J51+'REC Spend projected'!K51+'REC Spend projected'!L51+'REC Spend projected'!W51+'REC Spend projected'!X51+'REC Spend projected'!Y51</f>
        <v>412034800.0692848</v>
      </c>
      <c r="N59" s="323"/>
    </row>
    <row r="60" spans="1:14" x14ac:dyDescent="0.25">
      <c r="A60" s="8" t="s">
        <v>38</v>
      </c>
      <c r="B60" s="8" t="s">
        <v>37</v>
      </c>
      <c r="C60" s="8" t="s">
        <v>40</v>
      </c>
      <c r="D60" s="48">
        <v>0.5</v>
      </c>
      <c r="E60" s="62">
        <v>32024777.360337004</v>
      </c>
      <c r="F60" s="46">
        <f t="shared" si="7"/>
        <v>16012388.680168502</v>
      </c>
      <c r="G60" s="52">
        <v>4.5754999999999999</v>
      </c>
      <c r="H60" s="335">
        <f t="shared" si="10"/>
        <v>0</v>
      </c>
      <c r="I60" s="11">
        <v>200000</v>
      </c>
      <c r="J60" s="26">
        <f t="shared" si="12"/>
        <v>0</v>
      </c>
      <c r="K60" s="282">
        <f t="shared" si="9"/>
        <v>146529368.81222194</v>
      </c>
      <c r="L60" s="326"/>
      <c r="M60" s="3">
        <f>'REC Spend projected'!H52+'REC Spend projected'!I52+'REC Spend projected'!J52+'REC Spend projected'!K52+'REC Spend projected'!L52+'REC Spend projected'!W52+'REC Spend projected'!X52+'REC Spend projected'!Y52</f>
        <v>437932991.01058203</v>
      </c>
      <c r="N60" s="323"/>
    </row>
    <row r="61" spans="1:14" x14ac:dyDescent="0.25">
      <c r="A61" s="8" t="s">
        <v>39</v>
      </c>
      <c r="B61" s="8" t="s">
        <v>38</v>
      </c>
      <c r="C61" s="8" t="s">
        <v>40</v>
      </c>
      <c r="D61" s="48">
        <v>0.5</v>
      </c>
      <c r="E61" s="62">
        <v>32024777.360337004</v>
      </c>
      <c r="F61" s="46">
        <f t="shared" si="7"/>
        <v>16012388.680168502</v>
      </c>
      <c r="G61" s="52">
        <v>4.5754999999999999</v>
      </c>
      <c r="H61" s="335">
        <f t="shared" si="10"/>
        <v>0</v>
      </c>
      <c r="I61" s="11">
        <v>200000</v>
      </c>
      <c r="J61" s="26">
        <f t="shared" si="12"/>
        <v>0</v>
      </c>
      <c r="K61" s="282">
        <f t="shared" si="9"/>
        <v>146529368.81222194</v>
      </c>
      <c r="L61" s="326"/>
      <c r="M61" s="3">
        <f>'REC Spend projected'!H53+'REC Spend projected'!I53+'REC Spend projected'!J53+'REC Spend projected'!K53+'REC Spend projected'!L53+'REC Spend projected'!W53+'REC Spend projected'!X53+'REC Spend projected'!Y53</f>
        <v>458261721.61593401</v>
      </c>
      <c r="N61" s="323"/>
    </row>
    <row r="62" spans="1:14" x14ac:dyDescent="0.25">
      <c r="E62" s="19"/>
      <c r="N62" s="323"/>
    </row>
    <row r="63" spans="1:14" x14ac:dyDescent="0.25">
      <c r="E63" s="19"/>
    </row>
    <row r="64" spans="1:14" x14ac:dyDescent="0.25">
      <c r="A64" s="50"/>
      <c r="B64" s="50"/>
      <c r="C64" s="50"/>
      <c r="D64" s="61"/>
      <c r="E64" s="19"/>
      <c r="F64" s="60"/>
      <c r="G64" s="59"/>
      <c r="H64" s="336"/>
      <c r="I64" s="59"/>
      <c r="J64" s="59"/>
      <c r="K64" s="54"/>
      <c r="L64" s="54"/>
    </row>
    <row r="65" spans="1:13" x14ac:dyDescent="0.25">
      <c r="A65" s="50"/>
      <c r="B65" s="50"/>
      <c r="C65" s="50"/>
      <c r="D65" s="61"/>
      <c r="E65" s="64"/>
      <c r="F65" s="60"/>
      <c r="G65" s="59"/>
      <c r="H65" s="336"/>
      <c r="I65" s="59"/>
      <c r="J65" s="59"/>
      <c r="K65" s="54"/>
      <c r="L65" s="54"/>
    </row>
    <row r="66" spans="1:13" x14ac:dyDescent="0.25">
      <c r="A66" s="1" t="s">
        <v>42</v>
      </c>
      <c r="B66" s="51"/>
      <c r="C66" s="51"/>
      <c r="D66" s="51"/>
      <c r="E66" s="50"/>
      <c r="F66" s="50"/>
      <c r="G66" s="50"/>
      <c r="I66" s="50"/>
      <c r="J66" s="50"/>
      <c r="K66" s="50"/>
      <c r="L66" s="50"/>
    </row>
    <row r="67" spans="1:13" ht="55.5" customHeight="1" x14ac:dyDescent="0.25">
      <c r="A67" s="13" t="s">
        <v>1</v>
      </c>
      <c r="B67" s="13" t="s">
        <v>2</v>
      </c>
      <c r="C67" s="13" t="s">
        <v>3</v>
      </c>
      <c r="D67" s="13" t="s">
        <v>4</v>
      </c>
      <c r="E67" s="13" t="s">
        <v>5</v>
      </c>
      <c r="F67" s="13" t="s">
        <v>6</v>
      </c>
      <c r="G67" s="13" t="s">
        <v>7</v>
      </c>
      <c r="H67" s="333" t="s">
        <v>353</v>
      </c>
      <c r="I67" s="13" t="s">
        <v>8</v>
      </c>
      <c r="J67" s="13" t="s">
        <v>9</v>
      </c>
      <c r="K67" s="13" t="s">
        <v>10</v>
      </c>
      <c r="L67" s="13"/>
      <c r="M67" s="13" t="s">
        <v>366</v>
      </c>
    </row>
    <row r="68" spans="1:13" x14ac:dyDescent="0.25">
      <c r="A68" s="49"/>
      <c r="B68" s="49"/>
      <c r="C68" s="49"/>
      <c r="D68" s="49"/>
      <c r="E68" s="49"/>
      <c r="F68" s="49"/>
      <c r="G68" s="49"/>
      <c r="H68" s="334"/>
      <c r="I68" s="49"/>
      <c r="J68" s="49"/>
      <c r="K68" s="49"/>
      <c r="L68" s="325"/>
    </row>
    <row r="69" spans="1:13" x14ac:dyDescent="0.25">
      <c r="A69" s="41" t="s">
        <v>11</v>
      </c>
      <c r="B69" s="41" t="s">
        <v>12</v>
      </c>
      <c r="C69" s="8" t="s">
        <v>42</v>
      </c>
      <c r="D69" s="48">
        <v>0.13</v>
      </c>
      <c r="E69" s="62">
        <v>54420529.400604993</v>
      </c>
      <c r="F69" s="46">
        <f t="shared" ref="F69:F94" si="13">D69*E69</f>
        <v>7074668.822078649</v>
      </c>
      <c r="G69" s="52">
        <v>1.8916999999999999</v>
      </c>
      <c r="H69" s="45"/>
      <c r="I69" s="52"/>
      <c r="J69" s="52"/>
      <c r="K69" s="44">
        <f t="shared" ref="K69:K74" si="14">G69*E69</f>
        <v>102947315.46712446</v>
      </c>
      <c r="L69" s="326"/>
    </row>
    <row r="70" spans="1:13" x14ac:dyDescent="0.25">
      <c r="A70" s="8" t="s">
        <v>14</v>
      </c>
      <c r="B70" s="8" t="s">
        <v>11</v>
      </c>
      <c r="C70" s="8" t="s">
        <v>42</v>
      </c>
      <c r="D70" s="48">
        <v>0.14499999999999999</v>
      </c>
      <c r="E70" s="63">
        <v>71460380.10604766</v>
      </c>
      <c r="F70" s="46">
        <f t="shared" si="13"/>
        <v>10361755.11537691</v>
      </c>
      <c r="G70" s="52">
        <v>1.8916999999999999</v>
      </c>
      <c r="H70" s="45"/>
      <c r="I70" s="52"/>
      <c r="J70" s="52"/>
      <c r="K70" s="44">
        <f t="shared" si="14"/>
        <v>135181601.04661036</v>
      </c>
      <c r="L70" s="326"/>
    </row>
    <row r="71" spans="1:13" x14ac:dyDescent="0.25">
      <c r="A71" s="8" t="s">
        <v>15</v>
      </c>
      <c r="B71" s="8" t="s">
        <v>14</v>
      </c>
      <c r="C71" s="8" t="s">
        <v>42</v>
      </c>
      <c r="D71" s="48">
        <v>0.16</v>
      </c>
      <c r="E71" s="62">
        <v>88526985.316209987</v>
      </c>
      <c r="F71" s="46">
        <f t="shared" si="13"/>
        <v>14164317.650593597</v>
      </c>
      <c r="G71" s="52">
        <v>1.8916999999999999</v>
      </c>
      <c r="H71" s="45"/>
      <c r="I71" s="52"/>
      <c r="J71" s="52"/>
      <c r="K71" s="44">
        <f t="shared" si="14"/>
        <v>167466498.12267444</v>
      </c>
      <c r="L71" s="326"/>
    </row>
    <row r="72" spans="1:13" x14ac:dyDescent="0.25">
      <c r="A72" s="8" t="s">
        <v>16</v>
      </c>
      <c r="B72" s="8" t="s">
        <v>15</v>
      </c>
      <c r="C72" s="8" t="s">
        <v>42</v>
      </c>
      <c r="D72" s="48">
        <v>0.17500000000000004</v>
      </c>
      <c r="E72" s="62">
        <f>84760183147/1000</f>
        <v>84760183.147</v>
      </c>
      <c r="F72" s="46">
        <f t="shared" si="13"/>
        <v>14833032.050725004</v>
      </c>
      <c r="G72" s="52">
        <v>1.8916999999999999</v>
      </c>
      <c r="H72" s="45"/>
      <c r="I72" s="52"/>
      <c r="J72" s="52"/>
      <c r="K72" s="44">
        <f t="shared" si="14"/>
        <v>160340838.45917991</v>
      </c>
      <c r="L72" s="326"/>
    </row>
    <row r="73" spans="1:13" x14ac:dyDescent="0.25">
      <c r="A73" s="8" t="s">
        <v>17</v>
      </c>
      <c r="B73" s="8" t="s">
        <v>16</v>
      </c>
      <c r="C73" s="8" t="s">
        <v>42</v>
      </c>
      <c r="D73" s="48">
        <v>0.19000000000000006</v>
      </c>
      <c r="E73" s="62">
        <v>83931773.183280006</v>
      </c>
      <c r="F73" s="46">
        <f t="shared" si="13"/>
        <v>15947036.904823206</v>
      </c>
      <c r="G73" s="56">
        <f>(G72*(1/3))+(G74*(2/3))</f>
        <v>3.980433333333333</v>
      </c>
      <c r="H73" s="45"/>
      <c r="I73" s="56"/>
      <c r="J73" s="56"/>
      <c r="K73" s="44">
        <f t="shared" si="14"/>
        <v>334084827.7045005</v>
      </c>
      <c r="L73" s="326"/>
      <c r="M73" s="3">
        <f>'REC Spend projected'!H59+'REC Spend projected'!I59+'REC Spend projected'!J59+'REC Spend projected'!K59+'REC Spend projected'!L59+'REC Spend projected'!W59+'REC Spend projected'!X59+'REC Spend projected'!Y59</f>
        <v>32362467.661667578</v>
      </c>
    </row>
    <row r="74" spans="1:13" x14ac:dyDescent="0.25">
      <c r="A74" s="8" t="s">
        <v>18</v>
      </c>
      <c r="B74" s="8" t="s">
        <v>17</v>
      </c>
      <c r="C74" s="8" t="s">
        <v>42</v>
      </c>
      <c r="D74" s="48">
        <v>0.20500000000000007</v>
      </c>
      <c r="E74" s="62">
        <v>84697301.866293222</v>
      </c>
      <c r="F74" s="46">
        <f t="shared" si="13"/>
        <v>17362946.882590115</v>
      </c>
      <c r="G74" s="52">
        <v>5.0247999999999999</v>
      </c>
      <c r="H74" s="45"/>
      <c r="I74" s="52"/>
      <c r="J74" s="52"/>
      <c r="K74" s="44">
        <f t="shared" si="14"/>
        <v>425587002.41775018</v>
      </c>
      <c r="L74" s="326"/>
      <c r="M74" s="3">
        <f>'REC Spend projected'!H60+'REC Spend projected'!I60+'REC Spend projected'!J60+'REC Spend projected'!K60+'REC Spend projected'!L60+'REC Spend projected'!W60+'REC Spend projected'!X60+'REC Spend projected'!Y60</f>
        <v>33454514.518896408</v>
      </c>
    </row>
    <row r="75" spans="1:13" x14ac:dyDescent="0.25">
      <c r="A75" s="41" t="s">
        <v>19</v>
      </c>
      <c r="B75" s="8" t="s">
        <v>18</v>
      </c>
      <c r="C75" s="8" t="s">
        <v>42</v>
      </c>
      <c r="D75" s="48">
        <v>0.22000000000000008</v>
      </c>
      <c r="E75" s="62">
        <v>83439108.509810001</v>
      </c>
      <c r="F75" s="46">
        <f t="shared" si="13"/>
        <v>18356603.872158207</v>
      </c>
      <c r="G75" s="52">
        <v>5.0247999999999999</v>
      </c>
      <c r="H75" s="335">
        <v>0.31347799999999998</v>
      </c>
      <c r="I75" s="11">
        <v>600000</v>
      </c>
      <c r="J75" s="26">
        <f>H75*I75</f>
        <v>188086.8</v>
      </c>
      <c r="K75" s="282">
        <f>(G75*E75)-J75</f>
        <v>419076745.64009327</v>
      </c>
      <c r="L75" s="327"/>
      <c r="M75" s="3">
        <f>'REC Spend projected'!H61+'REC Spend projected'!I61+'REC Spend projected'!J61+'REC Spend projected'!K61+'REC Spend projected'!L61+'REC Spend projected'!W61+'REC Spend projected'!X61+'REC Spend projected'!Y61</f>
        <v>30213283.199631654</v>
      </c>
    </row>
    <row r="76" spans="1:13" x14ac:dyDescent="0.25">
      <c r="A76" s="41" t="s">
        <v>21</v>
      </c>
      <c r="B76" s="41" t="s">
        <v>19</v>
      </c>
      <c r="C76" s="8" t="s">
        <v>42</v>
      </c>
      <c r="D76" s="48">
        <v>0.2350000000000001</v>
      </c>
      <c r="E76" s="62">
        <v>82956872.015999988</v>
      </c>
      <c r="F76" s="46">
        <f t="shared" si="13"/>
        <v>19494864.923760004</v>
      </c>
      <c r="G76" s="52">
        <v>5.0247999999999999</v>
      </c>
      <c r="H76" s="335">
        <v>0.36399999999999999</v>
      </c>
      <c r="I76" s="11">
        <v>800000</v>
      </c>
      <c r="J76" s="26">
        <f>H76*I76</f>
        <v>291200</v>
      </c>
      <c r="K76" s="282">
        <f t="shared" ref="K76:K94" si="15">(G76*E76)-J76</f>
        <v>416550490.5059967</v>
      </c>
      <c r="L76" s="326"/>
      <c r="M76" s="3">
        <f>'REC Spend projected'!H62+'REC Spend projected'!I62+'REC Spend projected'!J62+'REC Spend projected'!K62+'REC Spend projected'!L62+'REC Spend projected'!W62+'REC Spend projected'!X62+'REC Spend projected'!Y62</f>
        <v>30087083.632756982</v>
      </c>
    </row>
    <row r="77" spans="1:13" x14ac:dyDescent="0.25">
      <c r="A77" s="41" t="s">
        <v>22</v>
      </c>
      <c r="B77" s="41" t="s">
        <v>21</v>
      </c>
      <c r="C77" s="8" t="s">
        <v>42</v>
      </c>
      <c r="D77" s="48">
        <v>0.25000000000000011</v>
      </c>
      <c r="E77" s="62">
        <v>81934522.939999998</v>
      </c>
      <c r="F77" s="46">
        <f t="shared" si="13"/>
        <v>20483630.735000007</v>
      </c>
      <c r="G77" s="52">
        <v>5.0247999999999999</v>
      </c>
      <c r="H77" s="335">
        <f>MIN(N77*G77,G77)</f>
        <v>0</v>
      </c>
      <c r="I77" s="11">
        <v>800000</v>
      </c>
      <c r="J77" s="26">
        <f>H77*I77</f>
        <v>0</v>
      </c>
      <c r="K77" s="282">
        <f t="shared" si="15"/>
        <v>411704590.86891198</v>
      </c>
      <c r="L77" s="326"/>
      <c r="M77" s="3">
        <f>'REC Spend projected'!H63+'REC Spend projected'!I63+'REC Spend projected'!J63+'REC Spend projected'!K63+'REC Spend projected'!L63+'REC Spend projected'!W63+'REC Spend projected'!X63+'REC Spend projected'!Y63</f>
        <v>49597052.943824343</v>
      </c>
    </row>
    <row r="78" spans="1:13" x14ac:dyDescent="0.25">
      <c r="A78" s="8" t="s">
        <v>23</v>
      </c>
      <c r="B78" s="8" t="s">
        <v>22</v>
      </c>
      <c r="C78" s="8" t="s">
        <v>42</v>
      </c>
      <c r="D78" s="48">
        <v>0.28000000000000003</v>
      </c>
      <c r="E78" s="62">
        <v>82990094.817000002</v>
      </c>
      <c r="F78" s="46">
        <f t="shared" si="13"/>
        <v>23237226.548760004</v>
      </c>
      <c r="G78" s="52">
        <v>5.0247999999999999</v>
      </c>
      <c r="H78" s="335">
        <f t="shared" ref="H78:H94" si="16">MIN(N78*G78,G78)</f>
        <v>0</v>
      </c>
      <c r="I78" s="11">
        <v>800000</v>
      </c>
      <c r="J78" s="26">
        <f t="shared" ref="J78:J94" si="17">H78*I78</f>
        <v>0</v>
      </c>
      <c r="K78" s="282">
        <f t="shared" si="15"/>
        <v>417008628.43646163</v>
      </c>
      <c r="L78" s="326"/>
      <c r="M78" s="3">
        <f>'REC Spend projected'!H64+'REC Spend projected'!I64+'REC Spend projected'!J64+'REC Spend projected'!K64+'REC Spend projected'!L64+'REC Spend projected'!W64+'REC Spend projected'!X64+'REC Spend projected'!Y64</f>
        <v>102936469.15444924</v>
      </c>
    </row>
    <row r="79" spans="1:13" x14ac:dyDescent="0.25">
      <c r="A79" s="8" t="s">
        <v>24</v>
      </c>
      <c r="B79" s="8" t="s">
        <v>23</v>
      </c>
      <c r="C79" s="8" t="s">
        <v>42</v>
      </c>
      <c r="D79" s="48">
        <v>0.31</v>
      </c>
      <c r="E79" s="62">
        <v>84639999.737999991</v>
      </c>
      <c r="F79" s="46">
        <f t="shared" si="13"/>
        <v>26238399.918779995</v>
      </c>
      <c r="G79" s="52">
        <v>5.0247999999999999</v>
      </c>
      <c r="H79" s="335">
        <f t="shared" si="16"/>
        <v>0</v>
      </c>
      <c r="I79" s="11">
        <v>800000</v>
      </c>
      <c r="J79" s="26">
        <f t="shared" si="17"/>
        <v>0</v>
      </c>
      <c r="K79" s="282">
        <f t="shared" si="15"/>
        <v>425299070.68350238</v>
      </c>
      <c r="L79" s="326"/>
      <c r="M79" s="3">
        <f>'REC Spend projected'!H65+'REC Spend projected'!I65+'REC Spend projected'!J65+'REC Spend projected'!K65+'REC Spend projected'!L65+'REC Spend projected'!W65+'REC Spend projected'!X65+'REC Spend projected'!Y65</f>
        <v>174826925.10478315</v>
      </c>
    </row>
    <row r="80" spans="1:13" x14ac:dyDescent="0.25">
      <c r="A80" s="8" t="s">
        <v>25</v>
      </c>
      <c r="B80" s="8" t="s">
        <v>24</v>
      </c>
      <c r="C80" s="8" t="s">
        <v>42</v>
      </c>
      <c r="D80" s="48">
        <v>0.34</v>
      </c>
      <c r="E80" s="62">
        <v>87104387.304999992</v>
      </c>
      <c r="F80" s="46">
        <f t="shared" si="13"/>
        <v>29615491.683699999</v>
      </c>
      <c r="G80" s="52">
        <v>5.0247999999999999</v>
      </c>
      <c r="H80" s="335">
        <f t="shared" si="16"/>
        <v>0</v>
      </c>
      <c r="I80" s="11">
        <v>800000</v>
      </c>
      <c r="J80" s="26">
        <f t="shared" si="17"/>
        <v>0</v>
      </c>
      <c r="K80" s="282">
        <f t="shared" si="15"/>
        <v>437682125.33016396</v>
      </c>
      <c r="L80" s="326"/>
      <c r="M80" s="3">
        <f>'REC Spend projected'!H66+'REC Spend projected'!I66+'REC Spend projected'!J66+'REC Spend projected'!K66+'REC Spend projected'!L66+'REC Spend projected'!W66+'REC Spend projected'!X66+'REC Spend projected'!Y66</f>
        <v>270125395.96074367</v>
      </c>
    </row>
    <row r="81" spans="1:13" x14ac:dyDescent="0.25">
      <c r="A81" s="41" t="s">
        <v>26</v>
      </c>
      <c r="B81" s="8" t="s">
        <v>25</v>
      </c>
      <c r="C81" s="8" t="s">
        <v>42</v>
      </c>
      <c r="D81" s="48">
        <v>0.37</v>
      </c>
      <c r="E81" s="62">
        <v>90557933.256999999</v>
      </c>
      <c r="F81" s="46">
        <f t="shared" si="13"/>
        <v>33506435.305089999</v>
      </c>
      <c r="G81" s="52">
        <v>5.0247999999999999</v>
      </c>
      <c r="H81" s="335">
        <f t="shared" si="16"/>
        <v>0</v>
      </c>
      <c r="I81" s="11">
        <v>800000</v>
      </c>
      <c r="J81" s="26">
        <f t="shared" si="17"/>
        <v>0</v>
      </c>
      <c r="K81" s="282">
        <f t="shared" si="15"/>
        <v>455035503.02977359</v>
      </c>
      <c r="L81" s="326"/>
      <c r="M81" s="3">
        <f>'REC Spend projected'!H67+'REC Spend projected'!I67+'REC Spend projected'!J67+'REC Spend projected'!K67+'REC Spend projected'!L67+'REC Spend projected'!W67+'REC Spend projected'!X67+'REC Spend projected'!Y67</f>
        <v>355949457.39886642</v>
      </c>
    </row>
    <row r="82" spans="1:13" x14ac:dyDescent="0.25">
      <c r="A82" s="41" t="s">
        <v>27</v>
      </c>
      <c r="B82" s="41" t="s">
        <v>26</v>
      </c>
      <c r="C82" s="8" t="s">
        <v>42</v>
      </c>
      <c r="D82" s="48">
        <v>0.4</v>
      </c>
      <c r="E82" s="62">
        <v>95218325.133999988</v>
      </c>
      <c r="F82" s="46">
        <f t="shared" si="13"/>
        <v>38087330.053599998</v>
      </c>
      <c r="G82" s="52">
        <v>5.0247999999999999</v>
      </c>
      <c r="H82" s="335">
        <f t="shared" si="16"/>
        <v>0</v>
      </c>
      <c r="I82" s="11">
        <v>800000</v>
      </c>
      <c r="J82" s="26">
        <f t="shared" si="17"/>
        <v>0</v>
      </c>
      <c r="K82" s="282">
        <f t="shared" si="15"/>
        <v>478453040.13332313</v>
      </c>
      <c r="L82" s="326"/>
      <c r="M82" s="3">
        <f>'REC Spend projected'!H68+'REC Spend projected'!I68+'REC Spend projected'!J68+'REC Spend projected'!K68+'REC Spend projected'!L68+'REC Spend projected'!W68+'REC Spend projected'!X68+'REC Spend projected'!Y68</f>
        <v>441693369.2043187</v>
      </c>
    </row>
    <row r="83" spans="1:13" x14ac:dyDescent="0.25">
      <c r="A83" s="41" t="s">
        <v>28</v>
      </c>
      <c r="B83" s="41" t="s">
        <v>27</v>
      </c>
      <c r="C83" s="8" t="s">
        <v>42</v>
      </c>
      <c r="D83" s="48">
        <v>0.40902608000000001</v>
      </c>
      <c r="E83" s="62">
        <v>100209045.432</v>
      </c>
      <c r="F83" s="46">
        <f t="shared" si="13"/>
        <v>40988113.033592865</v>
      </c>
      <c r="G83" s="52">
        <v>5.0247999999999999</v>
      </c>
      <c r="H83" s="335">
        <f t="shared" si="16"/>
        <v>0</v>
      </c>
      <c r="I83" s="11">
        <v>800000</v>
      </c>
      <c r="J83" s="26">
        <f t="shared" si="17"/>
        <v>0</v>
      </c>
      <c r="K83" s="282">
        <f t="shared" si="15"/>
        <v>503530411.48671359</v>
      </c>
      <c r="L83" s="326"/>
      <c r="M83" s="3">
        <f>'REC Spend projected'!H69+'REC Spend projected'!I69+'REC Spend projected'!J69+'REC Spend projected'!K69+'REC Spend projected'!L69+'REC Spend projected'!W69+'REC Spend projected'!X69+'REC Spend projected'!Y69</f>
        <v>523981688.77803385</v>
      </c>
    </row>
    <row r="84" spans="1:13" x14ac:dyDescent="0.25">
      <c r="A84" s="8" t="s">
        <v>29</v>
      </c>
      <c r="B84" s="8" t="s">
        <v>28</v>
      </c>
      <c r="C84" s="8" t="s">
        <v>42</v>
      </c>
      <c r="D84" s="48">
        <v>0.41825583530041599</v>
      </c>
      <c r="E84" s="62">
        <v>105330820.897</v>
      </c>
      <c r="F84" s="46">
        <f t="shared" si="13"/>
        <v>44055230.477153249</v>
      </c>
      <c r="G84" s="52">
        <v>5.0247999999999999</v>
      </c>
      <c r="H84" s="335">
        <f t="shared" si="16"/>
        <v>0</v>
      </c>
      <c r="I84" s="11">
        <v>800000</v>
      </c>
      <c r="J84" s="26">
        <f t="shared" si="17"/>
        <v>0</v>
      </c>
      <c r="K84" s="282">
        <f t="shared" si="15"/>
        <v>529266308.84324557</v>
      </c>
      <c r="L84" s="326"/>
      <c r="M84" s="3">
        <f>'REC Spend projected'!H70+'REC Spend projected'!I70+'REC Spend projected'!J70+'REC Spend projected'!K70+'REC Spend projected'!L70+'REC Spend projected'!W70+'REC Spend projected'!X70+'REC Spend projected'!Y70</f>
        <v>607716100.21933949</v>
      </c>
    </row>
    <row r="85" spans="1:13" x14ac:dyDescent="0.25">
      <c r="A85" s="8" t="s">
        <v>30</v>
      </c>
      <c r="B85" s="8" t="s">
        <v>29</v>
      </c>
      <c r="C85" s="8" t="s">
        <v>42</v>
      </c>
      <c r="D85" s="48">
        <v>0.42769386187513697</v>
      </c>
      <c r="E85" s="62">
        <v>109901381.67999999</v>
      </c>
      <c r="F85" s="46">
        <f t="shared" si="13"/>
        <v>47004146.356132627</v>
      </c>
      <c r="G85" s="52">
        <v>5.0247999999999999</v>
      </c>
      <c r="H85" s="335">
        <f t="shared" si="16"/>
        <v>0</v>
      </c>
      <c r="I85" s="11">
        <v>800000</v>
      </c>
      <c r="J85" s="26">
        <f>H85*I85</f>
        <v>0</v>
      </c>
      <c r="K85" s="282">
        <f>(G85*E85)-J85</f>
        <v>552232462.66566396</v>
      </c>
      <c r="L85" s="326"/>
      <c r="M85" s="3">
        <f>'REC Spend projected'!H71+'REC Spend projected'!I71+'REC Spend projected'!J71+'REC Spend projected'!K71+'REC Spend projected'!L71+'REC Spend projected'!W71+'REC Spend projected'!X71+'REC Spend projected'!Y71</f>
        <v>644446872.33210647</v>
      </c>
    </row>
    <row r="86" spans="1:13" x14ac:dyDescent="0.25">
      <c r="A86" s="8" t="s">
        <v>31</v>
      </c>
      <c r="B86" s="8" t="s">
        <v>30</v>
      </c>
      <c r="C86" s="8" t="s">
        <v>42</v>
      </c>
      <c r="D86" s="48">
        <v>0.43734485940712181</v>
      </c>
      <c r="E86" s="62">
        <v>114138731.89899999</v>
      </c>
      <c r="F86" s="46">
        <f t="shared" si="13"/>
        <v>49917987.655275322</v>
      </c>
      <c r="G86" s="52">
        <v>5.0247999999999999</v>
      </c>
      <c r="H86" s="335">
        <f t="shared" si="16"/>
        <v>0</v>
      </c>
      <c r="I86" s="11">
        <v>800000</v>
      </c>
      <c r="J86" s="26">
        <f t="shared" si="17"/>
        <v>0</v>
      </c>
      <c r="K86" s="282">
        <f t="shared" si="15"/>
        <v>573524300.04609513</v>
      </c>
      <c r="L86" s="326"/>
      <c r="M86" s="3">
        <f>'REC Spend projected'!H72+'REC Spend projected'!I72+'REC Spend projected'!J72+'REC Spend projected'!K72+'REC Spend projected'!L72+'REC Spend projected'!W72+'REC Spend projected'!X72+'REC Spend projected'!Y72</f>
        <v>667368303.79354477</v>
      </c>
    </row>
    <row r="87" spans="1:13" x14ac:dyDescent="0.25">
      <c r="A87" s="8" t="s">
        <v>32</v>
      </c>
      <c r="B87" s="8" t="s">
        <v>31</v>
      </c>
      <c r="C87" s="8" t="s">
        <v>42</v>
      </c>
      <c r="D87" s="48">
        <v>0.44721363362861538</v>
      </c>
      <c r="E87" s="62">
        <v>117432750.942</v>
      </c>
      <c r="F87" s="46">
        <f t="shared" si="13"/>
        <v>52517527.255776025</v>
      </c>
      <c r="G87" s="52">
        <v>5.0247999999999999</v>
      </c>
      <c r="H87" s="335">
        <f t="shared" si="16"/>
        <v>0</v>
      </c>
      <c r="I87" s="11">
        <v>800000</v>
      </c>
      <c r="J87" s="26">
        <f t="shared" si="17"/>
        <v>0</v>
      </c>
      <c r="K87" s="282">
        <f t="shared" si="15"/>
        <v>590076086.93336165</v>
      </c>
      <c r="L87" s="326"/>
      <c r="M87" s="3">
        <f>'REC Spend projected'!H73+'REC Spend projected'!I73+'REC Spend projected'!J73+'REC Spend projected'!K73+'REC Spend projected'!L73+'REC Spend projected'!W73+'REC Spend projected'!X73+'REC Spend projected'!Y73</f>
        <v>696932553.18727291</v>
      </c>
    </row>
    <row r="88" spans="1:13" x14ac:dyDescent="0.25">
      <c r="A88" s="8" t="s">
        <v>33</v>
      </c>
      <c r="B88" s="8" t="s">
        <v>32</v>
      </c>
      <c r="C88" s="8" t="s">
        <v>42</v>
      </c>
      <c r="D88" s="48">
        <v>0.45730509871417185</v>
      </c>
      <c r="E88" s="62">
        <v>119843955.47299999</v>
      </c>
      <c r="F88" s="46">
        <f t="shared" si="13"/>
        <v>54805251.887877077</v>
      </c>
      <c r="G88" s="52">
        <v>5.0247999999999999</v>
      </c>
      <c r="H88" s="335">
        <f t="shared" si="16"/>
        <v>0</v>
      </c>
      <c r="I88" s="11">
        <v>800000</v>
      </c>
      <c r="J88" s="26">
        <f t="shared" si="17"/>
        <v>0</v>
      </c>
      <c r="K88" s="282">
        <f t="shared" si="15"/>
        <v>602191907.46073031</v>
      </c>
      <c r="L88" s="326"/>
      <c r="M88" s="3">
        <f>'REC Spend projected'!H74+'REC Spend projected'!I74+'REC Spend projected'!J74+'REC Spend projected'!K74+'REC Spend projected'!L74+'REC Spend projected'!W74+'REC Spend projected'!X74+'REC Spend projected'!Y74</f>
        <v>735712275.59282219</v>
      </c>
    </row>
    <row r="89" spans="1:13" x14ac:dyDescent="0.25">
      <c r="A89" s="8" t="s">
        <v>34</v>
      </c>
      <c r="B89" s="8" t="s">
        <v>33</v>
      </c>
      <c r="C89" s="8" t="s">
        <v>42</v>
      </c>
      <c r="D89" s="48">
        <v>0.46762427972767689</v>
      </c>
      <c r="E89" s="62">
        <v>120869648.722</v>
      </c>
      <c r="F89" s="46">
        <f t="shared" si="13"/>
        <v>56521582.424562573</v>
      </c>
      <c r="G89" s="52">
        <v>5.0247999999999999</v>
      </c>
      <c r="H89" s="335">
        <f t="shared" si="16"/>
        <v>0</v>
      </c>
      <c r="I89" s="11">
        <v>800000</v>
      </c>
      <c r="J89" s="26">
        <f t="shared" si="17"/>
        <v>0</v>
      </c>
      <c r="K89" s="282">
        <f t="shared" si="15"/>
        <v>607345810.89830565</v>
      </c>
      <c r="L89" s="326"/>
      <c r="M89" s="3">
        <f>'REC Spend projected'!H75+'REC Spend projected'!I75+'REC Spend projected'!J75+'REC Spend projected'!K75+'REC Spend projected'!L75+'REC Spend projected'!W75+'REC Spend projected'!X75+'REC Spend projected'!Y75</f>
        <v>817468600.18832064</v>
      </c>
    </row>
    <row r="90" spans="1:13" x14ac:dyDescent="0.25">
      <c r="A90" s="8" t="s">
        <v>35</v>
      </c>
      <c r="B90" s="8" t="s">
        <v>34</v>
      </c>
      <c r="C90" s="8" t="s">
        <v>42</v>
      </c>
      <c r="D90" s="48">
        <v>0.47817631512458791</v>
      </c>
      <c r="E90" s="62">
        <v>121849339.68099999</v>
      </c>
      <c r="F90" s="46">
        <f t="shared" si="13"/>
        <v>58265468.249024808</v>
      </c>
      <c r="G90" s="52">
        <v>5.0247999999999999</v>
      </c>
      <c r="H90" s="335">
        <f t="shared" si="16"/>
        <v>0</v>
      </c>
      <c r="I90" s="11">
        <v>800000</v>
      </c>
      <c r="J90" s="26">
        <f t="shared" si="17"/>
        <v>0</v>
      </c>
      <c r="K90" s="282">
        <f t="shared" si="15"/>
        <v>612268562.02908874</v>
      </c>
      <c r="L90" s="326"/>
      <c r="M90" s="3">
        <f>'REC Spend projected'!H76+'REC Spend projected'!I76+'REC Spend projected'!J76+'REC Spend projected'!K76+'REC Spend projected'!L76+'REC Spend projected'!W76+'REC Spend projected'!X76+'REC Spend projected'!Y76</f>
        <v>883760535.52757227</v>
      </c>
    </row>
    <row r="91" spans="1:13" x14ac:dyDescent="0.25">
      <c r="A91" s="8" t="s">
        <v>36</v>
      </c>
      <c r="B91" s="8" t="s">
        <v>35</v>
      </c>
      <c r="C91" s="8" t="s">
        <v>42</v>
      </c>
      <c r="D91" s="48">
        <v>0.48896645931063754</v>
      </c>
      <c r="E91" s="62">
        <v>122479240.35599999</v>
      </c>
      <c r="F91" s="46">
        <f t="shared" si="13"/>
        <v>59888240.495929867</v>
      </c>
      <c r="G91" s="52">
        <v>5.0247999999999999</v>
      </c>
      <c r="H91" s="335">
        <f t="shared" si="16"/>
        <v>0</v>
      </c>
      <c r="I91" s="11">
        <v>800000</v>
      </c>
      <c r="J91" s="26">
        <f t="shared" si="17"/>
        <v>0</v>
      </c>
      <c r="K91" s="282">
        <f t="shared" si="15"/>
        <v>615433686.9408288</v>
      </c>
      <c r="L91" s="326"/>
      <c r="M91" s="3">
        <f>'REC Spend projected'!H77+'REC Spend projected'!I77+'REC Spend projected'!J77+'REC Spend projected'!K77+'REC Spend projected'!L77+'REC Spend projected'!W77+'REC Spend projected'!X77+'REC Spend projected'!Y77</f>
        <v>943405213.77505875</v>
      </c>
    </row>
    <row r="92" spans="1:13" x14ac:dyDescent="0.25">
      <c r="A92" s="8" t="s">
        <v>37</v>
      </c>
      <c r="B92" s="8" t="s">
        <v>36</v>
      </c>
      <c r="C92" s="8" t="s">
        <v>42</v>
      </c>
      <c r="D92" s="48">
        <v>0.50000008525827411</v>
      </c>
      <c r="E92" s="62">
        <v>123267011.28700002</v>
      </c>
      <c r="F92" s="46">
        <f t="shared" si="13"/>
        <v>61633516.153032646</v>
      </c>
      <c r="G92" s="52">
        <v>5.0247999999999999</v>
      </c>
      <c r="H92" s="335">
        <f t="shared" si="16"/>
        <v>0</v>
      </c>
      <c r="I92" s="11">
        <v>800000</v>
      </c>
      <c r="J92" s="26">
        <f t="shared" si="17"/>
        <v>0</v>
      </c>
      <c r="K92" s="282">
        <f t="shared" si="15"/>
        <v>619392078.31491768</v>
      </c>
      <c r="L92" s="326"/>
      <c r="M92" s="3">
        <f>'REC Spend projected'!H78+'REC Spend projected'!I78+'REC Spend projected'!J78+'REC Spend projected'!K78+'REC Spend projected'!L78+'REC Spend projected'!W78+'REC Spend projected'!X78+'REC Spend projected'!Y78</f>
        <v>1007314345.6426165</v>
      </c>
    </row>
    <row r="93" spans="1:13" x14ac:dyDescent="0.25">
      <c r="A93" s="8" t="s">
        <v>38</v>
      </c>
      <c r="B93" s="8" t="s">
        <v>37</v>
      </c>
      <c r="C93" s="8" t="s">
        <v>42</v>
      </c>
      <c r="D93" s="48">
        <v>0.5</v>
      </c>
      <c r="E93" s="62">
        <v>123870000.47200002</v>
      </c>
      <c r="F93" s="46">
        <f t="shared" si="13"/>
        <v>61935000.236000009</v>
      </c>
      <c r="G93" s="52">
        <v>5.0247999999999999</v>
      </c>
      <c r="H93" s="335">
        <f t="shared" si="16"/>
        <v>0</v>
      </c>
      <c r="I93" s="11">
        <v>800000</v>
      </c>
      <c r="J93" s="26">
        <f t="shared" si="17"/>
        <v>0</v>
      </c>
      <c r="K93" s="282">
        <f t="shared" si="15"/>
        <v>622421978.37170565</v>
      </c>
      <c r="L93" s="326"/>
      <c r="M93" s="3">
        <f>'REC Spend projected'!H79+'REC Spend projected'!I79+'REC Spend projected'!J79+'REC Spend projected'!K79+'REC Spend projected'!L79+'REC Spend projected'!W79+'REC Spend projected'!X79+'REC Spend projected'!Y79</f>
        <v>1070391711.2115384</v>
      </c>
    </row>
    <row r="94" spans="1:13" x14ac:dyDescent="0.25">
      <c r="A94" s="8" t="s">
        <v>39</v>
      </c>
      <c r="B94" s="8" t="s">
        <v>38</v>
      </c>
      <c r="C94" s="8" t="s">
        <v>42</v>
      </c>
      <c r="D94" s="48">
        <v>0.5</v>
      </c>
      <c r="E94" s="62">
        <v>124487216.881</v>
      </c>
      <c r="F94" s="46">
        <f t="shared" si="13"/>
        <v>62243608.440499999</v>
      </c>
      <c r="G94" s="52">
        <v>5.0247999999999999</v>
      </c>
      <c r="H94" s="335">
        <f t="shared" si="16"/>
        <v>0</v>
      </c>
      <c r="I94" s="11">
        <v>800000</v>
      </c>
      <c r="J94" s="26">
        <f t="shared" si="17"/>
        <v>0</v>
      </c>
      <c r="K94" s="282">
        <f t="shared" si="15"/>
        <v>625523367.38364875</v>
      </c>
      <c r="L94" s="326"/>
      <c r="M94" s="3">
        <f>'REC Spend projected'!H80+'REC Spend projected'!I80+'REC Spend projected'!J80+'REC Spend projected'!K80+'REC Spend projected'!L80+'REC Spend projected'!W80+'REC Spend projected'!X80+'REC Spend projected'!Y80</f>
        <v>1119904156.8820655</v>
      </c>
    </row>
    <row r="97" spans="1:13" x14ac:dyDescent="0.25">
      <c r="A97" s="50"/>
      <c r="B97" s="50"/>
      <c r="C97" s="50"/>
      <c r="D97" s="61"/>
      <c r="F97" s="60"/>
      <c r="G97" s="59"/>
      <c r="H97" s="336"/>
      <c r="I97" s="59"/>
      <c r="J97" s="59"/>
      <c r="K97" s="54"/>
      <c r="L97" s="54"/>
      <c r="M97" s="58"/>
    </row>
    <row r="98" spans="1:13" x14ac:dyDescent="0.25">
      <c r="A98" s="50"/>
      <c r="B98" s="50"/>
      <c r="C98" s="50"/>
      <c r="D98" s="50"/>
      <c r="E98" s="50"/>
    </row>
    <row r="99" spans="1:13" x14ac:dyDescent="0.25">
      <c r="A99" s="1" t="s">
        <v>43</v>
      </c>
      <c r="B99" s="51"/>
      <c r="C99" s="51"/>
      <c r="D99" s="51"/>
      <c r="E99" s="50"/>
      <c r="F99" s="50"/>
      <c r="G99" s="50"/>
      <c r="I99" s="50"/>
      <c r="J99" s="50"/>
      <c r="K99" s="50"/>
      <c r="L99" s="50"/>
    </row>
    <row r="100" spans="1:13" ht="75" x14ac:dyDescent="0.25">
      <c r="A100" s="13" t="s">
        <v>1</v>
      </c>
      <c r="B100" s="13" t="s">
        <v>2</v>
      </c>
      <c r="C100" s="13" t="s">
        <v>3</v>
      </c>
      <c r="D100" s="13" t="s">
        <v>4</v>
      </c>
      <c r="E100" s="13" t="s">
        <v>44</v>
      </c>
      <c r="F100" s="13" t="s">
        <v>6</v>
      </c>
      <c r="G100" s="13" t="s">
        <v>7</v>
      </c>
      <c r="H100" s="333"/>
      <c r="I100" s="13"/>
      <c r="J100" s="13"/>
      <c r="K100" s="13" t="s">
        <v>10</v>
      </c>
      <c r="L100" s="324"/>
    </row>
    <row r="101" spans="1:13" x14ac:dyDescent="0.25">
      <c r="A101" s="49"/>
      <c r="B101" s="49"/>
      <c r="C101" s="49"/>
      <c r="D101" s="49"/>
      <c r="E101" s="57">
        <f>26.0253830755776%</f>
        <v>0.26025383075577602</v>
      </c>
      <c r="F101" s="49"/>
      <c r="G101" s="49"/>
      <c r="H101" s="334"/>
      <c r="I101" s="49"/>
      <c r="J101" s="49"/>
      <c r="K101" s="49"/>
      <c r="L101" s="325"/>
    </row>
    <row r="102" spans="1:13" x14ac:dyDescent="0.25">
      <c r="A102" s="41" t="s">
        <v>11</v>
      </c>
      <c r="B102" s="41" t="s">
        <v>12</v>
      </c>
      <c r="C102" s="8" t="s">
        <v>43</v>
      </c>
      <c r="D102" s="48">
        <v>0.13</v>
      </c>
      <c r="E102" s="55">
        <v>539165</v>
      </c>
      <c r="F102" s="46">
        <f t="shared" ref="F102:F127" si="18">D102*E102</f>
        <v>70091.45</v>
      </c>
      <c r="G102" s="52">
        <v>1.2415</v>
      </c>
      <c r="H102" s="45"/>
      <c r="I102" s="52"/>
      <c r="J102" s="52"/>
      <c r="K102" s="44">
        <f>G102*E102</f>
        <v>669373.34750000003</v>
      </c>
      <c r="L102" s="326"/>
    </row>
    <row r="103" spans="1:13" x14ac:dyDescent="0.25">
      <c r="A103" s="8" t="s">
        <v>14</v>
      </c>
      <c r="B103" s="8" t="s">
        <v>11</v>
      </c>
      <c r="C103" s="8" t="s">
        <v>43</v>
      </c>
      <c r="D103" s="48">
        <v>0.14499999999999999</v>
      </c>
      <c r="E103" s="55">
        <v>503181</v>
      </c>
      <c r="F103" s="46">
        <f t="shared" si="18"/>
        <v>72961.244999999995</v>
      </c>
      <c r="G103" s="52">
        <v>1.2415</v>
      </c>
      <c r="H103" s="45"/>
      <c r="I103" s="52"/>
      <c r="J103" s="52"/>
      <c r="K103" s="44">
        <f>G103*E103</f>
        <v>624699.21149999998</v>
      </c>
      <c r="L103" s="326"/>
    </row>
    <row r="104" spans="1:13" x14ac:dyDescent="0.25">
      <c r="A104" s="8" t="s">
        <v>15</v>
      </c>
      <c r="B104" s="8" t="s">
        <v>14</v>
      </c>
      <c r="C104" s="8" t="s">
        <v>43</v>
      </c>
      <c r="D104" s="48">
        <v>0.16</v>
      </c>
      <c r="E104" s="55">
        <v>528790.700064381</v>
      </c>
      <c r="F104" s="46">
        <f t="shared" si="18"/>
        <v>84606.512010300969</v>
      </c>
      <c r="G104" s="52">
        <v>1.2415</v>
      </c>
      <c r="H104" s="45"/>
      <c r="I104" s="52"/>
      <c r="J104" s="52"/>
      <c r="K104" s="44">
        <f>G104*E104</f>
        <v>656493.65412992903</v>
      </c>
      <c r="L104" s="326"/>
    </row>
    <row r="105" spans="1:13" x14ac:dyDescent="0.25">
      <c r="A105" s="8" t="s">
        <v>16</v>
      </c>
      <c r="B105" s="8" t="s">
        <v>15</v>
      </c>
      <c r="C105" s="8" t="s">
        <v>43</v>
      </c>
      <c r="D105" s="48">
        <v>0.17500000000000004</v>
      </c>
      <c r="E105" s="55">
        <v>471451.44980015844</v>
      </c>
      <c r="F105" s="46">
        <f t="shared" si="18"/>
        <v>82504.003715027749</v>
      </c>
      <c r="G105" s="52">
        <v>1.2415</v>
      </c>
      <c r="H105" s="45"/>
      <c r="I105" s="52"/>
      <c r="J105" s="52"/>
      <c r="K105" s="44">
        <f>G105*E105</f>
        <v>585306.97492689674</v>
      </c>
      <c r="L105" s="326"/>
    </row>
    <row r="106" spans="1:13" x14ac:dyDescent="0.25">
      <c r="A106" s="8" t="s">
        <v>17</v>
      </c>
      <c r="B106" s="8" t="s">
        <v>16</v>
      </c>
      <c r="C106" s="8" t="s">
        <v>43</v>
      </c>
      <c r="D106" s="48">
        <v>0.19000000000000006</v>
      </c>
      <c r="E106" s="55">
        <v>533051</v>
      </c>
      <c r="F106" s="46">
        <f t="shared" si="18"/>
        <v>101279.69000000003</v>
      </c>
      <c r="G106" s="56">
        <f>(G105*(1/3))+(G107*(2/3))</f>
        <v>2.1638333333333333</v>
      </c>
      <c r="H106" s="45"/>
      <c r="I106" s="56"/>
      <c r="J106" s="56"/>
      <c r="K106" s="44">
        <f>G106*E106</f>
        <v>1153433.5221666666</v>
      </c>
      <c r="L106" s="326"/>
    </row>
    <row r="107" spans="1:13" x14ac:dyDescent="0.25">
      <c r="A107" s="8" t="s">
        <v>18</v>
      </c>
      <c r="B107" s="8" t="s">
        <v>17</v>
      </c>
      <c r="C107" s="8" t="s">
        <v>43</v>
      </c>
      <c r="D107" s="48">
        <v>0.20500000000000007</v>
      </c>
      <c r="E107" s="55">
        <v>530532.65745021519</v>
      </c>
      <c r="F107" s="46">
        <f t="shared" si="18"/>
        <v>108759.19477729415</v>
      </c>
      <c r="G107" s="52">
        <v>2.625</v>
      </c>
      <c r="H107" s="45"/>
      <c r="I107" s="52"/>
      <c r="J107" s="52"/>
      <c r="K107" s="44">
        <f t="shared" ref="K107:K127" si="19">G107*E107</f>
        <v>1392648.2258068149</v>
      </c>
      <c r="L107" s="326"/>
      <c r="M107" s="37"/>
    </row>
    <row r="108" spans="1:13" x14ac:dyDescent="0.25">
      <c r="A108" s="41" t="s">
        <v>19</v>
      </c>
      <c r="B108" s="8" t="s">
        <v>18</v>
      </c>
      <c r="C108" s="8" t="s">
        <v>43</v>
      </c>
      <c r="D108" s="48">
        <v>0.22000000000000008</v>
      </c>
      <c r="E108" s="55">
        <v>526942.64347762323</v>
      </c>
      <c r="F108" s="46">
        <f t="shared" si="18"/>
        <v>115927.38156507716</v>
      </c>
      <c r="G108" s="52">
        <v>2.625</v>
      </c>
      <c r="H108" s="45"/>
      <c r="I108" s="52"/>
      <c r="J108" s="52"/>
      <c r="K108" s="44">
        <f t="shared" si="19"/>
        <v>1383224.4391287609</v>
      </c>
      <c r="L108" s="326"/>
      <c r="M108" s="37"/>
    </row>
    <row r="109" spans="1:13" x14ac:dyDescent="0.25">
      <c r="A109" s="41" t="s">
        <v>21</v>
      </c>
      <c r="B109" s="41" t="s">
        <v>19</v>
      </c>
      <c r="C109" s="8" t="s">
        <v>43</v>
      </c>
      <c r="D109" s="48">
        <v>0.2350000000000001</v>
      </c>
      <c r="E109" s="55">
        <v>528397.803846856</v>
      </c>
      <c r="F109" s="46">
        <f t="shared" si="18"/>
        <v>124173.48390401121</v>
      </c>
      <c r="G109" s="52">
        <v>2.625</v>
      </c>
      <c r="H109" s="45"/>
      <c r="I109" s="52"/>
      <c r="J109" s="52"/>
      <c r="K109" s="44">
        <f t="shared" si="19"/>
        <v>1387044.2350979969</v>
      </c>
      <c r="L109" s="326"/>
      <c r="M109" s="37"/>
    </row>
    <row r="110" spans="1:13" x14ac:dyDescent="0.25">
      <c r="A110" s="41" t="s">
        <v>22</v>
      </c>
      <c r="B110" s="41" t="s">
        <v>21</v>
      </c>
      <c r="C110" s="8" t="s">
        <v>43</v>
      </c>
      <c r="D110" s="48">
        <v>0.25000000000000011</v>
      </c>
      <c r="E110" s="53">
        <v>499894.16030622908</v>
      </c>
      <c r="F110" s="46">
        <f t="shared" si="18"/>
        <v>124973.54007655733</v>
      </c>
      <c r="G110" s="52">
        <v>2.625</v>
      </c>
      <c r="H110" s="45"/>
      <c r="I110" s="52"/>
      <c r="J110" s="52"/>
      <c r="K110" s="44">
        <f t="shared" si="19"/>
        <v>1312222.1708038514</v>
      </c>
      <c r="L110" s="326"/>
      <c r="M110" s="37"/>
    </row>
    <row r="111" spans="1:13" x14ac:dyDescent="0.25">
      <c r="A111" s="8" t="s">
        <v>23</v>
      </c>
      <c r="B111" s="8" t="s">
        <v>22</v>
      </c>
      <c r="C111" s="8" t="s">
        <v>43</v>
      </c>
      <c r="D111" s="48">
        <v>0.28000000000000003</v>
      </c>
      <c r="E111" s="53">
        <v>485208.90675220848</v>
      </c>
      <c r="F111" s="46">
        <f t="shared" si="18"/>
        <v>135858.49389061838</v>
      </c>
      <c r="G111" s="52">
        <v>2.625</v>
      </c>
      <c r="H111" s="45"/>
      <c r="I111" s="52"/>
      <c r="J111" s="52"/>
      <c r="K111" s="44">
        <f t="shared" si="19"/>
        <v>1273673.3802245473</v>
      </c>
      <c r="L111" s="326"/>
      <c r="M111" s="37"/>
    </row>
    <row r="112" spans="1:13" x14ac:dyDescent="0.25">
      <c r="A112" s="8" t="s">
        <v>24</v>
      </c>
      <c r="B112" s="8" t="s">
        <v>23</v>
      </c>
      <c r="C112" s="8" t="s">
        <v>43</v>
      </c>
      <c r="D112" s="48">
        <v>0.31</v>
      </c>
      <c r="E112" s="53">
        <v>462708.58483960613</v>
      </c>
      <c r="F112" s="46">
        <f t="shared" si="18"/>
        <v>143439.66130027789</v>
      </c>
      <c r="G112" s="52">
        <v>2.625</v>
      </c>
      <c r="H112" s="45"/>
      <c r="I112" s="52"/>
      <c r="J112" s="52"/>
      <c r="K112" s="44">
        <f t="shared" si="19"/>
        <v>1214610.0352039661</v>
      </c>
      <c r="L112" s="326"/>
      <c r="M112" s="37"/>
    </row>
    <row r="113" spans="1:13" x14ac:dyDescent="0.25">
      <c r="A113" s="8" t="s">
        <v>25</v>
      </c>
      <c r="B113" s="8" t="s">
        <v>24</v>
      </c>
      <c r="C113" s="8" t="s">
        <v>43</v>
      </c>
      <c r="D113" s="48">
        <v>0.34</v>
      </c>
      <c r="E113" s="53">
        <v>466658.11341415375</v>
      </c>
      <c r="F113" s="46">
        <f t="shared" si="18"/>
        <v>158663.75856081228</v>
      </c>
      <c r="G113" s="52">
        <v>2.625</v>
      </c>
      <c r="H113" s="45"/>
      <c r="I113" s="52"/>
      <c r="J113" s="52"/>
      <c r="K113" s="44">
        <f t="shared" si="19"/>
        <v>1224977.5477121535</v>
      </c>
      <c r="L113" s="326"/>
      <c r="M113" s="37"/>
    </row>
    <row r="114" spans="1:13" x14ac:dyDescent="0.25">
      <c r="A114" s="41" t="s">
        <v>26</v>
      </c>
      <c r="B114" s="8" t="s">
        <v>25</v>
      </c>
      <c r="C114" s="8" t="s">
        <v>43</v>
      </c>
      <c r="D114" s="48">
        <v>0.37</v>
      </c>
      <c r="E114" s="53">
        <v>464087.50151680963</v>
      </c>
      <c r="F114" s="46">
        <f t="shared" si="18"/>
        <v>171712.37556121955</v>
      </c>
      <c r="G114" s="52">
        <v>2.625</v>
      </c>
      <c r="H114" s="45"/>
      <c r="I114" s="52"/>
      <c r="J114" s="52"/>
      <c r="K114" s="44">
        <f t="shared" si="19"/>
        <v>1218229.6914816252</v>
      </c>
      <c r="L114" s="326"/>
      <c r="M114" s="37"/>
    </row>
    <row r="115" spans="1:13" x14ac:dyDescent="0.25">
      <c r="A115" s="41" t="s">
        <v>27</v>
      </c>
      <c r="B115" s="41" t="s">
        <v>26</v>
      </c>
      <c r="C115" s="8" t="s">
        <v>43</v>
      </c>
      <c r="D115" s="48">
        <v>0.4</v>
      </c>
      <c r="E115" s="53">
        <v>467456.39903768961</v>
      </c>
      <c r="F115" s="46">
        <f t="shared" si="18"/>
        <v>186982.55961507585</v>
      </c>
      <c r="G115" s="52">
        <v>2.625</v>
      </c>
      <c r="H115" s="45"/>
      <c r="I115" s="52"/>
      <c r="J115" s="52"/>
      <c r="K115" s="44">
        <f t="shared" si="19"/>
        <v>1227073.0474739352</v>
      </c>
      <c r="L115" s="326"/>
      <c r="M115" s="37"/>
    </row>
    <row r="116" spans="1:13" x14ac:dyDescent="0.25">
      <c r="A116" s="41" t="s">
        <v>28</v>
      </c>
      <c r="B116" s="41" t="s">
        <v>27</v>
      </c>
      <c r="C116" s="8" t="s">
        <v>43</v>
      </c>
      <c r="D116" s="48">
        <v>0.40902608000000001</v>
      </c>
      <c r="E116" s="53">
        <v>469096.03280680522</v>
      </c>
      <c r="F116" s="46">
        <f t="shared" si="18"/>
        <v>191872.51144251894</v>
      </c>
      <c r="G116" s="52">
        <v>2.625</v>
      </c>
      <c r="H116" s="45"/>
      <c r="I116" s="52"/>
      <c r="J116" s="52"/>
      <c r="K116" s="44">
        <f t="shared" si="19"/>
        <v>1231377.0861178637</v>
      </c>
      <c r="L116" s="326"/>
      <c r="M116" s="37"/>
    </row>
    <row r="117" spans="1:13" x14ac:dyDescent="0.25">
      <c r="A117" s="8" t="s">
        <v>29</v>
      </c>
      <c r="B117" s="8" t="s">
        <v>28</v>
      </c>
      <c r="C117" s="8" t="s">
        <v>43</v>
      </c>
      <c r="D117" s="48">
        <v>0.41825583530041599</v>
      </c>
      <c r="E117" s="53">
        <v>472884.49092096923</v>
      </c>
      <c r="F117" s="46">
        <f t="shared" si="18"/>
        <v>197786.69775076196</v>
      </c>
      <c r="G117" s="52">
        <v>2.625</v>
      </c>
      <c r="H117" s="45"/>
      <c r="I117" s="52"/>
      <c r="J117" s="52"/>
      <c r="K117" s="44">
        <f t="shared" si="19"/>
        <v>1241321.7886675443</v>
      </c>
      <c r="L117" s="326"/>
      <c r="M117" s="37"/>
    </row>
    <row r="118" spans="1:13" x14ac:dyDescent="0.25">
      <c r="A118" s="8" t="s">
        <v>30</v>
      </c>
      <c r="B118" s="8" t="s">
        <v>29</v>
      </c>
      <c r="C118" s="8" t="s">
        <v>43</v>
      </c>
      <c r="D118" s="48">
        <v>0.42769386187513697</v>
      </c>
      <c r="E118" s="53">
        <v>470051.21885770548</v>
      </c>
      <c r="F118" s="46">
        <f t="shared" si="18"/>
        <v>201038.02107236726</v>
      </c>
      <c r="G118" s="52">
        <v>2.625</v>
      </c>
      <c r="H118" s="45"/>
      <c r="I118" s="52"/>
      <c r="J118" s="52"/>
      <c r="K118" s="44">
        <f t="shared" si="19"/>
        <v>1233884.4495014769</v>
      </c>
      <c r="L118" s="326"/>
      <c r="M118" s="37"/>
    </row>
    <row r="119" spans="1:13" x14ac:dyDescent="0.25">
      <c r="A119" s="8" t="s">
        <v>31</v>
      </c>
      <c r="B119" s="8" t="s">
        <v>30</v>
      </c>
      <c r="C119" s="8" t="s">
        <v>43</v>
      </c>
      <c r="D119" s="48">
        <v>0.43734485940712181</v>
      </c>
      <c r="E119" s="53">
        <v>473203.45567650668</v>
      </c>
      <c r="F119" s="46">
        <f t="shared" si="18"/>
        <v>206953.09879380601</v>
      </c>
      <c r="G119" s="52">
        <v>2.625</v>
      </c>
      <c r="H119" s="45"/>
      <c r="I119" s="52"/>
      <c r="J119" s="52"/>
      <c r="K119" s="44">
        <f t="shared" si="19"/>
        <v>1242159.07115083</v>
      </c>
      <c r="L119" s="326"/>
      <c r="M119" s="37"/>
    </row>
    <row r="120" spans="1:13" x14ac:dyDescent="0.25">
      <c r="A120" s="8" t="s">
        <v>32</v>
      </c>
      <c r="B120" s="8" t="s">
        <v>31</v>
      </c>
      <c r="C120" s="8" t="s">
        <v>43</v>
      </c>
      <c r="D120" s="48">
        <v>0.44721363362861538</v>
      </c>
      <c r="E120" s="53">
        <v>474716.25110312662</v>
      </c>
      <c r="F120" s="46">
        <f t="shared" si="18"/>
        <v>212299.57959838345</v>
      </c>
      <c r="G120" s="52">
        <v>2.625</v>
      </c>
      <c r="H120" s="45"/>
      <c r="I120" s="52"/>
      <c r="J120" s="52"/>
      <c r="K120" s="44">
        <f t="shared" si="19"/>
        <v>1246130.1591457073</v>
      </c>
      <c r="L120" s="326"/>
      <c r="M120" s="37"/>
    </row>
    <row r="121" spans="1:13" x14ac:dyDescent="0.25">
      <c r="A121" s="8" t="s">
        <v>33</v>
      </c>
      <c r="B121" s="8" t="s">
        <v>32</v>
      </c>
      <c r="C121" s="8" t="s">
        <v>43</v>
      </c>
      <c r="D121" s="48">
        <v>0.45730509871417185</v>
      </c>
      <c r="E121" s="53">
        <v>478406.84419202036</v>
      </c>
      <c r="F121" s="46">
        <f t="shared" si="18"/>
        <v>218777.8891087673</v>
      </c>
      <c r="G121" s="52">
        <v>2.625</v>
      </c>
      <c r="H121" s="45"/>
      <c r="I121" s="52"/>
      <c r="J121" s="52"/>
      <c r="K121" s="44">
        <f t="shared" si="19"/>
        <v>1255817.9660040534</v>
      </c>
      <c r="L121" s="326"/>
      <c r="M121" s="37"/>
    </row>
    <row r="122" spans="1:13" x14ac:dyDescent="0.25">
      <c r="A122" s="8" t="s">
        <v>34</v>
      </c>
      <c r="B122" s="8" t="s">
        <v>33</v>
      </c>
      <c r="C122" s="8" t="s">
        <v>43</v>
      </c>
      <c r="D122" s="48">
        <v>0.46762427972767689</v>
      </c>
      <c r="E122" s="53">
        <v>475365.3100666278</v>
      </c>
      <c r="F122" s="46">
        <f t="shared" si="18"/>
        <v>222292.36072743061</v>
      </c>
      <c r="G122" s="52">
        <v>2.625</v>
      </c>
      <c r="H122" s="45"/>
      <c r="I122" s="52"/>
      <c r="J122" s="52"/>
      <c r="K122" s="44">
        <f t="shared" si="19"/>
        <v>1247833.9389248979</v>
      </c>
      <c r="L122" s="326"/>
      <c r="M122" s="37"/>
    </row>
    <row r="123" spans="1:13" x14ac:dyDescent="0.25">
      <c r="A123" s="8" t="s">
        <v>35</v>
      </c>
      <c r="B123" s="8" t="s">
        <v>34</v>
      </c>
      <c r="C123" s="8" t="s">
        <v>43</v>
      </c>
      <c r="D123" s="48">
        <v>0.47817631512458791</v>
      </c>
      <c r="E123" s="53">
        <v>478535.33434150397</v>
      </c>
      <c r="F123" s="46">
        <f t="shared" si="18"/>
        <v>228824.26283233304</v>
      </c>
      <c r="G123" s="52">
        <v>2.625</v>
      </c>
      <c r="H123" s="45"/>
      <c r="I123" s="52"/>
      <c r="J123" s="52"/>
      <c r="K123" s="44">
        <f t="shared" si="19"/>
        <v>1256155.2526464479</v>
      </c>
      <c r="L123" s="326"/>
      <c r="M123" s="37"/>
    </row>
    <row r="124" spans="1:13" x14ac:dyDescent="0.25">
      <c r="A124" s="8" t="s">
        <v>36</v>
      </c>
      <c r="B124" s="8" t="s">
        <v>35</v>
      </c>
      <c r="C124" s="8" t="s">
        <v>43</v>
      </c>
      <c r="D124" s="48">
        <v>0.48896645931063754</v>
      </c>
      <c r="E124" s="53">
        <v>480009.34559599229</v>
      </c>
      <c r="F124" s="46">
        <f t="shared" si="18"/>
        <v>234708.4701520885</v>
      </c>
      <c r="G124" s="52">
        <v>2.625</v>
      </c>
      <c r="H124" s="45"/>
      <c r="I124" s="52"/>
      <c r="J124" s="52"/>
      <c r="K124" s="44">
        <f t="shared" si="19"/>
        <v>1260024.5321894798</v>
      </c>
      <c r="L124" s="326"/>
      <c r="M124" s="37"/>
    </row>
    <row r="125" spans="1:13" x14ac:dyDescent="0.25">
      <c r="A125" s="8" t="s">
        <v>37</v>
      </c>
      <c r="B125" s="8" t="s">
        <v>36</v>
      </c>
      <c r="C125" s="8" t="s">
        <v>43</v>
      </c>
      <c r="D125" s="48">
        <v>0.50000008525827411</v>
      </c>
      <c r="E125" s="53">
        <v>483808.16994237475</v>
      </c>
      <c r="F125" s="46">
        <f t="shared" si="18"/>
        <v>241904.12621983694</v>
      </c>
      <c r="G125" s="52">
        <v>2.625</v>
      </c>
      <c r="H125" s="45"/>
      <c r="I125" s="52"/>
      <c r="J125" s="52"/>
      <c r="K125" s="44">
        <f t="shared" si="19"/>
        <v>1269996.4460987337</v>
      </c>
      <c r="L125" s="326"/>
      <c r="M125" s="37"/>
    </row>
    <row r="126" spans="1:13" x14ac:dyDescent="0.25">
      <c r="A126" s="8" t="s">
        <v>38</v>
      </c>
      <c r="B126" s="8" t="s">
        <v>37</v>
      </c>
      <c r="C126" s="8" t="s">
        <v>43</v>
      </c>
      <c r="D126" s="48">
        <v>0.5</v>
      </c>
      <c r="E126" s="53">
        <v>480635.46500634268</v>
      </c>
      <c r="F126" s="46">
        <f t="shared" si="18"/>
        <v>240317.73250317134</v>
      </c>
      <c r="G126" s="52">
        <v>2.625</v>
      </c>
      <c r="H126" s="45"/>
      <c r="I126" s="52"/>
      <c r="J126" s="52"/>
      <c r="K126" s="44">
        <f t="shared" si="19"/>
        <v>1261668.0956416496</v>
      </c>
      <c r="L126" s="326"/>
      <c r="M126" s="37"/>
    </row>
    <row r="127" spans="1:13" x14ac:dyDescent="0.25">
      <c r="A127" s="8" t="s">
        <v>39</v>
      </c>
      <c r="B127" s="8" t="s">
        <v>38</v>
      </c>
      <c r="C127" s="8" t="s">
        <v>43</v>
      </c>
      <c r="D127" s="48">
        <v>0.5</v>
      </c>
      <c r="E127" s="53">
        <v>483761.28933064651</v>
      </c>
      <c r="F127" s="46">
        <f t="shared" si="18"/>
        <v>241880.64466532326</v>
      </c>
      <c r="G127" s="52">
        <v>2.625</v>
      </c>
      <c r="H127" s="45"/>
      <c r="I127" s="52"/>
      <c r="J127" s="52"/>
      <c r="K127" s="44">
        <f t="shared" si="19"/>
        <v>1269873.384492947</v>
      </c>
      <c r="L127" s="326"/>
      <c r="M127" s="37"/>
    </row>
    <row r="139" spans="1:5" x14ac:dyDescent="0.25">
      <c r="A139" s="342" t="s">
        <v>45</v>
      </c>
      <c r="B139" s="342"/>
    </row>
    <row r="140" spans="1:5" x14ac:dyDescent="0.25">
      <c r="B140" s="42" t="s">
        <v>40</v>
      </c>
      <c r="C140" s="42" t="s">
        <v>42</v>
      </c>
      <c r="D140" s="42" t="s">
        <v>43</v>
      </c>
      <c r="E140" s="42" t="s">
        <v>46</v>
      </c>
    </row>
    <row r="141" spans="1:5" x14ac:dyDescent="0.25">
      <c r="A141" t="s">
        <v>47</v>
      </c>
      <c r="B141" s="227">
        <v>23519409</v>
      </c>
      <c r="C141" s="65">
        <v>44214248</v>
      </c>
      <c r="D141" s="43">
        <v>13556</v>
      </c>
      <c r="E141" s="172">
        <f>SUM(B141:D141)</f>
        <v>67747213</v>
      </c>
    </row>
    <row r="142" spans="1:5" x14ac:dyDescent="0.25">
      <c r="A142" t="s">
        <v>48</v>
      </c>
      <c r="B142" s="227">
        <v>12955428</v>
      </c>
      <c r="C142" s="225">
        <v>23326123.079999998</v>
      </c>
      <c r="D142" s="226"/>
      <c r="E142" s="172">
        <f>SUM(B142:D142)</f>
        <v>36281551.079999998</v>
      </c>
    </row>
    <row r="143" spans="1:5" x14ac:dyDescent="0.25">
      <c r="A143" t="s">
        <v>49</v>
      </c>
      <c r="B143" s="225">
        <v>41705.58</v>
      </c>
      <c r="C143" s="225">
        <v>1692119.3599999999</v>
      </c>
      <c r="D143" s="226"/>
      <c r="E143" s="172">
        <f>SUM(B143:D143)</f>
        <v>1733824.94</v>
      </c>
    </row>
    <row r="144" spans="1:5" x14ac:dyDescent="0.25">
      <c r="A144" t="s">
        <v>50</v>
      </c>
      <c r="B144" s="225">
        <f>B142-B143</f>
        <v>12913722.42</v>
      </c>
      <c r="C144" s="225">
        <f>C142-C143</f>
        <v>21634003.719999999</v>
      </c>
      <c r="D144" s="226"/>
      <c r="E144" s="172">
        <f>SUM(B144:D144)</f>
        <v>34547726.140000001</v>
      </c>
    </row>
    <row r="145" spans="1:10" x14ac:dyDescent="0.25">
      <c r="A145" s="235" t="s">
        <v>51</v>
      </c>
      <c r="B145" s="237">
        <f>B144+B141</f>
        <v>36433131.420000002</v>
      </c>
      <c r="C145" s="237">
        <f>C144+C141</f>
        <v>65848251.719999999</v>
      </c>
      <c r="D145" s="237">
        <f>D144+D141</f>
        <v>13556</v>
      </c>
      <c r="E145" s="172">
        <f>SUM(B145:D145)</f>
        <v>102294939.14</v>
      </c>
    </row>
    <row r="146" spans="1:10" x14ac:dyDescent="0.25">
      <c r="B146" s="17"/>
      <c r="C146" s="17"/>
      <c r="D146" s="17"/>
      <c r="E146" s="17"/>
    </row>
    <row r="147" spans="1:10" x14ac:dyDescent="0.25">
      <c r="B147" s="17"/>
      <c r="C147" s="17"/>
      <c r="D147" s="17"/>
      <c r="E147" s="17"/>
    </row>
    <row r="148" spans="1:10" ht="30" x14ac:dyDescent="0.25">
      <c r="A148" s="13" t="s">
        <v>1</v>
      </c>
      <c r="B148" s="42" t="s">
        <v>40</v>
      </c>
      <c r="C148" s="42" t="s">
        <v>42</v>
      </c>
      <c r="D148" s="42" t="s">
        <v>43</v>
      </c>
      <c r="E148" s="236" t="s">
        <v>52</v>
      </c>
    </row>
    <row r="149" spans="1:10" x14ac:dyDescent="0.25">
      <c r="A149" s="8" t="s">
        <v>16</v>
      </c>
      <c r="B149" s="15">
        <f t="shared" ref="B149:B171" si="20">K39</f>
        <v>64309855.295962796</v>
      </c>
      <c r="C149" s="15">
        <f>K72</f>
        <v>160340838.45917991</v>
      </c>
      <c r="D149" s="15">
        <f t="shared" ref="D149:D171" si="21">K107</f>
        <v>1392648.2258068149</v>
      </c>
      <c r="E149" s="21">
        <f>B149+C149+D149+$E$141</f>
        <v>293790554.98094952</v>
      </c>
      <c r="G149" s="17"/>
      <c r="I149" s="17"/>
      <c r="J149" s="17"/>
    </row>
    <row r="150" spans="1:10" x14ac:dyDescent="0.25">
      <c r="A150" s="8" t="s">
        <v>17</v>
      </c>
      <c r="B150" s="15">
        <f t="shared" si="20"/>
        <v>129499575.18679999</v>
      </c>
      <c r="C150" s="15">
        <f t="shared" ref="C150:C171" si="22">K73</f>
        <v>334084827.7045005</v>
      </c>
      <c r="D150" s="15">
        <f t="shared" si="21"/>
        <v>1383224.4391287609</v>
      </c>
      <c r="E150" s="21">
        <f t="shared" ref="E150:E171" si="23">B150+C150+D150+$E$141</f>
        <v>532714840.33042926</v>
      </c>
    </row>
    <row r="151" spans="1:10" x14ac:dyDescent="0.25">
      <c r="A151" s="8" t="s">
        <v>18</v>
      </c>
      <c r="B151" s="15">
        <f t="shared" si="20"/>
        <v>160483342.72150001</v>
      </c>
      <c r="C151" s="15">
        <f t="shared" si="22"/>
        <v>425587002.41775018</v>
      </c>
      <c r="D151" s="15">
        <f t="shared" si="21"/>
        <v>1387044.2350979969</v>
      </c>
      <c r="E151" s="21">
        <f t="shared" si="23"/>
        <v>655204602.37434816</v>
      </c>
    </row>
    <row r="152" spans="1:10" x14ac:dyDescent="0.25">
      <c r="A152" s="41" t="s">
        <v>19</v>
      </c>
      <c r="B152" s="15">
        <f t="shared" si="20"/>
        <v>156961599.53649759</v>
      </c>
      <c r="C152" s="15">
        <f t="shared" si="22"/>
        <v>419076745.64009327</v>
      </c>
      <c r="D152" s="15">
        <f t="shared" si="21"/>
        <v>1312222.1708038514</v>
      </c>
      <c r="E152" s="21">
        <f t="shared" si="23"/>
        <v>645097780.34739482</v>
      </c>
    </row>
    <row r="153" spans="1:10" x14ac:dyDescent="0.25">
      <c r="A153" s="41" t="s">
        <v>21</v>
      </c>
      <c r="B153" s="15">
        <f t="shared" si="20"/>
        <v>155343117.17191386</v>
      </c>
      <c r="C153" s="15">
        <f t="shared" si="22"/>
        <v>416550490.5059967</v>
      </c>
      <c r="D153" s="15">
        <f t="shared" si="21"/>
        <v>1273673.3802245473</v>
      </c>
      <c r="E153" s="21">
        <f t="shared" si="23"/>
        <v>640914494.05813515</v>
      </c>
    </row>
    <row r="154" spans="1:10" x14ac:dyDescent="0.25">
      <c r="A154" s="41" t="s">
        <v>22</v>
      </c>
      <c r="B154" s="15">
        <f t="shared" si="20"/>
        <v>158506895.51535216</v>
      </c>
      <c r="C154" s="15">
        <f t="shared" si="22"/>
        <v>411704590.86891198</v>
      </c>
      <c r="D154" s="15">
        <f t="shared" si="21"/>
        <v>1214610.0352039661</v>
      </c>
      <c r="E154" s="21">
        <f t="shared" si="23"/>
        <v>639173309.41946805</v>
      </c>
    </row>
    <row r="155" spans="1:10" x14ac:dyDescent="0.25">
      <c r="A155" s="8" t="s">
        <v>23</v>
      </c>
      <c r="B155" s="15">
        <f t="shared" si="20"/>
        <v>151553007.35639009</v>
      </c>
      <c r="C155" s="15">
        <f t="shared" si="22"/>
        <v>417008628.43646163</v>
      </c>
      <c r="D155" s="15">
        <f t="shared" si="21"/>
        <v>1224977.5477121535</v>
      </c>
      <c r="E155" s="21">
        <f t="shared" si="23"/>
        <v>637533826.34056389</v>
      </c>
    </row>
    <row r="156" spans="1:10" x14ac:dyDescent="0.25">
      <c r="A156" s="8" t="s">
        <v>24</v>
      </c>
      <c r="B156" s="15">
        <f t="shared" si="20"/>
        <v>150299723.98208541</v>
      </c>
      <c r="C156" s="15">
        <f t="shared" si="22"/>
        <v>425299070.68350238</v>
      </c>
      <c r="D156" s="15">
        <f t="shared" si="21"/>
        <v>1218229.6914816252</v>
      </c>
      <c r="E156" s="21">
        <f t="shared" si="23"/>
        <v>644564237.35706937</v>
      </c>
    </row>
    <row r="157" spans="1:10" x14ac:dyDescent="0.25">
      <c r="A157" s="8" t="s">
        <v>25</v>
      </c>
      <c r="B157" s="15">
        <f t="shared" si="20"/>
        <v>149112921.10828662</v>
      </c>
      <c r="C157" s="15">
        <f t="shared" si="22"/>
        <v>437682125.33016396</v>
      </c>
      <c r="D157" s="15">
        <f t="shared" si="21"/>
        <v>1227073.0474739352</v>
      </c>
      <c r="E157" s="21">
        <f t="shared" si="23"/>
        <v>655769332.48592448</v>
      </c>
    </row>
    <row r="158" spans="1:10" x14ac:dyDescent="0.25">
      <c r="A158" s="41" t="s">
        <v>26</v>
      </c>
      <c r="B158" s="15">
        <f t="shared" si="20"/>
        <v>147872450.29389748</v>
      </c>
      <c r="C158" s="15">
        <f t="shared" si="22"/>
        <v>455035503.02977359</v>
      </c>
      <c r="D158" s="15">
        <f t="shared" si="21"/>
        <v>1231377.0861178637</v>
      </c>
      <c r="E158" s="21">
        <f t="shared" si="23"/>
        <v>671886543.40978897</v>
      </c>
    </row>
    <row r="159" spans="1:10" x14ac:dyDescent="0.25">
      <c r="A159" s="41" t="s">
        <v>27</v>
      </c>
      <c r="B159" s="15">
        <f t="shared" si="20"/>
        <v>146529368.81222194</v>
      </c>
      <c r="C159" s="15">
        <f t="shared" si="22"/>
        <v>478453040.13332313</v>
      </c>
      <c r="D159" s="15">
        <f t="shared" si="21"/>
        <v>1241321.7886675443</v>
      </c>
      <c r="E159" s="21">
        <f t="shared" si="23"/>
        <v>693970943.73421264</v>
      </c>
    </row>
    <row r="160" spans="1:10" x14ac:dyDescent="0.25">
      <c r="A160" s="41" t="s">
        <v>28</v>
      </c>
      <c r="B160" s="15">
        <f t="shared" si="20"/>
        <v>146529368.81222194</v>
      </c>
      <c r="C160" s="15">
        <f t="shared" si="22"/>
        <v>503530411.48671359</v>
      </c>
      <c r="D160" s="15">
        <f t="shared" si="21"/>
        <v>1233884.4495014769</v>
      </c>
      <c r="E160" s="21">
        <f t="shared" si="23"/>
        <v>719040877.74843705</v>
      </c>
    </row>
    <row r="161" spans="1:5" x14ac:dyDescent="0.25">
      <c r="A161" s="8" t="s">
        <v>29</v>
      </c>
      <c r="B161" s="15">
        <f t="shared" si="20"/>
        <v>146529368.81222194</v>
      </c>
      <c r="C161" s="15">
        <f t="shared" si="22"/>
        <v>529266308.84324557</v>
      </c>
      <c r="D161" s="15">
        <f t="shared" si="21"/>
        <v>1242159.07115083</v>
      </c>
      <c r="E161" s="21">
        <f t="shared" si="23"/>
        <v>744785049.72661829</v>
      </c>
    </row>
    <row r="162" spans="1:5" x14ac:dyDescent="0.25">
      <c r="A162" s="8" t="s">
        <v>30</v>
      </c>
      <c r="B162" s="15">
        <f t="shared" si="20"/>
        <v>146529368.81222194</v>
      </c>
      <c r="C162" s="15">
        <f t="shared" si="22"/>
        <v>552232462.66566396</v>
      </c>
      <c r="D162" s="15">
        <f t="shared" si="21"/>
        <v>1246130.1591457073</v>
      </c>
      <c r="E162" s="21">
        <f t="shared" si="23"/>
        <v>767755174.63703167</v>
      </c>
    </row>
    <row r="163" spans="1:5" x14ac:dyDescent="0.25">
      <c r="A163" s="8" t="s">
        <v>31</v>
      </c>
      <c r="B163" s="15">
        <f t="shared" si="20"/>
        <v>146529368.81222194</v>
      </c>
      <c r="C163" s="15">
        <f t="shared" si="22"/>
        <v>573524300.04609513</v>
      </c>
      <c r="D163" s="15">
        <f t="shared" si="21"/>
        <v>1255817.9660040534</v>
      </c>
      <c r="E163" s="21">
        <f t="shared" si="23"/>
        <v>789056699.82432115</v>
      </c>
    </row>
    <row r="164" spans="1:5" x14ac:dyDescent="0.25">
      <c r="A164" s="8" t="s">
        <v>32</v>
      </c>
      <c r="B164" s="15">
        <f t="shared" si="20"/>
        <v>146529368.81222194</v>
      </c>
      <c r="C164" s="15">
        <f t="shared" si="22"/>
        <v>590076086.93336165</v>
      </c>
      <c r="D164" s="15">
        <f t="shared" si="21"/>
        <v>1247833.9389248979</v>
      </c>
      <c r="E164" s="21">
        <f t="shared" si="23"/>
        <v>805600502.68450844</v>
      </c>
    </row>
    <row r="165" spans="1:5" x14ac:dyDescent="0.25">
      <c r="A165" s="8" t="s">
        <v>33</v>
      </c>
      <c r="B165" s="15">
        <f t="shared" si="20"/>
        <v>146529368.81222194</v>
      </c>
      <c r="C165" s="15">
        <f t="shared" si="22"/>
        <v>602191907.46073031</v>
      </c>
      <c r="D165" s="15">
        <f t="shared" si="21"/>
        <v>1256155.2526464479</v>
      </c>
      <c r="E165" s="21">
        <f t="shared" si="23"/>
        <v>817724644.52559876</v>
      </c>
    </row>
    <row r="166" spans="1:5" x14ac:dyDescent="0.25">
      <c r="A166" s="8" t="s">
        <v>34</v>
      </c>
      <c r="B166" s="15">
        <f t="shared" si="20"/>
        <v>146529368.81222194</v>
      </c>
      <c r="C166" s="15">
        <f t="shared" si="22"/>
        <v>607345810.89830565</v>
      </c>
      <c r="D166" s="15">
        <f t="shared" si="21"/>
        <v>1260024.5321894798</v>
      </c>
      <c r="E166" s="21">
        <f t="shared" si="23"/>
        <v>822882417.24271715</v>
      </c>
    </row>
    <row r="167" spans="1:5" x14ac:dyDescent="0.25">
      <c r="A167" s="8" t="s">
        <v>35</v>
      </c>
      <c r="B167" s="15">
        <f t="shared" si="20"/>
        <v>146529368.81222194</v>
      </c>
      <c r="C167" s="15">
        <f t="shared" si="22"/>
        <v>612268562.02908874</v>
      </c>
      <c r="D167" s="15">
        <f t="shared" si="21"/>
        <v>1269996.4460987337</v>
      </c>
      <c r="E167" s="21">
        <f t="shared" si="23"/>
        <v>827815140.28740942</v>
      </c>
    </row>
    <row r="168" spans="1:5" x14ac:dyDescent="0.25">
      <c r="A168" s="8" t="s">
        <v>36</v>
      </c>
      <c r="B168" s="15">
        <f t="shared" si="20"/>
        <v>146529368.81222194</v>
      </c>
      <c r="C168" s="15">
        <f t="shared" si="22"/>
        <v>615433686.9408288</v>
      </c>
      <c r="D168" s="15">
        <f t="shared" si="21"/>
        <v>1261668.0956416496</v>
      </c>
      <c r="E168" s="21">
        <f t="shared" si="23"/>
        <v>830971936.84869242</v>
      </c>
    </row>
    <row r="169" spans="1:5" x14ac:dyDescent="0.25">
      <c r="A169" s="8" t="s">
        <v>37</v>
      </c>
      <c r="B169" s="15">
        <f t="shared" si="20"/>
        <v>146529368.81222194</v>
      </c>
      <c r="C169" s="15">
        <f t="shared" si="22"/>
        <v>619392078.31491768</v>
      </c>
      <c r="D169" s="15">
        <f t="shared" si="21"/>
        <v>1269873.384492947</v>
      </c>
      <c r="E169" s="21">
        <f t="shared" si="23"/>
        <v>834938533.51163256</v>
      </c>
    </row>
    <row r="170" spans="1:5" x14ac:dyDescent="0.25">
      <c r="A170" s="8" t="s">
        <v>38</v>
      </c>
      <c r="B170" s="15">
        <f t="shared" si="20"/>
        <v>146529368.81222194</v>
      </c>
      <c r="C170" s="15">
        <f t="shared" si="22"/>
        <v>622421978.37170565</v>
      </c>
      <c r="D170" s="15">
        <f t="shared" si="21"/>
        <v>0</v>
      </c>
      <c r="E170" s="21">
        <f t="shared" si="23"/>
        <v>836698560.18392754</v>
      </c>
    </row>
    <row r="171" spans="1:5" x14ac:dyDescent="0.25">
      <c r="A171" s="8" t="s">
        <v>39</v>
      </c>
      <c r="B171" s="15">
        <f t="shared" si="20"/>
        <v>146529368.81222194</v>
      </c>
      <c r="C171" s="15">
        <f t="shared" si="22"/>
        <v>625523367.38364875</v>
      </c>
      <c r="D171" s="15">
        <f t="shared" si="21"/>
        <v>0</v>
      </c>
      <c r="E171" s="21">
        <f t="shared" si="23"/>
        <v>839799949.19587064</v>
      </c>
    </row>
    <row r="179" spans="1:7" x14ac:dyDescent="0.25">
      <c r="A179" t="s">
        <v>368</v>
      </c>
    </row>
    <row r="180" spans="1:7" x14ac:dyDescent="0.25">
      <c r="B180" t="s">
        <v>373</v>
      </c>
      <c r="C180" t="s">
        <v>375</v>
      </c>
      <c r="D180" t="s">
        <v>374</v>
      </c>
      <c r="E180" t="s">
        <v>370</v>
      </c>
      <c r="F180" t="s">
        <v>371</v>
      </c>
      <c r="G180" t="s">
        <v>372</v>
      </c>
    </row>
    <row r="181" spans="1:7" x14ac:dyDescent="0.25">
      <c r="A181" s="41" t="s">
        <v>21</v>
      </c>
      <c r="B181" s="37">
        <f>E43</f>
        <v>33963264.598822832</v>
      </c>
      <c r="C181" s="37">
        <f>E76</f>
        <v>82956872.015999988</v>
      </c>
      <c r="D181" s="37">
        <f>E109</f>
        <v>528397.803846856</v>
      </c>
      <c r="E181" s="37">
        <v>33963264.598822832</v>
      </c>
      <c r="F181" s="37">
        <v>82956872.015999988</v>
      </c>
      <c r="G181" s="37">
        <v>528397.803846856</v>
      </c>
    </row>
    <row r="182" spans="1:7" x14ac:dyDescent="0.25">
      <c r="A182" s="41" t="s">
        <v>22</v>
      </c>
      <c r="B182" s="37">
        <f t="shared" ref="B182:B199" si="24">E44</f>
        <v>34642529.890799291</v>
      </c>
      <c r="C182" s="37">
        <f t="shared" ref="C182:C199" si="25">E77</f>
        <v>81934522.939999998</v>
      </c>
      <c r="D182" s="37">
        <f t="shared" ref="D182:D199" si="26">E110</f>
        <v>499894.16030622908</v>
      </c>
      <c r="E182" s="37">
        <v>34642529.890799291</v>
      </c>
      <c r="F182" s="37">
        <v>81934522.939999998</v>
      </c>
      <c r="G182" s="37">
        <v>528059.65392531082</v>
      </c>
    </row>
    <row r="183" spans="1:7" x14ac:dyDescent="0.25">
      <c r="A183" s="8" t="s">
        <v>23</v>
      </c>
      <c r="B183" s="37">
        <f t="shared" si="24"/>
        <v>33122720.436321735</v>
      </c>
      <c r="C183" s="37">
        <f t="shared" si="25"/>
        <v>82990094.817000002</v>
      </c>
      <c r="D183" s="37">
        <f t="shared" si="26"/>
        <v>485208.90675220848</v>
      </c>
      <c r="E183" s="37">
        <v>33164501.805676758</v>
      </c>
      <c r="F183" s="37">
        <v>81560528.789000005</v>
      </c>
      <c r="G183" s="37">
        <v>529850.25363910827</v>
      </c>
    </row>
    <row r="184" spans="1:7" x14ac:dyDescent="0.25">
      <c r="A184" s="8" t="s">
        <v>24</v>
      </c>
      <c r="B184" s="37">
        <f t="shared" si="24"/>
        <v>32848808.6508765</v>
      </c>
      <c r="C184" s="37">
        <f t="shared" si="25"/>
        <v>84639999.737999991</v>
      </c>
      <c r="D184" s="37">
        <f t="shared" si="26"/>
        <v>462708.58483960613</v>
      </c>
      <c r="E184" s="37">
        <v>32936208.175366048</v>
      </c>
      <c r="F184" s="37">
        <v>81592930.692000002</v>
      </c>
      <c r="G184" s="37">
        <v>530429.20436652494</v>
      </c>
    </row>
    <row r="185" spans="1:7" x14ac:dyDescent="0.25">
      <c r="A185" s="8" t="s">
        <v>25</v>
      </c>
      <c r="B185" s="37">
        <f t="shared" si="24"/>
        <v>32589426.534430474</v>
      </c>
      <c r="C185" s="37">
        <f t="shared" si="25"/>
        <v>87104387.304999992</v>
      </c>
      <c r="D185" s="37">
        <f t="shared" si="26"/>
        <v>466658.11341415375</v>
      </c>
      <c r="E185" s="37">
        <v>32936208.175366048</v>
      </c>
      <c r="F185" s="37">
        <v>81884475.179999992</v>
      </c>
      <c r="G185" s="37">
        <v>531365.40813121572</v>
      </c>
    </row>
    <row r="186" spans="1:7" x14ac:dyDescent="0.25">
      <c r="A186" s="41" t="s">
        <v>26</v>
      </c>
      <c r="B186" s="37">
        <f t="shared" si="24"/>
        <v>32318315.002490982</v>
      </c>
      <c r="C186" s="37">
        <f t="shared" si="25"/>
        <v>90557933.256999999</v>
      </c>
      <c r="D186" s="37">
        <f t="shared" si="26"/>
        <v>464087.50151680963</v>
      </c>
      <c r="E186" s="37">
        <v>32936208.175366048</v>
      </c>
      <c r="F186" s="37">
        <v>81977064.710000008</v>
      </c>
      <c r="G186" s="37">
        <v>531528.48370576557</v>
      </c>
    </row>
    <row r="187" spans="1:7" x14ac:dyDescent="0.25">
      <c r="A187" s="41" t="s">
        <v>27</v>
      </c>
      <c r="B187" s="37">
        <f t="shared" si="24"/>
        <v>32024777.360337004</v>
      </c>
      <c r="C187" s="37">
        <f t="shared" si="25"/>
        <v>95218325.133999988</v>
      </c>
      <c r="D187" s="37">
        <f t="shared" si="26"/>
        <v>467456.39903768961</v>
      </c>
      <c r="E187" s="37">
        <v>32936208.175366048</v>
      </c>
      <c r="F187" s="37">
        <v>82659805.902999997</v>
      </c>
      <c r="G187" s="37">
        <v>532425.81888603442</v>
      </c>
    </row>
    <row r="188" spans="1:7" x14ac:dyDescent="0.25">
      <c r="A188" s="41" t="s">
        <v>28</v>
      </c>
      <c r="B188" s="37">
        <f t="shared" si="24"/>
        <v>32024777.360337004</v>
      </c>
      <c r="C188" s="37">
        <f t="shared" si="25"/>
        <v>100209045.432</v>
      </c>
      <c r="D188" s="37">
        <f t="shared" si="26"/>
        <v>469096.03280680522</v>
      </c>
      <c r="E188" s="37">
        <v>32936208.175366048</v>
      </c>
      <c r="F188" s="37">
        <v>83303404.917999998</v>
      </c>
      <c r="G188" s="37">
        <v>533005.33967255801</v>
      </c>
    </row>
    <row r="189" spans="1:7" x14ac:dyDescent="0.25">
      <c r="A189" s="8" t="s">
        <v>29</v>
      </c>
      <c r="B189" s="37">
        <f t="shared" si="24"/>
        <v>32024777.360337004</v>
      </c>
      <c r="C189" s="37">
        <f t="shared" si="25"/>
        <v>105330820.897</v>
      </c>
      <c r="D189" s="37">
        <f t="shared" si="26"/>
        <v>472884.49092096923</v>
      </c>
      <c r="E189" s="37">
        <v>32936208.175366048</v>
      </c>
      <c r="F189" s="37">
        <v>84058939.645000011</v>
      </c>
      <c r="G189" s="37">
        <v>533754.79569958372</v>
      </c>
    </row>
    <row r="190" spans="1:7" x14ac:dyDescent="0.25">
      <c r="A190" s="8" t="s">
        <v>30</v>
      </c>
      <c r="B190" s="37">
        <f t="shared" si="24"/>
        <v>32024777.360337004</v>
      </c>
      <c r="C190" s="37">
        <f t="shared" si="25"/>
        <v>109901381.67999999</v>
      </c>
      <c r="D190" s="37">
        <f t="shared" si="26"/>
        <v>470051.21885770548</v>
      </c>
      <c r="E190" s="37">
        <v>32936208.175366048</v>
      </c>
      <c r="F190" s="37">
        <v>84423662.777999997</v>
      </c>
      <c r="G190" s="37">
        <v>533927.73792272958</v>
      </c>
    </row>
    <row r="191" spans="1:7" x14ac:dyDescent="0.25">
      <c r="A191" s="8" t="s">
        <v>31</v>
      </c>
      <c r="B191" s="37">
        <f t="shared" si="24"/>
        <v>32024777.360337004</v>
      </c>
      <c r="C191" s="37">
        <f t="shared" si="25"/>
        <v>114138731.89899999</v>
      </c>
      <c r="D191" s="37">
        <f t="shared" si="26"/>
        <v>473203.45567650668</v>
      </c>
      <c r="E191" s="37">
        <v>32936208.175366048</v>
      </c>
      <c r="F191" s="37">
        <v>85015848.419</v>
      </c>
      <c r="G191" s="37">
        <v>534300.06030736852</v>
      </c>
    </row>
    <row r="192" spans="1:7" x14ac:dyDescent="0.25">
      <c r="A192" s="8" t="s">
        <v>32</v>
      </c>
      <c r="B192" s="37">
        <f t="shared" si="24"/>
        <v>32024777.360337004</v>
      </c>
      <c r="C192" s="37">
        <f t="shared" si="25"/>
        <v>117432750.942</v>
      </c>
      <c r="D192" s="37">
        <f t="shared" si="26"/>
        <v>474716.25110312662</v>
      </c>
      <c r="E192" s="37">
        <v>32936208.175366048</v>
      </c>
      <c r="F192" s="37">
        <v>85450292.625</v>
      </c>
      <c r="G192" s="37">
        <v>534645.23663093371</v>
      </c>
    </row>
    <row r="193" spans="1:7" x14ac:dyDescent="0.25">
      <c r="A193" s="8" t="s">
        <v>33</v>
      </c>
      <c r="B193" s="37">
        <f t="shared" si="24"/>
        <v>32024777.360337004</v>
      </c>
      <c r="C193" s="37">
        <f t="shared" si="25"/>
        <v>119843955.47299999</v>
      </c>
      <c r="D193" s="37">
        <f t="shared" si="26"/>
        <v>478406.84419202036</v>
      </c>
      <c r="E193" s="37">
        <v>32936208.175366048</v>
      </c>
      <c r="F193" s="37">
        <v>85967286.341000006</v>
      </c>
      <c r="G193" s="37">
        <v>534964.2469321622</v>
      </c>
    </row>
    <row r="194" spans="1:7" x14ac:dyDescent="0.25">
      <c r="A194" s="8" t="s">
        <v>34</v>
      </c>
      <c r="B194" s="37">
        <f t="shared" si="24"/>
        <v>32024777.360337004</v>
      </c>
      <c r="C194" s="37">
        <f t="shared" si="25"/>
        <v>120869648.722</v>
      </c>
      <c r="D194" s="37">
        <f t="shared" si="26"/>
        <v>475365.3100666278</v>
      </c>
      <c r="E194" s="37">
        <v>32936208.175366048</v>
      </c>
      <c r="F194" s="37">
        <v>86216091.731999993</v>
      </c>
      <c r="G194" s="37">
        <v>535258.6012692037</v>
      </c>
    </row>
    <row r="195" spans="1:7" x14ac:dyDescent="0.25">
      <c r="A195" s="8" t="s">
        <v>35</v>
      </c>
      <c r="B195" s="37">
        <f t="shared" si="24"/>
        <v>32024777.360337004</v>
      </c>
      <c r="C195" s="37">
        <f t="shared" si="25"/>
        <v>121849339.68099999</v>
      </c>
      <c r="D195" s="37">
        <f t="shared" si="26"/>
        <v>478535.33434150397</v>
      </c>
      <c r="E195" s="37">
        <v>32936208.175366048</v>
      </c>
      <c r="F195" s="37">
        <v>86766903.104000002</v>
      </c>
      <c r="G195" s="37">
        <v>535529.01463481109</v>
      </c>
    </row>
    <row r="196" spans="1:7" x14ac:dyDescent="0.25">
      <c r="A196" s="8" t="s">
        <v>36</v>
      </c>
      <c r="B196" s="37">
        <f t="shared" si="24"/>
        <v>32024777.360337004</v>
      </c>
      <c r="C196" s="37">
        <f t="shared" si="25"/>
        <v>122479240.35599999</v>
      </c>
      <c r="D196" s="37">
        <f t="shared" si="26"/>
        <v>480009.34559599229</v>
      </c>
      <c r="E196" s="37">
        <v>32936208.175366048</v>
      </c>
      <c r="F196" s="37">
        <v>87214467.640000001</v>
      </c>
      <c r="G196" s="37">
        <v>535776.48357490334</v>
      </c>
    </row>
    <row r="197" spans="1:7" x14ac:dyDescent="0.25">
      <c r="A197" s="8" t="s">
        <v>37</v>
      </c>
      <c r="B197" s="37">
        <f t="shared" si="24"/>
        <v>32024777.360337004</v>
      </c>
      <c r="C197" s="37">
        <f t="shared" si="25"/>
        <v>123267011.28700002</v>
      </c>
      <c r="D197" s="37">
        <f t="shared" si="26"/>
        <v>483808.16994237475</v>
      </c>
      <c r="E197" s="37">
        <v>32936208.175366048</v>
      </c>
      <c r="F197" s="37">
        <v>87748951.427000001</v>
      </c>
      <c r="G197" s="37">
        <v>536002.06114858564</v>
      </c>
    </row>
    <row r="198" spans="1:7" x14ac:dyDescent="0.25">
      <c r="A198" s="8" t="s">
        <v>38</v>
      </c>
      <c r="B198" s="37">
        <f t="shared" si="24"/>
        <v>32024777.360337004</v>
      </c>
      <c r="C198" s="37">
        <f t="shared" si="25"/>
        <v>123870000.47200002</v>
      </c>
      <c r="D198" s="37">
        <f t="shared" si="26"/>
        <v>480635.46500634268</v>
      </c>
      <c r="E198" s="37">
        <v>32936208.175366048</v>
      </c>
      <c r="F198" s="37">
        <v>88116801.755999997</v>
      </c>
      <c r="G198" s="37">
        <v>536206.763677001</v>
      </c>
    </row>
    <row r="199" spans="1:7" x14ac:dyDescent="0.25">
      <c r="A199" s="8" t="s">
        <v>39</v>
      </c>
      <c r="B199" s="37">
        <f t="shared" si="24"/>
        <v>32024777.360337004</v>
      </c>
      <c r="C199" s="37">
        <f t="shared" si="25"/>
        <v>124487216.881</v>
      </c>
      <c r="D199" s="37">
        <f t="shared" si="26"/>
        <v>483761.28933064651</v>
      </c>
      <c r="E199" s="37">
        <v>32936208.175366048</v>
      </c>
      <c r="F199" s="37">
        <v>88491502.603</v>
      </c>
      <c r="G199" s="37">
        <v>536390.78112780477</v>
      </c>
    </row>
    <row r="201" spans="1:7" x14ac:dyDescent="0.25">
      <c r="A201" s="339" t="s">
        <v>369</v>
      </c>
      <c r="B201" s="37"/>
      <c r="C201" s="37"/>
      <c r="D201" s="37"/>
      <c r="E201" s="37"/>
    </row>
    <row r="202" spans="1:7" x14ac:dyDescent="0.25">
      <c r="A202" s="41" t="s">
        <v>21</v>
      </c>
      <c r="B202" s="37">
        <v>33963264.598822832</v>
      </c>
      <c r="C202" s="37">
        <v>82956872.015999988</v>
      </c>
      <c r="D202" s="37">
        <v>528397.803846856</v>
      </c>
      <c r="E202" s="37"/>
    </row>
    <row r="203" spans="1:7" x14ac:dyDescent="0.25">
      <c r="A203" s="41" t="s">
        <v>22</v>
      </c>
      <c r="B203" s="37">
        <v>34642529.890799291</v>
      </c>
      <c r="C203" s="37">
        <v>81934522.939999998</v>
      </c>
      <c r="D203" s="37">
        <v>528059.65392531082</v>
      </c>
      <c r="E203" s="37"/>
    </row>
    <row r="204" spans="1:7" x14ac:dyDescent="0.25">
      <c r="A204" s="8" t="s">
        <v>23</v>
      </c>
      <c r="B204" s="37">
        <v>33164501.805676758</v>
      </c>
      <c r="C204" s="37">
        <v>81560528.789000005</v>
      </c>
      <c r="D204" s="37">
        <v>529850.25363910827</v>
      </c>
      <c r="E204" s="37"/>
    </row>
    <row r="205" spans="1:7" x14ac:dyDescent="0.25">
      <c r="A205" s="8" t="s">
        <v>24</v>
      </c>
      <c r="B205" s="37">
        <v>32936208.175366048</v>
      </c>
      <c r="C205" s="37">
        <v>81592930.692000002</v>
      </c>
      <c r="D205" s="37">
        <v>530429.20436652494</v>
      </c>
      <c r="E205" s="37"/>
    </row>
    <row r="206" spans="1:7" x14ac:dyDescent="0.25">
      <c r="A206" s="8" t="s">
        <v>25</v>
      </c>
      <c r="B206" s="37">
        <v>32936208.175366048</v>
      </c>
      <c r="C206" s="37">
        <v>81884475.179999992</v>
      </c>
      <c r="D206" s="37">
        <v>531365.40813121572</v>
      </c>
      <c r="E206" s="37"/>
    </row>
    <row r="207" spans="1:7" x14ac:dyDescent="0.25">
      <c r="A207" s="41" t="s">
        <v>26</v>
      </c>
      <c r="B207" s="37">
        <v>32936208.175366048</v>
      </c>
      <c r="C207" s="37">
        <v>81977064.710000008</v>
      </c>
      <c r="D207" s="37">
        <v>531528.48370576557</v>
      </c>
      <c r="E207" s="37"/>
    </row>
    <row r="208" spans="1:7" x14ac:dyDescent="0.25">
      <c r="A208" s="41" t="s">
        <v>27</v>
      </c>
      <c r="B208" s="37">
        <v>32936208.175366048</v>
      </c>
      <c r="C208" s="37">
        <v>82659805.902999997</v>
      </c>
      <c r="D208" s="37">
        <v>532425.81888603442</v>
      </c>
      <c r="E208" s="37"/>
    </row>
    <row r="209" spans="1:5" x14ac:dyDescent="0.25">
      <c r="A209" s="41" t="s">
        <v>28</v>
      </c>
      <c r="B209" s="37">
        <v>32936208.175366048</v>
      </c>
      <c r="C209" s="37">
        <v>83303404.917999998</v>
      </c>
      <c r="D209" s="37">
        <v>533005.33967255801</v>
      </c>
      <c r="E209" s="37"/>
    </row>
    <row r="210" spans="1:5" x14ac:dyDescent="0.25">
      <c r="A210" s="8" t="s">
        <v>29</v>
      </c>
      <c r="B210" s="37">
        <v>32936208.175366048</v>
      </c>
      <c r="C210" s="37">
        <v>84058939.645000011</v>
      </c>
      <c r="D210" s="37">
        <v>533754.79569958372</v>
      </c>
      <c r="E210" s="37"/>
    </row>
    <row r="211" spans="1:5" x14ac:dyDescent="0.25">
      <c r="A211" s="8" t="s">
        <v>30</v>
      </c>
      <c r="B211" s="37">
        <v>32936208.175366048</v>
      </c>
      <c r="C211" s="37">
        <v>84423662.777999997</v>
      </c>
      <c r="D211" s="37">
        <v>533927.73792272958</v>
      </c>
      <c r="E211" s="37"/>
    </row>
    <row r="212" spans="1:5" x14ac:dyDescent="0.25">
      <c r="A212" s="8" t="s">
        <v>31</v>
      </c>
      <c r="B212" s="37">
        <v>32936208.175366048</v>
      </c>
      <c r="C212" s="37">
        <v>85015848.419</v>
      </c>
      <c r="D212" s="37">
        <v>534300.06030736852</v>
      </c>
      <c r="E212" s="37"/>
    </row>
    <row r="213" spans="1:5" x14ac:dyDescent="0.25">
      <c r="A213" s="8" t="s">
        <v>32</v>
      </c>
      <c r="B213" s="37">
        <v>32936208.175366048</v>
      </c>
      <c r="C213" s="37">
        <v>85450292.625</v>
      </c>
      <c r="D213" s="37">
        <v>534645.23663093371</v>
      </c>
      <c r="E213" s="37"/>
    </row>
    <row r="214" spans="1:5" x14ac:dyDescent="0.25">
      <c r="A214" s="8" t="s">
        <v>33</v>
      </c>
      <c r="B214" s="37">
        <v>32936208.175366048</v>
      </c>
      <c r="C214" s="37">
        <v>85967286.341000006</v>
      </c>
      <c r="D214" s="37">
        <v>534964.2469321622</v>
      </c>
      <c r="E214" s="37"/>
    </row>
    <row r="215" spans="1:5" x14ac:dyDescent="0.25">
      <c r="A215" s="8" t="s">
        <v>34</v>
      </c>
      <c r="B215" s="37">
        <v>32936208.175366048</v>
      </c>
      <c r="C215" s="37">
        <v>86216091.731999993</v>
      </c>
      <c r="D215" s="37">
        <v>535258.6012692037</v>
      </c>
      <c r="E215" s="37"/>
    </row>
    <row r="216" spans="1:5" x14ac:dyDescent="0.25">
      <c r="A216" s="8" t="s">
        <v>35</v>
      </c>
      <c r="B216" s="37">
        <v>32936208.175366048</v>
      </c>
      <c r="C216" s="37">
        <v>86766903.104000002</v>
      </c>
      <c r="D216" s="37">
        <v>535529.01463481109</v>
      </c>
      <c r="E216" s="37"/>
    </row>
    <row r="217" spans="1:5" x14ac:dyDescent="0.25">
      <c r="A217" s="8" t="s">
        <v>36</v>
      </c>
      <c r="B217" s="37">
        <v>32936208.175366048</v>
      </c>
      <c r="C217" s="37">
        <v>87214467.640000001</v>
      </c>
      <c r="D217" s="37">
        <v>535776.48357490334</v>
      </c>
      <c r="E217" s="37"/>
    </row>
    <row r="218" spans="1:5" x14ac:dyDescent="0.25">
      <c r="A218" s="8" t="s">
        <v>37</v>
      </c>
      <c r="B218" s="37">
        <v>32936208.175366048</v>
      </c>
      <c r="C218" s="37">
        <v>87748951.427000001</v>
      </c>
      <c r="D218" s="37">
        <v>536002.06114858564</v>
      </c>
      <c r="E218" s="37"/>
    </row>
    <row r="219" spans="1:5" x14ac:dyDescent="0.25">
      <c r="A219" s="8" t="s">
        <v>38</v>
      </c>
      <c r="B219" s="37">
        <v>32936208.175366048</v>
      </c>
      <c r="C219" s="37">
        <v>88116801.755999997</v>
      </c>
      <c r="D219" s="37">
        <v>536206.763677001</v>
      </c>
      <c r="E219" s="37"/>
    </row>
    <row r="220" spans="1:5" x14ac:dyDescent="0.25">
      <c r="A220" s="8" t="s">
        <v>39</v>
      </c>
      <c r="B220" s="37">
        <v>32936208.175366048</v>
      </c>
      <c r="C220" s="37">
        <v>88491502.603</v>
      </c>
      <c r="D220" s="37">
        <v>536390.78112780477</v>
      </c>
      <c r="E220" s="37"/>
    </row>
  </sheetData>
  <mergeCells count="1">
    <mergeCell ref="A139:B139"/>
  </mergeCells>
  <printOptions horizontalCentered="1" verticalCentered="1"/>
  <pageMargins left="0.25" right="0.25" top="0.75" bottom="0.75" header="0.3" footer="0.3"/>
  <pageSetup scale="56" fitToHeight="6" orientation="landscape" r:id="rId1"/>
  <headerFooter>
    <oddHeader>&amp;A</oddHeader>
  </headerFooter>
  <rowBreaks count="3" manualBreakCount="3">
    <brk id="64" max="16383" man="1"/>
    <brk id="97" max="16383" man="1"/>
    <brk id="137" max="16383" man="1"/>
  </rowBreaks>
  <customProperties>
    <customPr name="GUID" r:id="rId2"/>
  </customProperties>
  <ignoredErrors>
    <ignoredError sqref="H12:H29" evalError="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FBF2-FF33-4526-A654-A9B4C5FF1FB0}">
  <sheetPr>
    <tabColor theme="5" tint="0.59999389629810485"/>
    <pageSetUpPr fitToPage="1"/>
  </sheetPr>
  <dimension ref="A1:AH92"/>
  <sheetViews>
    <sheetView zoomScaleNormal="100" workbookViewId="0">
      <selection activeCell="Z24" sqref="Z24"/>
    </sheetView>
  </sheetViews>
  <sheetFormatPr defaultRowHeight="15" x14ac:dyDescent="0.25"/>
  <cols>
    <col min="1" max="1" width="19.140625" customWidth="1"/>
    <col min="2" max="2" width="17.42578125" bestFit="1" customWidth="1"/>
    <col min="3" max="3" width="7.85546875" customWidth="1"/>
    <col min="4" max="5" width="7" bestFit="1" customWidth="1"/>
    <col min="6" max="23" width="8" bestFit="1" customWidth="1"/>
    <col min="24" max="24" width="8.7109375" bestFit="1" customWidth="1"/>
    <col min="25" max="25" width="24.5703125" bestFit="1" customWidth="1"/>
    <col min="26" max="26" width="14.42578125" bestFit="1" customWidth="1"/>
    <col min="27" max="27" width="19.42578125" bestFit="1" customWidth="1"/>
    <col min="28" max="28" width="15.42578125" bestFit="1" customWidth="1"/>
  </cols>
  <sheetData>
    <row r="1" spans="1:34" x14ac:dyDescent="0.25">
      <c r="A1" t="s">
        <v>360</v>
      </c>
      <c r="D1" s="228"/>
      <c r="E1" s="229">
        <f>VLOOKUP($A$2,'Forward Price Curves'!$A$1:$X$10,5,FALSE)</f>
        <v>0</v>
      </c>
      <c r="F1" s="229">
        <f>VLOOKUP($A$2,'Forward Price Curves'!$A$1:$X$10,6,FALSE)</f>
        <v>38.285482503607497</v>
      </c>
      <c r="G1" s="229">
        <f>VLOOKUP($A$2,'Forward Price Curves'!$A$1:$X$10,7,FALSE)</f>
        <v>41.572490079365082</v>
      </c>
      <c r="H1" s="229">
        <f>VLOOKUP($A$2,'Forward Price Curves'!$A$1:$X$10,8,FALSE)</f>
        <v>44.785952380952381</v>
      </c>
      <c r="I1" s="229">
        <f>VLOOKUP($A$2,'Forward Price Curves'!$A$1:$X$10,9,FALSE)</f>
        <v>46.718323412698425</v>
      </c>
      <c r="J1" s="229">
        <f>VLOOKUP($A$2,'Forward Price Curves'!$A$1:$X$10,10,FALSE)</f>
        <v>46.948184523809516</v>
      </c>
      <c r="K1" s="229">
        <f>VLOOKUP($A$2,'Forward Price Curves'!$A$1:$X$10,11,FALSE)</f>
        <v>46.213859126984133</v>
      </c>
      <c r="L1" s="229">
        <f>VLOOKUP($A$2,'Forward Price Curves'!$A$1:$X$10,12,FALSE)</f>
        <v>46.146041666666669</v>
      </c>
      <c r="M1" s="229">
        <f>VLOOKUP($A$2,'Forward Price Curves'!$A$1:$X$10,13,FALSE)</f>
        <v>45.298343253968248</v>
      </c>
      <c r="N1" s="229">
        <f>VLOOKUP($A$2,'Forward Price Curves'!$A$1:$X$10,14,FALSE)</f>
        <v>45.177380952380943</v>
      </c>
      <c r="O1" s="229">
        <f>VLOOKUP($A$2,'Forward Price Curves'!$A$1:$X$10,15,FALSE)</f>
        <v>46.716636904761899</v>
      </c>
      <c r="P1" s="229">
        <f>VLOOKUP($A$2,'Forward Price Curves'!$A$1:$X$10,16,FALSE)</f>
        <v>48.23985119047618</v>
      </c>
      <c r="Q1" s="229">
        <f>VLOOKUP($A$2,'Forward Price Curves'!$A$1:$X$10,17,FALSE)</f>
        <v>45.249047619047616</v>
      </c>
      <c r="R1" s="229">
        <f>VLOOKUP($A$2,'Forward Price Curves'!$A$1:$X$10,18,FALSE)</f>
        <v>43.919335317460316</v>
      </c>
      <c r="S1" s="229">
        <f>VLOOKUP($A$2,'Forward Price Curves'!$A$1:$X$10,19,FALSE)</f>
        <v>43.553005952380957</v>
      </c>
      <c r="T1" s="229">
        <f>VLOOKUP($A$2,'Forward Price Curves'!$A$1:$X$10,20,FALSE)</f>
        <v>42.580059523809524</v>
      </c>
      <c r="U1" s="229">
        <f>VLOOKUP($A$2,'Forward Price Curves'!$A$1:$X$10,21,FALSE)</f>
        <v>41.687420634920635</v>
      </c>
      <c r="V1" s="229">
        <f>VLOOKUP($A$2,'Forward Price Curves'!$A$1:$X$10,22,FALSE)</f>
        <v>41.33999007936508</v>
      </c>
      <c r="W1" s="229">
        <f>VLOOKUP($A$2,'Forward Price Curves'!$A$1:$X$10,23,FALSE)</f>
        <v>40.777113095238093</v>
      </c>
      <c r="X1" s="229">
        <f>VLOOKUP($A$2,'Forward Price Curves'!$A$1:$X$10,24,FALSE)</f>
        <v>40.017212301587307</v>
      </c>
    </row>
    <row r="2" spans="1:34" s="96" customFormat="1" x14ac:dyDescent="0.25">
      <c r="A2" s="305">
        <v>45657</v>
      </c>
      <c r="C2" s="306" t="s">
        <v>53</v>
      </c>
      <c r="D2" s="301">
        <v>0</v>
      </c>
      <c r="E2" s="301">
        <v>0</v>
      </c>
      <c r="F2" s="301">
        <v>0</v>
      </c>
      <c r="G2" s="301">
        <v>0</v>
      </c>
      <c r="H2" s="301">
        <v>0</v>
      </c>
      <c r="I2" s="301">
        <v>0</v>
      </c>
      <c r="J2" s="301">
        <v>0</v>
      </c>
      <c r="K2" s="301">
        <v>0</v>
      </c>
      <c r="L2" s="301">
        <v>0</v>
      </c>
      <c r="M2" s="301">
        <v>0</v>
      </c>
      <c r="N2" s="301">
        <v>0</v>
      </c>
      <c r="O2" s="301">
        <v>0</v>
      </c>
      <c r="P2" s="301">
        <v>0</v>
      </c>
      <c r="Q2" s="301">
        <v>0</v>
      </c>
      <c r="R2" s="301">
        <v>0</v>
      </c>
      <c r="S2" s="301">
        <v>0</v>
      </c>
      <c r="T2" s="301">
        <v>0</v>
      </c>
      <c r="U2" s="301">
        <v>0</v>
      </c>
      <c r="V2" s="301">
        <v>0</v>
      </c>
      <c r="W2" s="301">
        <v>0</v>
      </c>
      <c r="X2" s="301">
        <v>0</v>
      </c>
    </row>
    <row r="3" spans="1:34" x14ac:dyDescent="0.25">
      <c r="B3" s="1" t="s">
        <v>54</v>
      </c>
      <c r="C3" s="125"/>
      <c r="D3" s="302"/>
      <c r="Y3" s="229"/>
    </row>
    <row r="4" spans="1:34" x14ac:dyDescent="0.25">
      <c r="C4" s="125"/>
      <c r="D4" s="125"/>
      <c r="E4" s="290"/>
      <c r="F4" s="302"/>
      <c r="G4" s="302"/>
      <c r="H4" s="302"/>
      <c r="I4" s="302"/>
      <c r="J4" s="302"/>
      <c r="K4" s="302"/>
      <c r="L4" s="302"/>
      <c r="M4" s="302"/>
      <c r="N4" s="302"/>
      <c r="O4" s="302"/>
      <c r="P4" s="302"/>
      <c r="Q4" s="302"/>
      <c r="R4" s="302"/>
      <c r="S4" s="302"/>
      <c r="T4" s="302"/>
      <c r="U4" s="302"/>
      <c r="V4" s="302"/>
      <c r="W4" s="302"/>
      <c r="X4" s="302"/>
      <c r="Y4" s="229"/>
    </row>
    <row r="5" spans="1:34" ht="18.75" x14ac:dyDescent="0.25">
      <c r="C5" s="2">
        <v>2022</v>
      </c>
      <c r="D5" s="2">
        <v>2023</v>
      </c>
      <c r="E5" s="2">
        <v>2024</v>
      </c>
      <c r="F5" s="2">
        <v>2025</v>
      </c>
      <c r="G5" s="2">
        <v>2026</v>
      </c>
      <c r="H5" s="2">
        <v>2027</v>
      </c>
      <c r="I5" s="2">
        <v>2028</v>
      </c>
      <c r="J5" s="2">
        <v>2029</v>
      </c>
      <c r="K5" s="2">
        <v>2030</v>
      </c>
      <c r="L5" s="2">
        <v>2031</v>
      </c>
      <c r="M5" s="2">
        <v>2032</v>
      </c>
      <c r="N5" s="2">
        <v>2033</v>
      </c>
      <c r="O5" s="2">
        <v>2034</v>
      </c>
      <c r="P5" s="2">
        <v>2035</v>
      </c>
      <c r="Q5" s="2">
        <v>2036</v>
      </c>
      <c r="R5" s="2">
        <v>2037</v>
      </c>
      <c r="S5" s="2">
        <v>2038</v>
      </c>
      <c r="T5" s="2">
        <v>2039</v>
      </c>
      <c r="U5" s="2">
        <v>2040</v>
      </c>
      <c r="V5" s="2">
        <v>2041</v>
      </c>
      <c r="W5" s="2">
        <v>2042</v>
      </c>
      <c r="X5" s="160">
        <v>2043</v>
      </c>
      <c r="Y5" s="229"/>
    </row>
    <row r="6" spans="1:34" x14ac:dyDescent="0.25">
      <c r="B6" t="s">
        <v>55</v>
      </c>
      <c r="C6" s="3"/>
      <c r="D6" s="87">
        <f t="shared" ref="D6:X6" si="0">D1*(1+D2)</f>
        <v>0</v>
      </c>
      <c r="E6" s="87">
        <f t="shared" si="0"/>
        <v>0</v>
      </c>
      <c r="F6" s="87">
        <f t="shared" si="0"/>
        <v>38.285482503607497</v>
      </c>
      <c r="G6" s="87">
        <f t="shared" si="0"/>
        <v>41.572490079365082</v>
      </c>
      <c r="H6" s="87">
        <f t="shared" si="0"/>
        <v>44.785952380952381</v>
      </c>
      <c r="I6" s="87">
        <f t="shared" si="0"/>
        <v>46.718323412698425</v>
      </c>
      <c r="J6" s="87">
        <f t="shared" si="0"/>
        <v>46.948184523809516</v>
      </c>
      <c r="K6" s="87">
        <f t="shared" si="0"/>
        <v>46.213859126984133</v>
      </c>
      <c r="L6" s="87">
        <f t="shared" si="0"/>
        <v>46.146041666666669</v>
      </c>
      <c r="M6" s="87">
        <f t="shared" si="0"/>
        <v>45.298343253968248</v>
      </c>
      <c r="N6" s="87">
        <f t="shared" si="0"/>
        <v>45.177380952380943</v>
      </c>
      <c r="O6" s="87">
        <f t="shared" si="0"/>
        <v>46.716636904761899</v>
      </c>
      <c r="P6" s="87">
        <f t="shared" si="0"/>
        <v>48.23985119047618</v>
      </c>
      <c r="Q6" s="87">
        <f t="shared" si="0"/>
        <v>45.249047619047616</v>
      </c>
      <c r="R6" s="87">
        <f t="shared" si="0"/>
        <v>43.919335317460316</v>
      </c>
      <c r="S6" s="87">
        <f t="shared" si="0"/>
        <v>43.553005952380957</v>
      </c>
      <c r="T6" s="87">
        <f t="shared" si="0"/>
        <v>42.580059523809524</v>
      </c>
      <c r="U6" s="87">
        <f t="shared" si="0"/>
        <v>41.687420634920635</v>
      </c>
      <c r="V6" s="87">
        <f t="shared" si="0"/>
        <v>41.33999007936508</v>
      </c>
      <c r="W6" s="87">
        <f t="shared" si="0"/>
        <v>40.777113095238093</v>
      </c>
      <c r="X6" s="87">
        <f t="shared" si="0"/>
        <v>40.017212301587307</v>
      </c>
      <c r="Y6" s="86"/>
      <c r="Z6" s="86"/>
      <c r="AA6" s="86"/>
      <c r="AB6" s="86"/>
      <c r="AC6" s="86"/>
      <c r="AD6" s="86"/>
      <c r="AE6" s="86"/>
      <c r="AF6" s="86"/>
      <c r="AG6" s="86"/>
      <c r="AH6" s="86"/>
    </row>
    <row r="9" spans="1:34" x14ac:dyDescent="0.25">
      <c r="B9" t="s">
        <v>56</v>
      </c>
      <c r="F9" s="229"/>
      <c r="G9" s="4"/>
      <c r="H9" s="4"/>
      <c r="I9" s="4"/>
      <c r="J9" s="4"/>
      <c r="K9" s="4"/>
      <c r="L9" s="4"/>
      <c r="M9" s="4"/>
      <c r="N9" s="4"/>
      <c r="O9" s="4"/>
      <c r="P9" s="4"/>
      <c r="Q9" s="4"/>
      <c r="R9" s="4"/>
      <c r="S9" s="4"/>
      <c r="T9" s="4"/>
      <c r="U9" s="4"/>
      <c r="V9" s="4"/>
      <c r="W9" s="4"/>
      <c r="X9" s="4"/>
    </row>
    <row r="10" spans="1:34" x14ac:dyDescent="0.25">
      <c r="B10" t="s">
        <v>57</v>
      </c>
      <c r="G10" s="229">
        <f>($Z$14-G$6)</f>
        <v>28.387509920634912</v>
      </c>
      <c r="H10" s="229">
        <f t="shared" ref="H10:X10" si="1">($Z$14-H$6)</f>
        <v>25.174047619047613</v>
      </c>
      <c r="I10" s="229">
        <f t="shared" si="1"/>
        <v>23.241676587301569</v>
      </c>
      <c r="J10" s="229">
        <f t="shared" si="1"/>
        <v>23.011815476190478</v>
      </c>
      <c r="K10" s="229">
        <f t="shared" si="1"/>
        <v>23.746140873015861</v>
      </c>
      <c r="L10" s="229">
        <f t="shared" si="1"/>
        <v>23.813958333333325</v>
      </c>
      <c r="M10" s="229">
        <f t="shared" si="1"/>
        <v>24.661656746031746</v>
      </c>
      <c r="N10" s="229">
        <f t="shared" si="1"/>
        <v>24.78261904761905</v>
      </c>
      <c r="O10" s="229">
        <f t="shared" si="1"/>
        <v>23.243363095238095</v>
      </c>
      <c r="P10" s="229">
        <f>($Z$14-P$6)</f>
        <v>21.720148809523813</v>
      </c>
      <c r="Q10" s="229">
        <f t="shared" si="1"/>
        <v>24.710952380952378</v>
      </c>
      <c r="R10" s="229">
        <f t="shared" si="1"/>
        <v>26.040664682539678</v>
      </c>
      <c r="S10" s="229">
        <f t="shared" si="1"/>
        <v>26.406994047619037</v>
      </c>
      <c r="T10" s="229">
        <f t="shared" si="1"/>
        <v>27.37994047619047</v>
      </c>
      <c r="U10" s="229">
        <f t="shared" si="1"/>
        <v>28.272579365079359</v>
      </c>
      <c r="V10" s="229">
        <f t="shared" si="1"/>
        <v>28.620009920634914</v>
      </c>
      <c r="W10" s="229">
        <f t="shared" si="1"/>
        <v>29.182886904761901</v>
      </c>
      <c r="X10" s="229">
        <f t="shared" si="1"/>
        <v>29.942787698412687</v>
      </c>
    </row>
    <row r="11" spans="1:34" x14ac:dyDescent="0.25">
      <c r="B11" t="s">
        <v>58</v>
      </c>
      <c r="G11" s="229">
        <f>($AA$14-G$6)</f>
        <v>34.777509920634913</v>
      </c>
      <c r="H11" s="229">
        <f>($AA$14-H$6)</f>
        <v>31.564047619047614</v>
      </c>
      <c r="I11" s="229">
        <f>($AA$14-I$6)</f>
        <v>29.63167658730157</v>
      </c>
      <c r="J11" s="229">
        <f t="shared" ref="J11:X11" si="2">($AA$14-J$6)</f>
        <v>29.401815476190478</v>
      </c>
      <c r="K11" s="229">
        <f t="shared" si="2"/>
        <v>30.136140873015862</v>
      </c>
      <c r="L11" s="229">
        <f t="shared" si="2"/>
        <v>30.203958333333325</v>
      </c>
      <c r="M11" s="229">
        <f t="shared" si="2"/>
        <v>31.051656746031746</v>
      </c>
      <c r="N11" s="229">
        <f t="shared" si="2"/>
        <v>31.172619047619051</v>
      </c>
      <c r="O11" s="229">
        <f t="shared" si="2"/>
        <v>29.633363095238096</v>
      </c>
      <c r="P11" s="229">
        <f t="shared" si="2"/>
        <v>28.110148809523814</v>
      </c>
      <c r="Q11" s="229">
        <f t="shared" si="2"/>
        <v>31.100952380952378</v>
      </c>
      <c r="R11" s="229">
        <f t="shared" si="2"/>
        <v>32.430664682539678</v>
      </c>
      <c r="S11" s="229">
        <f t="shared" si="2"/>
        <v>32.796994047619037</v>
      </c>
      <c r="T11" s="229">
        <f t="shared" si="2"/>
        <v>33.76994047619047</v>
      </c>
      <c r="U11" s="229">
        <f t="shared" si="2"/>
        <v>34.66257936507936</v>
      </c>
      <c r="V11" s="229">
        <f t="shared" si="2"/>
        <v>35.010009920634914</v>
      </c>
      <c r="W11" s="229">
        <f t="shared" si="2"/>
        <v>35.572886904761901</v>
      </c>
      <c r="X11" s="229">
        <f t="shared" si="2"/>
        <v>36.332787698412687</v>
      </c>
      <c r="Y11" s="5" t="s">
        <v>59</v>
      </c>
    </row>
    <row r="12" spans="1:34" x14ac:dyDescent="0.25">
      <c r="B12" t="s">
        <v>60</v>
      </c>
      <c r="I12" s="229">
        <f>$AB$14*(1+(($Y$17)*$A13))-H$6</f>
        <v>31.564047619047614</v>
      </c>
      <c r="J12" s="229">
        <f t="shared" ref="J12:X12" si="3">$AB$14*(1+(($Y$17)*$A13))-I$6</f>
        <v>29.63167658730157</v>
      </c>
      <c r="K12" s="229">
        <f t="shared" si="3"/>
        <v>29.401815476190478</v>
      </c>
      <c r="L12" s="229">
        <f t="shared" si="3"/>
        <v>30.136140873015862</v>
      </c>
      <c r="M12" s="229">
        <f t="shared" si="3"/>
        <v>30.203958333333325</v>
      </c>
      <c r="N12" s="229">
        <f t="shared" si="3"/>
        <v>31.051656746031746</v>
      </c>
      <c r="O12" s="229">
        <f t="shared" si="3"/>
        <v>31.172619047619051</v>
      </c>
      <c r="P12" s="229">
        <f t="shared" si="3"/>
        <v>29.633363095238096</v>
      </c>
      <c r="Q12" s="229">
        <f t="shared" si="3"/>
        <v>28.110148809523814</v>
      </c>
      <c r="R12" s="229">
        <f t="shared" si="3"/>
        <v>31.100952380952378</v>
      </c>
      <c r="S12" s="229">
        <f t="shared" si="3"/>
        <v>32.430664682539678</v>
      </c>
      <c r="T12" s="229">
        <f t="shared" si="3"/>
        <v>32.796994047619037</v>
      </c>
      <c r="U12" s="229">
        <f t="shared" si="3"/>
        <v>33.76994047619047</v>
      </c>
      <c r="V12" s="229">
        <f t="shared" si="3"/>
        <v>34.66257936507936</v>
      </c>
      <c r="W12" s="229">
        <f t="shared" si="3"/>
        <v>35.010009920634914</v>
      </c>
      <c r="X12" s="229">
        <f t="shared" si="3"/>
        <v>35.572886904761901</v>
      </c>
      <c r="Y12" s="6"/>
    </row>
    <row r="13" spans="1:34" x14ac:dyDescent="0.25">
      <c r="A13">
        <v>1</v>
      </c>
      <c r="B13" t="s">
        <v>61</v>
      </c>
      <c r="I13" s="229"/>
      <c r="J13" s="229">
        <f>$AB$14*(1+(($Y$17)*$A14))-I$6</f>
        <v>29.63167658730157</v>
      </c>
      <c r="K13" s="229">
        <f t="shared" ref="K13:K14" si="4">$AB$14*(1+(($Y$17)*$A14))-J$6</f>
        <v>29.401815476190478</v>
      </c>
      <c r="L13" s="229">
        <f t="shared" ref="L13:L15" si="5">$AB$14*(1+(($Y$17)*$A14))-K$6</f>
        <v>30.136140873015862</v>
      </c>
      <c r="M13" s="229">
        <f t="shared" ref="M13:M16" si="6">$AB$14*(1+(($Y$17)*$A14))-L$6</f>
        <v>30.203958333333325</v>
      </c>
      <c r="N13" s="229">
        <f t="shared" ref="N13:N17" si="7">$AB$14*(1+(($Y$17)*$A14))-M$6</f>
        <v>31.051656746031746</v>
      </c>
      <c r="O13" s="229">
        <f t="shared" ref="O13:O18" si="8">$AB$14*(1+(($Y$17)*$A14))-N$6</f>
        <v>31.172619047619051</v>
      </c>
      <c r="P13" s="229">
        <f t="shared" ref="P13:P19" si="9">$AB$14*(1+(($Y$17)*$A14))-O$6</f>
        <v>29.633363095238096</v>
      </c>
      <c r="Q13" s="229">
        <f t="shared" ref="Q13:Q20" si="10">$AB$14*(1+(($Y$17)*$A14))-P$6</f>
        <v>28.110148809523814</v>
      </c>
      <c r="R13" s="229">
        <f t="shared" ref="R13:R21" si="11">$AB$14*(1+(($Y$17)*$A14))-Q$6</f>
        <v>31.100952380952378</v>
      </c>
      <c r="S13" s="229">
        <f t="shared" ref="S13:S22" si="12">$AB$14*(1+(($Y$17)*$A14))-R$6</f>
        <v>32.430664682539678</v>
      </c>
      <c r="T13" s="229">
        <f t="shared" ref="T13:T23" si="13">$AB$14*(1+(($Y$17)*$A14))-S$6</f>
        <v>32.796994047619037</v>
      </c>
      <c r="U13" s="229">
        <f t="shared" ref="U13:U24" si="14">$AB$14*(1+(($Y$17)*$A14))-T$6</f>
        <v>33.76994047619047</v>
      </c>
      <c r="V13" s="229">
        <f t="shared" ref="V13:V25" si="15">$AB$14*(1+(($Y$17)*$A14))-U$6</f>
        <v>34.66257936507936</v>
      </c>
      <c r="W13" s="229">
        <f t="shared" ref="W13:W26" si="16">$AB$14*(1+(($Y$17)*$A14))-V$6</f>
        <v>35.010009920634914</v>
      </c>
      <c r="X13" s="229">
        <f t="shared" ref="X13:X27" si="17">$AB$14*(1+(($Y$17)*$A14))-W$6</f>
        <v>35.572886904761901</v>
      </c>
      <c r="Y13" s="6" t="s">
        <v>350</v>
      </c>
      <c r="Z13" s="6" t="s">
        <v>351</v>
      </c>
      <c r="AA13" s="6" t="s">
        <v>352</v>
      </c>
      <c r="AB13" s="6" t="s">
        <v>354</v>
      </c>
    </row>
    <row r="14" spans="1:34" x14ac:dyDescent="0.25">
      <c r="A14">
        <v>2</v>
      </c>
      <c r="B14" t="s">
        <v>62</v>
      </c>
      <c r="I14" s="229"/>
      <c r="J14" s="229"/>
      <c r="K14" s="229">
        <f t="shared" si="4"/>
        <v>29.401815476190478</v>
      </c>
      <c r="L14" s="229">
        <f t="shared" si="5"/>
        <v>30.136140873015862</v>
      </c>
      <c r="M14" s="229">
        <f t="shared" si="6"/>
        <v>30.203958333333325</v>
      </c>
      <c r="N14" s="229">
        <f t="shared" si="7"/>
        <v>31.051656746031746</v>
      </c>
      <c r="O14" s="229">
        <f t="shared" si="8"/>
        <v>31.172619047619051</v>
      </c>
      <c r="P14" s="229">
        <f t="shared" si="9"/>
        <v>29.633363095238096</v>
      </c>
      <c r="Q14" s="229">
        <f t="shared" si="10"/>
        <v>28.110148809523814</v>
      </c>
      <c r="R14" s="229">
        <f t="shared" si="11"/>
        <v>31.100952380952378</v>
      </c>
      <c r="S14" s="229">
        <f t="shared" si="12"/>
        <v>32.430664682539678</v>
      </c>
      <c r="T14" s="229">
        <f t="shared" si="13"/>
        <v>32.796994047619037</v>
      </c>
      <c r="U14" s="229">
        <f t="shared" si="14"/>
        <v>33.76994047619047</v>
      </c>
      <c r="V14" s="229">
        <f t="shared" si="15"/>
        <v>34.66257936507936</v>
      </c>
      <c r="W14" s="229">
        <f t="shared" si="16"/>
        <v>35.010009920634914</v>
      </c>
      <c r="X14" s="229">
        <f t="shared" si="17"/>
        <v>35.572886904761901</v>
      </c>
      <c r="Y14" s="307">
        <v>0</v>
      </c>
      <c r="Z14" s="307">
        <v>69.959999999999994</v>
      </c>
      <c r="AA14" s="307">
        <v>76.349999999999994</v>
      </c>
      <c r="AB14" s="307">
        <f>AA14</f>
        <v>76.349999999999994</v>
      </c>
    </row>
    <row r="15" spans="1:34" x14ac:dyDescent="0.25">
      <c r="A15">
        <v>3</v>
      </c>
      <c r="B15" t="s">
        <v>63</v>
      </c>
      <c r="I15" s="229"/>
      <c r="J15" s="229"/>
      <c r="K15" s="229"/>
      <c r="L15" s="229">
        <f t="shared" si="5"/>
        <v>30.136140873015862</v>
      </c>
      <c r="M15" s="229">
        <f t="shared" si="6"/>
        <v>30.203958333333325</v>
      </c>
      <c r="N15" s="229">
        <f t="shared" si="7"/>
        <v>31.051656746031746</v>
      </c>
      <c r="O15" s="229">
        <f t="shared" si="8"/>
        <v>31.172619047619051</v>
      </c>
      <c r="P15" s="229">
        <f t="shared" si="9"/>
        <v>29.633363095238096</v>
      </c>
      <c r="Q15" s="229">
        <f t="shared" si="10"/>
        <v>28.110148809523814</v>
      </c>
      <c r="R15" s="229">
        <f t="shared" si="11"/>
        <v>31.100952380952378</v>
      </c>
      <c r="S15" s="229">
        <f t="shared" si="12"/>
        <v>32.430664682539678</v>
      </c>
      <c r="T15" s="229">
        <f t="shared" si="13"/>
        <v>32.796994047619037</v>
      </c>
      <c r="U15" s="229">
        <f t="shared" si="14"/>
        <v>33.76994047619047</v>
      </c>
      <c r="V15" s="229">
        <f t="shared" si="15"/>
        <v>34.66257936507936</v>
      </c>
      <c r="W15" s="229">
        <f t="shared" si="16"/>
        <v>35.010009920634914</v>
      </c>
      <c r="X15" s="229">
        <f t="shared" si="17"/>
        <v>35.572886904761901</v>
      </c>
      <c r="Y15" s="6"/>
    </row>
    <row r="16" spans="1:34" x14ac:dyDescent="0.25">
      <c r="A16">
        <v>4</v>
      </c>
      <c r="B16" t="s">
        <v>64</v>
      </c>
      <c r="I16" s="229"/>
      <c r="J16" s="229"/>
      <c r="K16" s="229"/>
      <c r="L16" s="229"/>
      <c r="M16" s="229">
        <f t="shared" si="6"/>
        <v>30.203958333333325</v>
      </c>
      <c r="N16" s="229">
        <f t="shared" si="7"/>
        <v>31.051656746031746</v>
      </c>
      <c r="O16" s="229">
        <f t="shared" si="8"/>
        <v>31.172619047619051</v>
      </c>
      <c r="P16" s="229">
        <f t="shared" si="9"/>
        <v>29.633363095238096</v>
      </c>
      <c r="Q16" s="229">
        <f t="shared" si="10"/>
        <v>28.110148809523814</v>
      </c>
      <c r="R16" s="229">
        <f t="shared" si="11"/>
        <v>31.100952380952378</v>
      </c>
      <c r="S16" s="229">
        <f t="shared" si="12"/>
        <v>32.430664682539678</v>
      </c>
      <c r="T16" s="229">
        <f t="shared" si="13"/>
        <v>32.796994047619037</v>
      </c>
      <c r="U16" s="229">
        <f t="shared" si="14"/>
        <v>33.76994047619047</v>
      </c>
      <c r="V16" s="229">
        <f t="shared" si="15"/>
        <v>34.66257936507936</v>
      </c>
      <c r="W16" s="229">
        <f t="shared" si="16"/>
        <v>35.010009920634914</v>
      </c>
      <c r="X16" s="229">
        <f t="shared" si="17"/>
        <v>35.572886904761901</v>
      </c>
      <c r="Y16" s="6" t="s">
        <v>355</v>
      </c>
    </row>
    <row r="17" spans="1:25" x14ac:dyDescent="0.25">
      <c r="A17">
        <v>5</v>
      </c>
      <c r="B17" t="s">
        <v>65</v>
      </c>
      <c r="I17" s="229"/>
      <c r="J17" s="229"/>
      <c r="K17" s="229"/>
      <c r="L17" s="229"/>
      <c r="M17" s="229"/>
      <c r="N17" s="229">
        <f t="shared" si="7"/>
        <v>31.051656746031746</v>
      </c>
      <c r="O17" s="229">
        <f t="shared" si="8"/>
        <v>31.172619047619051</v>
      </c>
      <c r="P17" s="229">
        <f t="shared" si="9"/>
        <v>29.633363095238096</v>
      </c>
      <c r="Q17" s="229">
        <f t="shared" si="10"/>
        <v>28.110148809523814</v>
      </c>
      <c r="R17" s="229">
        <f t="shared" si="11"/>
        <v>31.100952380952378</v>
      </c>
      <c r="S17" s="229">
        <f t="shared" si="12"/>
        <v>32.430664682539678</v>
      </c>
      <c r="T17" s="229">
        <f t="shared" si="13"/>
        <v>32.796994047619037</v>
      </c>
      <c r="U17" s="229">
        <f t="shared" si="14"/>
        <v>33.76994047619047</v>
      </c>
      <c r="V17" s="229">
        <f t="shared" si="15"/>
        <v>34.66257936507936</v>
      </c>
      <c r="W17" s="229">
        <f t="shared" si="16"/>
        <v>35.010009920634914</v>
      </c>
      <c r="X17" s="229">
        <f t="shared" si="17"/>
        <v>35.572886904761901</v>
      </c>
      <c r="Y17" s="303">
        <v>0</v>
      </c>
    </row>
    <row r="18" spans="1:25" x14ac:dyDescent="0.25">
      <c r="A18">
        <v>6</v>
      </c>
      <c r="B18" t="s">
        <v>66</v>
      </c>
      <c r="I18" s="229"/>
      <c r="J18" s="229"/>
      <c r="K18" s="229"/>
      <c r="L18" s="229"/>
      <c r="M18" s="229"/>
      <c r="N18" s="229"/>
      <c r="O18" s="229">
        <f t="shared" si="8"/>
        <v>31.172619047619051</v>
      </c>
      <c r="P18" s="229">
        <f t="shared" si="9"/>
        <v>29.633363095238096</v>
      </c>
      <c r="Q18" s="229">
        <f t="shared" si="10"/>
        <v>28.110148809523814</v>
      </c>
      <c r="R18" s="229">
        <f t="shared" si="11"/>
        <v>31.100952380952378</v>
      </c>
      <c r="S18" s="229">
        <f t="shared" si="12"/>
        <v>32.430664682539678</v>
      </c>
      <c r="T18" s="229">
        <f t="shared" si="13"/>
        <v>32.796994047619037</v>
      </c>
      <c r="U18" s="229">
        <f t="shared" si="14"/>
        <v>33.76994047619047</v>
      </c>
      <c r="V18" s="229">
        <f t="shared" si="15"/>
        <v>34.66257936507936</v>
      </c>
      <c r="W18" s="229">
        <f t="shared" si="16"/>
        <v>35.010009920634914</v>
      </c>
      <c r="X18" s="229">
        <f t="shared" si="17"/>
        <v>35.572886904761901</v>
      </c>
    </row>
    <row r="19" spans="1:25" x14ac:dyDescent="0.25">
      <c r="A19">
        <v>7</v>
      </c>
      <c r="B19" t="s">
        <v>67</v>
      </c>
      <c r="I19" s="229"/>
      <c r="J19" s="229"/>
      <c r="K19" s="229"/>
      <c r="L19" s="229"/>
      <c r="M19" s="229"/>
      <c r="N19" s="229"/>
      <c r="O19" s="229"/>
      <c r="P19" s="229">
        <f t="shared" si="9"/>
        <v>29.633363095238096</v>
      </c>
      <c r="Q19" s="229">
        <f t="shared" si="10"/>
        <v>28.110148809523814</v>
      </c>
      <c r="R19" s="229">
        <f t="shared" si="11"/>
        <v>31.100952380952378</v>
      </c>
      <c r="S19" s="229">
        <f t="shared" si="12"/>
        <v>32.430664682539678</v>
      </c>
      <c r="T19" s="229">
        <f t="shared" si="13"/>
        <v>32.796994047619037</v>
      </c>
      <c r="U19" s="229">
        <f t="shared" si="14"/>
        <v>33.76994047619047</v>
      </c>
      <c r="V19" s="229">
        <f t="shared" si="15"/>
        <v>34.66257936507936</v>
      </c>
      <c r="W19" s="229">
        <f t="shared" si="16"/>
        <v>35.010009920634914</v>
      </c>
      <c r="X19" s="229">
        <f t="shared" si="17"/>
        <v>35.572886904761901</v>
      </c>
    </row>
    <row r="20" spans="1:25" x14ac:dyDescent="0.25">
      <c r="A20">
        <v>8</v>
      </c>
      <c r="B20" t="s">
        <v>68</v>
      </c>
      <c r="I20" s="229"/>
      <c r="J20" s="229"/>
      <c r="K20" s="229"/>
      <c r="L20" s="229"/>
      <c r="M20" s="229"/>
      <c r="N20" s="229"/>
      <c r="O20" s="229"/>
      <c r="P20" s="229"/>
      <c r="Q20" s="229">
        <f t="shared" si="10"/>
        <v>28.110148809523814</v>
      </c>
      <c r="R20" s="229">
        <f t="shared" si="11"/>
        <v>31.100952380952378</v>
      </c>
      <c r="S20" s="229">
        <f t="shared" si="12"/>
        <v>32.430664682539678</v>
      </c>
      <c r="T20" s="229">
        <f t="shared" si="13"/>
        <v>32.796994047619037</v>
      </c>
      <c r="U20" s="229">
        <f t="shared" si="14"/>
        <v>33.76994047619047</v>
      </c>
      <c r="V20" s="229">
        <f t="shared" si="15"/>
        <v>34.66257936507936</v>
      </c>
      <c r="W20" s="229">
        <f t="shared" si="16"/>
        <v>35.010009920634914</v>
      </c>
      <c r="X20" s="229">
        <f t="shared" si="17"/>
        <v>35.572886904761901</v>
      </c>
    </row>
    <row r="21" spans="1:25" x14ac:dyDescent="0.25">
      <c r="A21">
        <v>9</v>
      </c>
      <c r="B21" t="s">
        <v>69</v>
      </c>
      <c r="I21" s="229"/>
      <c r="J21" s="229"/>
      <c r="K21" s="229"/>
      <c r="L21" s="229"/>
      <c r="M21" s="229"/>
      <c r="N21" s="229"/>
      <c r="O21" s="229"/>
      <c r="P21" s="229"/>
      <c r="Q21" s="229"/>
      <c r="R21" s="229">
        <f t="shared" si="11"/>
        <v>31.100952380952378</v>
      </c>
      <c r="S21" s="229">
        <f t="shared" si="12"/>
        <v>32.430664682539678</v>
      </c>
      <c r="T21" s="229">
        <f t="shared" si="13"/>
        <v>32.796994047619037</v>
      </c>
      <c r="U21" s="229">
        <f t="shared" si="14"/>
        <v>33.76994047619047</v>
      </c>
      <c r="V21" s="229">
        <f t="shared" si="15"/>
        <v>34.66257936507936</v>
      </c>
      <c r="W21" s="229">
        <f t="shared" si="16"/>
        <v>35.010009920634914</v>
      </c>
      <c r="X21" s="229">
        <f t="shared" si="17"/>
        <v>35.572886904761901</v>
      </c>
    </row>
    <row r="22" spans="1:25" x14ac:dyDescent="0.25">
      <c r="A22">
        <v>10</v>
      </c>
      <c r="B22" t="s">
        <v>70</v>
      </c>
      <c r="I22" s="229"/>
      <c r="J22" s="229"/>
      <c r="K22" s="229"/>
      <c r="L22" s="229"/>
      <c r="M22" s="229"/>
      <c r="N22" s="229"/>
      <c r="O22" s="229"/>
      <c r="P22" s="229"/>
      <c r="Q22" s="229"/>
      <c r="R22" s="229"/>
      <c r="S22" s="229">
        <f t="shared" si="12"/>
        <v>32.430664682539678</v>
      </c>
      <c r="T22" s="229">
        <f t="shared" si="13"/>
        <v>32.796994047619037</v>
      </c>
      <c r="U22" s="229">
        <f t="shared" si="14"/>
        <v>33.76994047619047</v>
      </c>
      <c r="V22" s="229">
        <f t="shared" si="15"/>
        <v>34.66257936507936</v>
      </c>
      <c r="W22" s="229">
        <f t="shared" si="16"/>
        <v>35.010009920634914</v>
      </c>
      <c r="X22" s="229">
        <f t="shared" si="17"/>
        <v>35.572886904761901</v>
      </c>
    </row>
    <row r="23" spans="1:25" x14ac:dyDescent="0.25">
      <c r="A23">
        <v>11</v>
      </c>
      <c r="B23" t="s">
        <v>71</v>
      </c>
      <c r="I23" s="229"/>
      <c r="J23" s="229"/>
      <c r="K23" s="229"/>
      <c r="L23" s="229"/>
      <c r="M23" s="229"/>
      <c r="N23" s="229"/>
      <c r="O23" s="229"/>
      <c r="P23" s="229"/>
      <c r="Q23" s="229"/>
      <c r="R23" s="229"/>
      <c r="S23" s="229"/>
      <c r="T23" s="229">
        <f t="shared" si="13"/>
        <v>32.796994047619037</v>
      </c>
      <c r="U23" s="229">
        <f t="shared" si="14"/>
        <v>33.76994047619047</v>
      </c>
      <c r="V23" s="229">
        <f t="shared" si="15"/>
        <v>34.66257936507936</v>
      </c>
      <c r="W23" s="229">
        <f t="shared" si="16"/>
        <v>35.010009920634914</v>
      </c>
      <c r="X23" s="229">
        <f t="shared" si="17"/>
        <v>35.572886904761901</v>
      </c>
    </row>
    <row r="24" spans="1:25" x14ac:dyDescent="0.25">
      <c r="A24">
        <v>12</v>
      </c>
      <c r="B24" t="s">
        <v>72</v>
      </c>
      <c r="I24" s="229"/>
      <c r="J24" s="229"/>
      <c r="K24" s="229"/>
      <c r="L24" s="229"/>
      <c r="M24" s="229"/>
      <c r="N24" s="229"/>
      <c r="O24" s="229"/>
      <c r="P24" s="229"/>
      <c r="Q24" s="229"/>
      <c r="R24" s="229"/>
      <c r="S24" s="229"/>
      <c r="T24" s="229"/>
      <c r="U24" s="229">
        <f t="shared" si="14"/>
        <v>33.76994047619047</v>
      </c>
      <c r="V24" s="229">
        <f t="shared" si="15"/>
        <v>34.66257936507936</v>
      </c>
      <c r="W24" s="229">
        <f t="shared" si="16"/>
        <v>35.010009920634914</v>
      </c>
      <c r="X24" s="229">
        <f t="shared" si="17"/>
        <v>35.572886904761901</v>
      </c>
    </row>
    <row r="25" spans="1:25" x14ac:dyDescent="0.25">
      <c r="A25">
        <v>13</v>
      </c>
      <c r="B25" t="s">
        <v>73</v>
      </c>
      <c r="I25" s="229"/>
      <c r="J25" s="229"/>
      <c r="K25" s="229"/>
      <c r="L25" s="229"/>
      <c r="M25" s="229"/>
      <c r="N25" s="229"/>
      <c r="O25" s="229"/>
      <c r="P25" s="229"/>
      <c r="Q25" s="229"/>
      <c r="R25" s="229"/>
      <c r="S25" s="229"/>
      <c r="T25" s="229"/>
      <c r="U25" s="229"/>
      <c r="V25" s="229">
        <f t="shared" si="15"/>
        <v>34.66257936507936</v>
      </c>
      <c r="W25" s="229">
        <f t="shared" si="16"/>
        <v>35.010009920634914</v>
      </c>
      <c r="X25" s="229">
        <f t="shared" si="17"/>
        <v>35.572886904761901</v>
      </c>
    </row>
    <row r="26" spans="1:25" x14ac:dyDescent="0.25">
      <c r="A26">
        <v>14</v>
      </c>
      <c r="B26" t="s">
        <v>74</v>
      </c>
      <c r="I26" s="229"/>
      <c r="J26" s="229"/>
      <c r="K26" s="229"/>
      <c r="L26" s="229"/>
      <c r="M26" s="229"/>
      <c r="N26" s="229"/>
      <c r="O26" s="229"/>
      <c r="P26" s="229"/>
      <c r="Q26" s="229"/>
      <c r="R26" s="229"/>
      <c r="S26" s="229"/>
      <c r="T26" s="229"/>
      <c r="U26" s="229"/>
      <c r="V26" s="229"/>
      <c r="W26" s="229">
        <f t="shared" si="16"/>
        <v>35.010009920634914</v>
      </c>
      <c r="X26" s="229">
        <f t="shared" si="17"/>
        <v>35.572886904761901</v>
      </c>
    </row>
    <row r="27" spans="1:25" x14ac:dyDescent="0.25">
      <c r="A27">
        <v>15</v>
      </c>
      <c r="B27" t="s">
        <v>75</v>
      </c>
      <c r="I27" s="229"/>
      <c r="J27" s="229"/>
      <c r="K27" s="229"/>
      <c r="L27" s="229"/>
      <c r="M27" s="229"/>
      <c r="N27" s="229"/>
      <c r="O27" s="229"/>
      <c r="P27" s="229"/>
      <c r="Q27" s="229"/>
      <c r="R27" s="229"/>
      <c r="S27" s="229"/>
      <c r="T27" s="229"/>
      <c r="U27" s="229"/>
      <c r="V27" s="229"/>
      <c r="W27" s="229"/>
      <c r="X27" s="229">
        <f t="shared" si="17"/>
        <v>35.572886904761901</v>
      </c>
    </row>
    <row r="28" spans="1:25" x14ac:dyDescent="0.25">
      <c r="X28" s="4"/>
    </row>
    <row r="30" spans="1:25" x14ac:dyDescent="0.25">
      <c r="B30" s="1" t="s">
        <v>76</v>
      </c>
    </row>
    <row r="31" spans="1:25" x14ac:dyDescent="0.25">
      <c r="C31" t="s">
        <v>1</v>
      </c>
    </row>
    <row r="32" spans="1:25" ht="18.75" x14ac:dyDescent="0.25">
      <c r="C32" s="2">
        <v>2022</v>
      </c>
      <c r="D32" s="2">
        <v>2023</v>
      </c>
      <c r="E32" s="2">
        <v>2024</v>
      </c>
      <c r="F32" s="2">
        <v>2025</v>
      </c>
      <c r="G32" s="2">
        <v>2026</v>
      </c>
      <c r="H32" s="2">
        <v>2027</v>
      </c>
      <c r="I32" s="2">
        <v>2028</v>
      </c>
      <c r="J32" s="2">
        <v>2029</v>
      </c>
      <c r="K32" s="2">
        <v>2030</v>
      </c>
      <c r="L32" s="2">
        <v>2031</v>
      </c>
      <c r="M32" s="2">
        <v>2032</v>
      </c>
      <c r="N32" s="2">
        <v>2033</v>
      </c>
      <c r="O32" s="2">
        <v>2034</v>
      </c>
      <c r="P32" s="2">
        <v>2035</v>
      </c>
      <c r="Q32" s="2">
        <v>2036</v>
      </c>
      <c r="R32" s="2">
        <v>2037</v>
      </c>
      <c r="S32" s="2">
        <v>2038</v>
      </c>
      <c r="T32" s="2">
        <v>2039</v>
      </c>
      <c r="U32" s="2">
        <v>2040</v>
      </c>
      <c r="V32" s="2">
        <v>2041</v>
      </c>
      <c r="W32" s="2">
        <v>2042</v>
      </c>
      <c r="X32" s="160">
        <v>2043</v>
      </c>
    </row>
    <row r="33" spans="1:28" x14ac:dyDescent="0.25">
      <c r="B33" t="s">
        <v>55</v>
      </c>
      <c r="C33" s="3"/>
      <c r="D33" s="87">
        <f t="shared" ref="D33:X33" si="18">D1*(1+D2)</f>
        <v>0</v>
      </c>
      <c r="E33" s="87">
        <f t="shared" si="18"/>
        <v>0</v>
      </c>
      <c r="F33" s="87">
        <f t="shared" si="18"/>
        <v>38.285482503607497</v>
      </c>
      <c r="G33" s="87">
        <f t="shared" si="18"/>
        <v>41.572490079365082</v>
      </c>
      <c r="H33" s="87">
        <f t="shared" si="18"/>
        <v>44.785952380952381</v>
      </c>
      <c r="I33" s="87">
        <f t="shared" si="18"/>
        <v>46.718323412698425</v>
      </c>
      <c r="J33" s="87">
        <f t="shared" si="18"/>
        <v>46.948184523809516</v>
      </c>
      <c r="K33" s="87">
        <f t="shared" si="18"/>
        <v>46.213859126984133</v>
      </c>
      <c r="L33" s="87">
        <f t="shared" si="18"/>
        <v>46.146041666666669</v>
      </c>
      <c r="M33" s="87">
        <f t="shared" si="18"/>
        <v>45.298343253968248</v>
      </c>
      <c r="N33" s="87">
        <f t="shared" si="18"/>
        <v>45.177380952380943</v>
      </c>
      <c r="O33" s="87">
        <f t="shared" si="18"/>
        <v>46.716636904761899</v>
      </c>
      <c r="P33" s="87">
        <f t="shared" si="18"/>
        <v>48.23985119047618</v>
      </c>
      <c r="Q33" s="87">
        <f t="shared" si="18"/>
        <v>45.249047619047616</v>
      </c>
      <c r="R33" s="87">
        <f t="shared" si="18"/>
        <v>43.919335317460316</v>
      </c>
      <c r="S33" s="87">
        <f t="shared" si="18"/>
        <v>43.553005952380957</v>
      </c>
      <c r="T33" s="87">
        <f t="shared" si="18"/>
        <v>42.580059523809524</v>
      </c>
      <c r="U33" s="87">
        <f t="shared" si="18"/>
        <v>41.687420634920635</v>
      </c>
      <c r="V33" s="87">
        <f t="shared" si="18"/>
        <v>41.33999007936508</v>
      </c>
      <c r="W33" s="87">
        <f t="shared" si="18"/>
        <v>40.777113095238093</v>
      </c>
      <c r="X33" s="87">
        <f t="shared" si="18"/>
        <v>40.017212301587307</v>
      </c>
    </row>
    <row r="36" spans="1:28" x14ac:dyDescent="0.25">
      <c r="B36" t="s">
        <v>56</v>
      </c>
      <c r="F36" s="229">
        <f>$Y$41-F33</f>
        <v>31.504517496392509</v>
      </c>
      <c r="G36" s="4">
        <f t="shared" ref="G36:X36" si="19">$Y$41-G33</f>
        <v>28.217509920634924</v>
      </c>
      <c r="H36" s="4">
        <f t="shared" si="19"/>
        <v>25.004047619047626</v>
      </c>
      <c r="I36" s="4">
        <f t="shared" si="19"/>
        <v>23.071676587301582</v>
      </c>
      <c r="J36" s="4">
        <f t="shared" si="19"/>
        <v>22.84181547619049</v>
      </c>
      <c r="K36" s="4">
        <f t="shared" si="19"/>
        <v>23.576140873015873</v>
      </c>
      <c r="L36" s="4">
        <f t="shared" si="19"/>
        <v>23.643958333333337</v>
      </c>
      <c r="M36" s="4">
        <f t="shared" si="19"/>
        <v>24.491656746031758</v>
      </c>
      <c r="N36" s="4">
        <f t="shared" si="19"/>
        <v>24.612619047619063</v>
      </c>
      <c r="O36" s="4">
        <f t="shared" si="19"/>
        <v>23.073363095238108</v>
      </c>
      <c r="P36" s="4">
        <f t="shared" si="19"/>
        <v>21.550148809523826</v>
      </c>
      <c r="Q36" s="4">
        <f t="shared" si="19"/>
        <v>24.54095238095239</v>
      </c>
      <c r="R36" s="4">
        <f t="shared" si="19"/>
        <v>25.87066468253969</v>
      </c>
      <c r="S36" s="4">
        <f t="shared" si="19"/>
        <v>26.236994047619049</v>
      </c>
      <c r="T36" s="4">
        <f t="shared" si="19"/>
        <v>27.209940476190482</v>
      </c>
      <c r="U36" s="4">
        <f t="shared" si="19"/>
        <v>28.102579365079372</v>
      </c>
      <c r="V36" s="4">
        <f t="shared" si="19"/>
        <v>28.450009920634926</v>
      </c>
      <c r="W36" s="4">
        <f t="shared" si="19"/>
        <v>29.012886904761913</v>
      </c>
      <c r="X36" s="4">
        <f t="shared" si="19"/>
        <v>29.772787698412699</v>
      </c>
    </row>
    <row r="37" spans="1:28" ht="15.75" thickBot="1" x14ac:dyDescent="0.3">
      <c r="B37" t="s">
        <v>57</v>
      </c>
      <c r="G37" s="229">
        <f>($Z$41-G$33)</f>
        <v>30.897509920634917</v>
      </c>
      <c r="H37" s="229">
        <f t="shared" ref="H37:X37" si="20">($Z$41-H$33)</f>
        <v>27.684047619047618</v>
      </c>
      <c r="I37" s="229">
        <f t="shared" si="20"/>
        <v>25.751676587301574</v>
      </c>
      <c r="J37" s="229">
        <f t="shared" si="20"/>
        <v>25.521815476190483</v>
      </c>
      <c r="K37" s="229">
        <f t="shared" si="20"/>
        <v>26.256140873015866</v>
      </c>
      <c r="L37" s="229">
        <f t="shared" si="20"/>
        <v>26.32395833333333</v>
      </c>
      <c r="M37" s="229">
        <f t="shared" si="20"/>
        <v>27.171656746031751</v>
      </c>
      <c r="N37" s="229">
        <f t="shared" si="20"/>
        <v>27.292619047619056</v>
      </c>
      <c r="O37" s="229">
        <f t="shared" si="20"/>
        <v>25.7533630952381</v>
      </c>
      <c r="P37" s="229">
        <f t="shared" si="20"/>
        <v>24.230148809523818</v>
      </c>
      <c r="Q37" s="229">
        <f t="shared" si="20"/>
        <v>27.220952380952383</v>
      </c>
      <c r="R37" s="229">
        <f t="shared" si="20"/>
        <v>28.550664682539683</v>
      </c>
      <c r="S37" s="229">
        <f t="shared" si="20"/>
        <v>28.916994047619042</v>
      </c>
      <c r="T37" s="229">
        <f t="shared" si="20"/>
        <v>29.889940476190475</v>
      </c>
      <c r="U37" s="229">
        <f t="shared" si="20"/>
        <v>30.782579365079364</v>
      </c>
      <c r="V37" s="229">
        <f t="shared" si="20"/>
        <v>31.130009920634919</v>
      </c>
      <c r="W37" s="229">
        <f t="shared" si="20"/>
        <v>31.692886904761906</v>
      </c>
      <c r="X37" s="229">
        <f t="shared" si="20"/>
        <v>32.452787698412692</v>
      </c>
    </row>
    <row r="38" spans="1:28" x14ac:dyDescent="0.25">
      <c r="B38" t="s">
        <v>58</v>
      </c>
      <c r="H38" s="229">
        <f>($AA$41-H$33)</f>
        <v>30.574047619047619</v>
      </c>
      <c r="I38" s="229">
        <f>($AA$41-I$33)</f>
        <v>28.641676587301575</v>
      </c>
      <c r="J38" s="229">
        <f t="shared" ref="J38:X38" si="21">($AA$41-J$33)</f>
        <v>28.411815476190483</v>
      </c>
      <c r="K38" s="229">
        <f t="shared" si="21"/>
        <v>29.146140873015867</v>
      </c>
      <c r="L38" s="229">
        <f t="shared" si="21"/>
        <v>29.213958333333331</v>
      </c>
      <c r="M38" s="229">
        <f t="shared" si="21"/>
        <v>30.061656746031751</v>
      </c>
      <c r="N38" s="229">
        <f t="shared" si="21"/>
        <v>30.182619047619056</v>
      </c>
      <c r="O38" s="229">
        <f t="shared" si="21"/>
        <v>28.643363095238101</v>
      </c>
      <c r="P38" s="229">
        <f t="shared" si="21"/>
        <v>27.120148809523819</v>
      </c>
      <c r="Q38" s="229">
        <f t="shared" si="21"/>
        <v>30.110952380952384</v>
      </c>
      <c r="R38" s="229">
        <f t="shared" si="21"/>
        <v>31.440664682539683</v>
      </c>
      <c r="S38" s="229">
        <f t="shared" si="21"/>
        <v>31.806994047619042</v>
      </c>
      <c r="T38" s="229">
        <f t="shared" si="21"/>
        <v>32.779940476190475</v>
      </c>
      <c r="U38" s="229">
        <f t="shared" si="21"/>
        <v>33.672579365079365</v>
      </c>
      <c r="V38" s="229">
        <f t="shared" si="21"/>
        <v>34.020009920634919</v>
      </c>
      <c r="W38" s="229">
        <f t="shared" si="21"/>
        <v>34.582886904761907</v>
      </c>
      <c r="X38" s="229">
        <f t="shared" si="21"/>
        <v>35.342787698412693</v>
      </c>
      <c r="Y38" s="5" t="s">
        <v>59</v>
      </c>
    </row>
    <row r="39" spans="1:28" x14ac:dyDescent="0.25">
      <c r="B39" t="s">
        <v>60</v>
      </c>
      <c r="I39" s="4">
        <f>($AB$41*(1+(($Y$44)*$A39))-I$33)</f>
        <v>28.641676587301575</v>
      </c>
      <c r="J39" s="4">
        <f t="shared" ref="J39:X39" si="22">($AB$41*(1+(($Y$44)*$A39))-J$33)</f>
        <v>28.411815476190483</v>
      </c>
      <c r="K39" s="4">
        <f t="shared" si="22"/>
        <v>29.146140873015867</v>
      </c>
      <c r="L39" s="4">
        <f t="shared" si="22"/>
        <v>29.213958333333331</v>
      </c>
      <c r="M39" s="4">
        <f t="shared" si="22"/>
        <v>30.061656746031751</v>
      </c>
      <c r="N39" s="4">
        <f t="shared" si="22"/>
        <v>30.182619047619056</v>
      </c>
      <c r="O39" s="4">
        <f t="shared" si="22"/>
        <v>28.643363095238101</v>
      </c>
      <c r="P39" s="4">
        <f t="shared" si="22"/>
        <v>27.120148809523819</v>
      </c>
      <c r="Q39" s="4">
        <f t="shared" si="22"/>
        <v>30.110952380952384</v>
      </c>
      <c r="R39" s="4">
        <f t="shared" si="22"/>
        <v>31.440664682539683</v>
      </c>
      <c r="S39" s="4">
        <f t="shared" si="22"/>
        <v>31.806994047619042</v>
      </c>
      <c r="T39" s="4">
        <f t="shared" si="22"/>
        <v>32.779940476190475</v>
      </c>
      <c r="U39" s="4">
        <f t="shared" si="22"/>
        <v>33.672579365079365</v>
      </c>
      <c r="V39" s="4">
        <f t="shared" si="22"/>
        <v>34.020009920634919</v>
      </c>
      <c r="W39" s="4">
        <f t="shared" si="22"/>
        <v>34.582886904761907</v>
      </c>
      <c r="X39" s="4">
        <f t="shared" si="22"/>
        <v>35.342787698412693</v>
      </c>
      <c r="Y39" s="6"/>
    </row>
    <row r="40" spans="1:28" x14ac:dyDescent="0.25">
      <c r="A40">
        <v>1</v>
      </c>
      <c r="B40" t="s">
        <v>61</v>
      </c>
      <c r="J40" s="229">
        <f t="shared" ref="J40:X40" si="23">($AB$41*(1+(($Y$44)*$A40))-J$33)</f>
        <v>28.411815476190483</v>
      </c>
      <c r="K40" s="229">
        <f t="shared" si="23"/>
        <v>29.146140873015867</v>
      </c>
      <c r="L40" s="229">
        <f t="shared" si="23"/>
        <v>29.213958333333331</v>
      </c>
      <c r="M40" s="229">
        <f t="shared" si="23"/>
        <v>30.061656746031751</v>
      </c>
      <c r="N40" s="229">
        <f t="shared" si="23"/>
        <v>30.182619047619056</v>
      </c>
      <c r="O40" s="229">
        <f t="shared" si="23"/>
        <v>28.643363095238101</v>
      </c>
      <c r="P40" s="229">
        <f t="shared" si="23"/>
        <v>27.120148809523819</v>
      </c>
      <c r="Q40" s="229">
        <f t="shared" si="23"/>
        <v>30.110952380952384</v>
      </c>
      <c r="R40" s="229">
        <f t="shared" si="23"/>
        <v>31.440664682539683</v>
      </c>
      <c r="S40" s="229">
        <f t="shared" si="23"/>
        <v>31.806994047619042</v>
      </c>
      <c r="T40" s="229">
        <f t="shared" si="23"/>
        <v>32.779940476190475</v>
      </c>
      <c r="U40" s="229">
        <f t="shared" si="23"/>
        <v>33.672579365079365</v>
      </c>
      <c r="V40" s="229">
        <f t="shared" si="23"/>
        <v>34.020009920634919</v>
      </c>
      <c r="W40" s="229">
        <f t="shared" si="23"/>
        <v>34.582886904761907</v>
      </c>
      <c r="X40" s="229">
        <f t="shared" si="23"/>
        <v>35.342787698412693</v>
      </c>
      <c r="Y40" s="6" t="s">
        <v>350</v>
      </c>
      <c r="Z40" s="6" t="s">
        <v>351</v>
      </c>
      <c r="AA40" s="6" t="s">
        <v>352</v>
      </c>
      <c r="AB40" s="6" t="s">
        <v>354</v>
      </c>
    </row>
    <row r="41" spans="1:28" x14ac:dyDescent="0.25">
      <c r="A41">
        <v>2</v>
      </c>
      <c r="B41" t="s">
        <v>62</v>
      </c>
      <c r="K41" s="229">
        <f t="shared" ref="K41:X41" si="24">($AB$41*(1+(($Y$44)*$A41))-K$33)</f>
        <v>29.146140873015867</v>
      </c>
      <c r="L41" s="229">
        <f t="shared" si="24"/>
        <v>29.213958333333331</v>
      </c>
      <c r="M41" s="229">
        <f t="shared" si="24"/>
        <v>30.061656746031751</v>
      </c>
      <c r="N41" s="229">
        <f t="shared" si="24"/>
        <v>30.182619047619056</v>
      </c>
      <c r="O41" s="229">
        <f t="shared" si="24"/>
        <v>28.643363095238101</v>
      </c>
      <c r="P41" s="229">
        <f t="shared" si="24"/>
        <v>27.120148809523819</v>
      </c>
      <c r="Q41" s="229">
        <f t="shared" si="24"/>
        <v>30.110952380952384</v>
      </c>
      <c r="R41" s="229">
        <f t="shared" si="24"/>
        <v>31.440664682539683</v>
      </c>
      <c r="S41" s="229">
        <f t="shared" si="24"/>
        <v>31.806994047619042</v>
      </c>
      <c r="T41" s="229">
        <f t="shared" si="24"/>
        <v>32.779940476190475</v>
      </c>
      <c r="U41" s="229">
        <f t="shared" si="24"/>
        <v>33.672579365079365</v>
      </c>
      <c r="V41" s="229">
        <f t="shared" si="24"/>
        <v>34.020009920634919</v>
      </c>
      <c r="W41" s="229">
        <f t="shared" si="24"/>
        <v>34.582886904761907</v>
      </c>
      <c r="X41" s="229">
        <f t="shared" si="24"/>
        <v>35.342787698412693</v>
      </c>
      <c r="Y41" s="307">
        <v>69.790000000000006</v>
      </c>
      <c r="Z41" s="307">
        <v>72.47</v>
      </c>
      <c r="AA41" s="307">
        <v>75.36</v>
      </c>
      <c r="AB41" s="307">
        <f>AA41</f>
        <v>75.36</v>
      </c>
    </row>
    <row r="42" spans="1:28" x14ac:dyDescent="0.25">
      <c r="A42">
        <v>3</v>
      </c>
      <c r="B42" t="s">
        <v>63</v>
      </c>
      <c r="L42" s="229">
        <f t="shared" ref="L42:X42" si="25">($AB$41*(1+(($Y$44)*$A42))-L$33)</f>
        <v>29.213958333333331</v>
      </c>
      <c r="M42" s="229">
        <f t="shared" si="25"/>
        <v>30.061656746031751</v>
      </c>
      <c r="N42" s="229">
        <f t="shared" si="25"/>
        <v>30.182619047619056</v>
      </c>
      <c r="O42" s="229">
        <f t="shared" si="25"/>
        <v>28.643363095238101</v>
      </c>
      <c r="P42" s="229">
        <f t="shared" si="25"/>
        <v>27.120148809523819</v>
      </c>
      <c r="Q42" s="229">
        <f t="shared" si="25"/>
        <v>30.110952380952384</v>
      </c>
      <c r="R42" s="229">
        <f t="shared" si="25"/>
        <v>31.440664682539683</v>
      </c>
      <c r="S42" s="229">
        <f t="shared" si="25"/>
        <v>31.806994047619042</v>
      </c>
      <c r="T42" s="229">
        <f t="shared" si="25"/>
        <v>32.779940476190475</v>
      </c>
      <c r="U42" s="229">
        <f t="shared" si="25"/>
        <v>33.672579365079365</v>
      </c>
      <c r="V42" s="229">
        <f t="shared" si="25"/>
        <v>34.020009920634919</v>
      </c>
      <c r="W42" s="229">
        <f t="shared" si="25"/>
        <v>34.582886904761907</v>
      </c>
      <c r="X42" s="229">
        <f t="shared" si="25"/>
        <v>35.342787698412693</v>
      </c>
      <c r="Y42" s="6"/>
    </row>
    <row r="43" spans="1:28" x14ac:dyDescent="0.25">
      <c r="A43">
        <v>4</v>
      </c>
      <c r="B43" t="s">
        <v>64</v>
      </c>
      <c r="M43" s="229">
        <f t="shared" ref="M43:X43" si="26">($AB$41*(1+(($Y$44)*$A43))-M$33)</f>
        <v>30.061656746031751</v>
      </c>
      <c r="N43" s="229">
        <f t="shared" si="26"/>
        <v>30.182619047619056</v>
      </c>
      <c r="O43" s="229">
        <f t="shared" si="26"/>
        <v>28.643363095238101</v>
      </c>
      <c r="P43" s="229">
        <f t="shared" si="26"/>
        <v>27.120148809523819</v>
      </c>
      <c r="Q43" s="229">
        <f t="shared" si="26"/>
        <v>30.110952380952384</v>
      </c>
      <c r="R43" s="229">
        <f t="shared" si="26"/>
        <v>31.440664682539683</v>
      </c>
      <c r="S43" s="229">
        <f t="shared" si="26"/>
        <v>31.806994047619042</v>
      </c>
      <c r="T43" s="229">
        <f t="shared" si="26"/>
        <v>32.779940476190475</v>
      </c>
      <c r="U43" s="229">
        <f t="shared" si="26"/>
        <v>33.672579365079365</v>
      </c>
      <c r="V43" s="229">
        <f t="shared" si="26"/>
        <v>34.020009920634919</v>
      </c>
      <c r="W43" s="229">
        <f t="shared" si="26"/>
        <v>34.582886904761907</v>
      </c>
      <c r="X43" s="229">
        <f t="shared" si="26"/>
        <v>35.342787698412693</v>
      </c>
      <c r="Y43" s="6" t="s">
        <v>356</v>
      </c>
    </row>
    <row r="44" spans="1:28" ht="15.75" thickBot="1" x14ac:dyDescent="0.3">
      <c r="A44">
        <v>5</v>
      </c>
      <c r="B44" t="s">
        <v>65</v>
      </c>
      <c r="M44" s="4"/>
      <c r="N44" s="229">
        <f>($AB$41*(1+(($Y$44)*$A44))-N$33)</f>
        <v>30.182619047619056</v>
      </c>
      <c r="O44" s="229">
        <f t="shared" ref="O44:X54" si="27">($AB$41*(1+(($Y$44)*$A44))-O$33)</f>
        <v>28.643363095238101</v>
      </c>
      <c r="P44" s="229">
        <f t="shared" si="27"/>
        <v>27.120148809523819</v>
      </c>
      <c r="Q44" s="229">
        <f t="shared" si="27"/>
        <v>30.110952380952384</v>
      </c>
      <c r="R44" s="229">
        <f t="shared" si="27"/>
        <v>31.440664682539683</v>
      </c>
      <c r="S44" s="229">
        <f t="shared" si="27"/>
        <v>31.806994047619042</v>
      </c>
      <c r="T44" s="229">
        <f t="shared" si="27"/>
        <v>32.779940476190475</v>
      </c>
      <c r="U44" s="229">
        <f t="shared" si="27"/>
        <v>33.672579365079365</v>
      </c>
      <c r="V44" s="229">
        <f t="shared" si="27"/>
        <v>34.020009920634919</v>
      </c>
      <c r="W44" s="229">
        <f t="shared" si="27"/>
        <v>34.582886904761907</v>
      </c>
      <c r="X44" s="229">
        <f t="shared" si="27"/>
        <v>35.342787698412693</v>
      </c>
      <c r="Y44" s="303">
        <v>0</v>
      </c>
    </row>
    <row r="45" spans="1:28" x14ac:dyDescent="0.25">
      <c r="A45">
        <v>6</v>
      </c>
      <c r="B45" t="s">
        <v>66</v>
      </c>
      <c r="N45" s="229"/>
      <c r="O45" s="229">
        <f t="shared" si="27"/>
        <v>28.643363095238101</v>
      </c>
      <c r="P45" s="229">
        <f t="shared" si="27"/>
        <v>27.120148809523819</v>
      </c>
      <c r="Q45" s="229">
        <f t="shared" si="27"/>
        <v>30.110952380952384</v>
      </c>
      <c r="R45" s="229">
        <f t="shared" si="27"/>
        <v>31.440664682539683</v>
      </c>
      <c r="S45" s="229">
        <f t="shared" si="27"/>
        <v>31.806994047619042</v>
      </c>
      <c r="T45" s="229">
        <f t="shared" si="27"/>
        <v>32.779940476190475</v>
      </c>
      <c r="U45" s="229">
        <f t="shared" si="27"/>
        <v>33.672579365079365</v>
      </c>
      <c r="V45" s="229">
        <f t="shared" si="27"/>
        <v>34.020009920634919</v>
      </c>
      <c r="W45" s="229">
        <f t="shared" si="27"/>
        <v>34.582886904761907</v>
      </c>
      <c r="X45" s="229">
        <f t="shared" si="27"/>
        <v>35.342787698412693</v>
      </c>
    </row>
    <row r="46" spans="1:28" x14ac:dyDescent="0.25">
      <c r="A46">
        <v>7</v>
      </c>
      <c r="B46" t="s">
        <v>67</v>
      </c>
      <c r="N46" s="229"/>
      <c r="O46" s="229"/>
      <c r="P46" s="229">
        <f t="shared" si="27"/>
        <v>27.120148809523819</v>
      </c>
      <c r="Q46" s="229">
        <f t="shared" si="27"/>
        <v>30.110952380952384</v>
      </c>
      <c r="R46" s="229">
        <f t="shared" si="27"/>
        <v>31.440664682539683</v>
      </c>
      <c r="S46" s="229">
        <f t="shared" si="27"/>
        <v>31.806994047619042</v>
      </c>
      <c r="T46" s="229">
        <f t="shared" si="27"/>
        <v>32.779940476190475</v>
      </c>
      <c r="U46" s="229">
        <f t="shared" si="27"/>
        <v>33.672579365079365</v>
      </c>
      <c r="V46" s="229">
        <f t="shared" si="27"/>
        <v>34.020009920634919</v>
      </c>
      <c r="W46" s="229">
        <f t="shared" si="27"/>
        <v>34.582886904761907</v>
      </c>
      <c r="X46" s="229">
        <f t="shared" si="27"/>
        <v>35.342787698412693</v>
      </c>
    </row>
    <row r="47" spans="1:28" x14ac:dyDescent="0.25">
      <c r="A47">
        <v>8</v>
      </c>
      <c r="B47" t="s">
        <v>68</v>
      </c>
      <c r="N47" s="229"/>
      <c r="O47" s="229"/>
      <c r="P47" s="229"/>
      <c r="Q47" s="229">
        <f t="shared" si="27"/>
        <v>30.110952380952384</v>
      </c>
      <c r="R47" s="229">
        <f t="shared" si="27"/>
        <v>31.440664682539683</v>
      </c>
      <c r="S47" s="229">
        <f t="shared" si="27"/>
        <v>31.806994047619042</v>
      </c>
      <c r="T47" s="229">
        <f t="shared" si="27"/>
        <v>32.779940476190475</v>
      </c>
      <c r="U47" s="229">
        <f t="shared" si="27"/>
        <v>33.672579365079365</v>
      </c>
      <c r="V47" s="229">
        <f t="shared" si="27"/>
        <v>34.020009920634919</v>
      </c>
      <c r="W47" s="229">
        <f t="shared" si="27"/>
        <v>34.582886904761907</v>
      </c>
      <c r="X47" s="229">
        <f t="shared" si="27"/>
        <v>35.342787698412693</v>
      </c>
    </row>
    <row r="48" spans="1:28" x14ac:dyDescent="0.25">
      <c r="A48">
        <v>9</v>
      </c>
      <c r="B48" t="s">
        <v>69</v>
      </c>
      <c r="N48" s="229"/>
      <c r="O48" s="229"/>
      <c r="P48" s="229"/>
      <c r="Q48" s="229"/>
      <c r="R48" s="229">
        <f t="shared" si="27"/>
        <v>31.440664682539683</v>
      </c>
      <c r="S48" s="229">
        <f t="shared" si="27"/>
        <v>31.806994047619042</v>
      </c>
      <c r="T48" s="229">
        <f t="shared" si="27"/>
        <v>32.779940476190475</v>
      </c>
      <c r="U48" s="229">
        <f t="shared" si="27"/>
        <v>33.672579365079365</v>
      </c>
      <c r="V48" s="229">
        <f t="shared" si="27"/>
        <v>34.020009920634919</v>
      </c>
      <c r="W48" s="229">
        <f t="shared" si="27"/>
        <v>34.582886904761907</v>
      </c>
      <c r="X48" s="229">
        <f t="shared" si="27"/>
        <v>35.342787698412693</v>
      </c>
    </row>
    <row r="49" spans="1:24" x14ac:dyDescent="0.25">
      <c r="A49">
        <v>10</v>
      </c>
      <c r="B49" t="s">
        <v>70</v>
      </c>
      <c r="N49" s="229"/>
      <c r="O49" s="229"/>
      <c r="P49" s="229"/>
      <c r="Q49" s="229"/>
      <c r="R49" s="229"/>
      <c r="S49" s="229">
        <f t="shared" si="27"/>
        <v>31.806994047619042</v>
      </c>
      <c r="T49" s="229">
        <f t="shared" si="27"/>
        <v>32.779940476190475</v>
      </c>
      <c r="U49" s="229">
        <f t="shared" si="27"/>
        <v>33.672579365079365</v>
      </c>
      <c r="V49" s="229">
        <f t="shared" si="27"/>
        <v>34.020009920634919</v>
      </c>
      <c r="W49" s="229">
        <f t="shared" si="27"/>
        <v>34.582886904761907</v>
      </c>
      <c r="X49" s="229">
        <f t="shared" si="27"/>
        <v>35.342787698412693</v>
      </c>
    </row>
    <row r="50" spans="1:24" x14ac:dyDescent="0.25">
      <c r="A50">
        <v>11</v>
      </c>
      <c r="B50" t="s">
        <v>71</v>
      </c>
      <c r="N50" s="229"/>
      <c r="O50" s="229"/>
      <c r="P50" s="229"/>
      <c r="Q50" s="229"/>
      <c r="R50" s="229"/>
      <c r="S50" s="229"/>
      <c r="T50" s="229">
        <f t="shared" si="27"/>
        <v>32.779940476190475</v>
      </c>
      <c r="U50" s="229">
        <f t="shared" si="27"/>
        <v>33.672579365079365</v>
      </c>
      <c r="V50" s="229">
        <f t="shared" si="27"/>
        <v>34.020009920634919</v>
      </c>
      <c r="W50" s="229">
        <f t="shared" si="27"/>
        <v>34.582886904761907</v>
      </c>
      <c r="X50" s="229">
        <f t="shared" si="27"/>
        <v>35.342787698412693</v>
      </c>
    </row>
    <row r="51" spans="1:24" x14ac:dyDescent="0.25">
      <c r="A51">
        <v>12</v>
      </c>
      <c r="B51" t="s">
        <v>72</v>
      </c>
      <c r="N51" s="229"/>
      <c r="O51" s="229"/>
      <c r="P51" s="229"/>
      <c r="Q51" s="229"/>
      <c r="R51" s="229"/>
      <c r="S51" s="229"/>
      <c r="T51" s="229"/>
      <c r="U51" s="229">
        <f t="shared" si="27"/>
        <v>33.672579365079365</v>
      </c>
      <c r="V51" s="229">
        <f t="shared" si="27"/>
        <v>34.020009920634919</v>
      </c>
      <c r="W51" s="229">
        <f t="shared" si="27"/>
        <v>34.582886904761907</v>
      </c>
      <c r="X51" s="229">
        <f t="shared" si="27"/>
        <v>35.342787698412693</v>
      </c>
    </row>
    <row r="52" spans="1:24" x14ac:dyDescent="0.25">
      <c r="A52">
        <v>13</v>
      </c>
      <c r="B52" t="s">
        <v>73</v>
      </c>
      <c r="N52" s="229"/>
      <c r="O52" s="229"/>
      <c r="P52" s="229"/>
      <c r="Q52" s="229"/>
      <c r="R52" s="229"/>
      <c r="S52" s="229"/>
      <c r="T52" s="229"/>
      <c r="U52" s="229"/>
      <c r="V52" s="229">
        <f t="shared" si="27"/>
        <v>34.020009920634919</v>
      </c>
      <c r="W52" s="229">
        <f t="shared" si="27"/>
        <v>34.582886904761907</v>
      </c>
      <c r="X52" s="229">
        <f t="shared" si="27"/>
        <v>35.342787698412693</v>
      </c>
    </row>
    <row r="53" spans="1:24" x14ac:dyDescent="0.25">
      <c r="A53">
        <v>14</v>
      </c>
      <c r="B53" t="s">
        <v>74</v>
      </c>
      <c r="N53" s="229"/>
      <c r="O53" s="229"/>
      <c r="P53" s="229"/>
      <c r="Q53" s="229"/>
      <c r="R53" s="229"/>
      <c r="S53" s="229"/>
      <c r="T53" s="229"/>
      <c r="U53" s="229"/>
      <c r="V53" s="229"/>
      <c r="W53" s="229">
        <f t="shared" si="27"/>
        <v>34.582886904761907</v>
      </c>
      <c r="X53" s="229">
        <f t="shared" si="27"/>
        <v>35.342787698412693</v>
      </c>
    </row>
    <row r="54" spans="1:24" x14ac:dyDescent="0.25">
      <c r="A54">
        <v>15</v>
      </c>
      <c r="B54" t="s">
        <v>75</v>
      </c>
      <c r="N54" s="229"/>
      <c r="O54" s="229"/>
      <c r="P54" s="229"/>
      <c r="Q54" s="229"/>
      <c r="R54" s="229"/>
      <c r="S54" s="229"/>
      <c r="T54" s="229"/>
      <c r="U54" s="229"/>
      <c r="V54" s="229"/>
      <c r="W54" s="229"/>
      <c r="X54" s="229">
        <f t="shared" si="27"/>
        <v>35.342787698412693</v>
      </c>
    </row>
    <row r="57" spans="1:24" x14ac:dyDescent="0.25">
      <c r="B57" s="1" t="s">
        <v>77</v>
      </c>
    </row>
    <row r="58" spans="1:24" x14ac:dyDescent="0.25">
      <c r="C58" t="s">
        <v>1</v>
      </c>
    </row>
    <row r="59" spans="1:24" ht="18.75" x14ac:dyDescent="0.25">
      <c r="C59" s="2">
        <v>2022</v>
      </c>
      <c r="D59" s="2">
        <v>2023</v>
      </c>
      <c r="E59" s="2">
        <v>2024</v>
      </c>
      <c r="F59" s="2">
        <v>2025</v>
      </c>
      <c r="G59" s="2">
        <v>2026</v>
      </c>
      <c r="H59" s="2">
        <v>2027</v>
      </c>
      <c r="I59" s="2">
        <v>2028</v>
      </c>
      <c r="J59" s="2">
        <v>2029</v>
      </c>
      <c r="K59" s="2">
        <v>2030</v>
      </c>
      <c r="L59" s="2">
        <v>2031</v>
      </c>
      <c r="M59" s="2">
        <v>2032</v>
      </c>
      <c r="N59" s="2">
        <v>2033</v>
      </c>
      <c r="O59" s="2">
        <v>2034</v>
      </c>
      <c r="P59" s="2">
        <v>2035</v>
      </c>
      <c r="Q59" s="2">
        <v>2036</v>
      </c>
      <c r="R59" s="2">
        <v>2037</v>
      </c>
      <c r="S59" s="2">
        <v>2038</v>
      </c>
      <c r="T59" s="2">
        <v>2039</v>
      </c>
      <c r="U59" s="2">
        <v>2040</v>
      </c>
      <c r="V59" s="2">
        <v>2041</v>
      </c>
      <c r="W59" s="2">
        <v>2042</v>
      </c>
      <c r="X59" s="160">
        <v>2043</v>
      </c>
    </row>
    <row r="60" spans="1:24" x14ac:dyDescent="0.25">
      <c r="B60" t="s">
        <v>55</v>
      </c>
      <c r="C60" s="3"/>
      <c r="D60" s="3">
        <f t="shared" ref="D60:X60" si="28">D1*(1+D2)</f>
        <v>0</v>
      </c>
      <c r="E60" s="3">
        <f t="shared" si="28"/>
        <v>0</v>
      </c>
      <c r="F60" s="3">
        <f t="shared" si="28"/>
        <v>38.285482503607497</v>
      </c>
      <c r="G60" s="3">
        <f t="shared" si="28"/>
        <v>41.572490079365082</v>
      </c>
      <c r="H60" s="3">
        <f t="shared" si="28"/>
        <v>44.785952380952381</v>
      </c>
      <c r="I60" s="3">
        <f t="shared" si="28"/>
        <v>46.718323412698425</v>
      </c>
      <c r="J60" s="3">
        <f t="shared" si="28"/>
        <v>46.948184523809516</v>
      </c>
      <c r="K60" s="3">
        <f t="shared" si="28"/>
        <v>46.213859126984133</v>
      </c>
      <c r="L60" s="3">
        <f t="shared" si="28"/>
        <v>46.146041666666669</v>
      </c>
      <c r="M60" s="3">
        <f t="shared" si="28"/>
        <v>45.298343253968248</v>
      </c>
      <c r="N60" s="3">
        <f t="shared" si="28"/>
        <v>45.177380952380943</v>
      </c>
      <c r="O60" s="3">
        <f t="shared" si="28"/>
        <v>46.716636904761899</v>
      </c>
      <c r="P60" s="3">
        <f t="shared" si="28"/>
        <v>48.23985119047618</v>
      </c>
      <c r="Q60" s="3">
        <f t="shared" si="28"/>
        <v>45.249047619047616</v>
      </c>
      <c r="R60" s="3">
        <f t="shared" si="28"/>
        <v>43.919335317460316</v>
      </c>
      <c r="S60" s="3">
        <f t="shared" si="28"/>
        <v>43.553005952380957</v>
      </c>
      <c r="T60" s="3">
        <f t="shared" si="28"/>
        <v>42.580059523809524</v>
      </c>
      <c r="U60" s="3">
        <f t="shared" si="28"/>
        <v>41.687420634920635</v>
      </c>
      <c r="V60" s="3">
        <f t="shared" si="28"/>
        <v>41.33999007936508</v>
      </c>
      <c r="W60" s="3">
        <f t="shared" si="28"/>
        <v>40.777113095238093</v>
      </c>
      <c r="X60" s="3">
        <f t="shared" si="28"/>
        <v>40.017212301587307</v>
      </c>
    </row>
    <row r="63" spans="1:24" x14ac:dyDescent="0.25">
      <c r="B63" t="s">
        <v>56</v>
      </c>
      <c r="F63" s="4">
        <f>$Y$68-F60</f>
        <v>54.194517496392507</v>
      </c>
      <c r="G63" s="4">
        <f t="shared" ref="G63:W63" si="29">$Y$68-G60</f>
        <v>50.907509920634922</v>
      </c>
      <c r="H63" s="4">
        <f t="shared" si="29"/>
        <v>47.694047619047623</v>
      </c>
      <c r="I63" s="4">
        <f t="shared" si="29"/>
        <v>45.761676587301579</v>
      </c>
      <c r="J63" s="4">
        <f t="shared" si="29"/>
        <v>45.531815476190488</v>
      </c>
      <c r="K63" s="4">
        <f t="shared" si="29"/>
        <v>46.266140873015871</v>
      </c>
      <c r="L63" s="4">
        <f t="shared" si="29"/>
        <v>46.333958333333335</v>
      </c>
      <c r="M63" s="4">
        <f t="shared" si="29"/>
        <v>47.181656746031756</v>
      </c>
      <c r="N63" s="4">
        <f t="shared" si="29"/>
        <v>47.302619047619061</v>
      </c>
      <c r="O63" s="4">
        <f t="shared" si="29"/>
        <v>45.763363095238105</v>
      </c>
      <c r="P63" s="4">
        <f t="shared" si="29"/>
        <v>44.240148809523824</v>
      </c>
      <c r="Q63" s="4">
        <f t="shared" si="29"/>
        <v>47.230952380952388</v>
      </c>
      <c r="R63" s="4">
        <f t="shared" si="29"/>
        <v>48.560664682539688</v>
      </c>
      <c r="S63" s="4">
        <f t="shared" si="29"/>
        <v>48.926994047619047</v>
      </c>
      <c r="T63" s="4">
        <f t="shared" si="29"/>
        <v>49.89994047619048</v>
      </c>
      <c r="U63" s="4">
        <f t="shared" si="29"/>
        <v>50.792579365079369</v>
      </c>
      <c r="V63" s="4">
        <f t="shared" si="29"/>
        <v>51.140009920634924</v>
      </c>
      <c r="W63" s="4">
        <f t="shared" si="29"/>
        <v>51.702886904761911</v>
      </c>
      <c r="X63" s="4">
        <f t="shared" ref="X63:X64" si="30">($Y$14*(1+(($Y$17)*$A63))-X$6)</f>
        <v>-40.017212301587307</v>
      </c>
    </row>
    <row r="64" spans="1:24" ht="15.75" thickBot="1" x14ac:dyDescent="0.3">
      <c r="B64" t="s">
        <v>57</v>
      </c>
      <c r="G64" s="4">
        <f>($Z$68*(1+(($Y$44)*$A64))-G$60)</f>
        <v>55.287509920634918</v>
      </c>
      <c r="H64" s="4">
        <f t="shared" ref="H64:W65" si="31">($Z$68*(1+(($Y$44)*$A64))-H$60)</f>
        <v>52.074047619047619</v>
      </c>
      <c r="I64" s="4">
        <f t="shared" si="31"/>
        <v>50.141676587301575</v>
      </c>
      <c r="J64" s="4">
        <f t="shared" si="31"/>
        <v>49.911815476190483</v>
      </c>
      <c r="K64" s="4">
        <f t="shared" si="31"/>
        <v>50.646140873015867</v>
      </c>
      <c r="L64" s="4">
        <f t="shared" si="31"/>
        <v>50.713958333333331</v>
      </c>
      <c r="M64" s="4">
        <f t="shared" si="31"/>
        <v>51.561656746031751</v>
      </c>
      <c r="N64" s="4">
        <f t="shared" si="31"/>
        <v>51.682619047619056</v>
      </c>
      <c r="O64" s="4">
        <f t="shared" si="31"/>
        <v>50.143363095238101</v>
      </c>
      <c r="P64" s="4">
        <f t="shared" si="31"/>
        <v>48.620148809523819</v>
      </c>
      <c r="Q64" s="4">
        <f t="shared" si="31"/>
        <v>51.610952380952384</v>
      </c>
      <c r="R64" s="4">
        <f t="shared" si="31"/>
        <v>52.940664682539683</v>
      </c>
      <c r="S64" s="4">
        <f t="shared" si="31"/>
        <v>53.306994047619042</v>
      </c>
      <c r="T64" s="4">
        <f t="shared" si="31"/>
        <v>54.279940476190475</v>
      </c>
      <c r="U64" s="4">
        <f t="shared" si="31"/>
        <v>55.172579365079365</v>
      </c>
      <c r="V64" s="4">
        <f t="shared" si="31"/>
        <v>55.520009920634919</v>
      </c>
      <c r="W64" s="4">
        <f t="shared" si="31"/>
        <v>56.082886904761907</v>
      </c>
      <c r="X64" s="4">
        <f t="shared" si="30"/>
        <v>-40.017212301587307</v>
      </c>
    </row>
    <row r="65" spans="1:28" x14ac:dyDescent="0.25">
      <c r="B65" t="s">
        <v>58</v>
      </c>
      <c r="H65" s="4">
        <f>($Z$68*(1+(($Y$44)*$A65))-H$60)</f>
        <v>52.074047619047619</v>
      </c>
      <c r="I65" s="4">
        <f t="shared" si="31"/>
        <v>50.141676587301575</v>
      </c>
      <c r="J65" s="4">
        <f t="shared" si="31"/>
        <v>49.911815476190483</v>
      </c>
      <c r="K65" s="4">
        <f t="shared" si="31"/>
        <v>50.646140873015867</v>
      </c>
      <c r="L65" s="4">
        <f t="shared" si="31"/>
        <v>50.713958333333331</v>
      </c>
      <c r="M65" s="4">
        <f t="shared" si="31"/>
        <v>51.561656746031751</v>
      </c>
      <c r="N65" s="4">
        <f t="shared" si="31"/>
        <v>51.682619047619056</v>
      </c>
      <c r="O65" s="4">
        <f t="shared" si="31"/>
        <v>50.143363095238101</v>
      </c>
      <c r="P65" s="4">
        <f t="shared" si="31"/>
        <v>48.620148809523819</v>
      </c>
      <c r="Q65" s="4">
        <f t="shared" si="31"/>
        <v>51.610952380952384</v>
      </c>
      <c r="R65" s="4">
        <f t="shared" si="31"/>
        <v>52.940664682539683</v>
      </c>
      <c r="S65" s="4">
        <f t="shared" si="31"/>
        <v>53.306994047619042</v>
      </c>
      <c r="T65" s="4">
        <f t="shared" si="31"/>
        <v>54.279940476190475</v>
      </c>
      <c r="U65" s="4">
        <f t="shared" si="31"/>
        <v>55.172579365079365</v>
      </c>
      <c r="V65" s="4">
        <f t="shared" si="31"/>
        <v>55.520009920634919</v>
      </c>
      <c r="W65" s="4">
        <f t="shared" si="31"/>
        <v>56.082886904761907</v>
      </c>
      <c r="X65" s="4">
        <f t="shared" ref="X65" si="32">($Z$68*(1+(($Y$44)*$A65))-X$60)</f>
        <v>56.842787698412693</v>
      </c>
      <c r="Y65" s="5" t="s">
        <v>59</v>
      </c>
    </row>
    <row r="66" spans="1:28" x14ac:dyDescent="0.25">
      <c r="B66" t="s">
        <v>60</v>
      </c>
      <c r="I66" s="4">
        <f>($AB$68-I$60)</f>
        <v>50.141676587301575</v>
      </c>
      <c r="J66" s="4">
        <f t="shared" ref="J66:X66" si="33">($AB$68-J$60)</f>
        <v>49.911815476190483</v>
      </c>
      <c r="K66" s="4">
        <f t="shared" si="33"/>
        <v>50.646140873015867</v>
      </c>
      <c r="L66" s="4">
        <f t="shared" si="33"/>
        <v>50.713958333333331</v>
      </c>
      <c r="M66" s="4">
        <f t="shared" si="33"/>
        <v>51.561656746031751</v>
      </c>
      <c r="N66" s="4">
        <f t="shared" si="33"/>
        <v>51.682619047619056</v>
      </c>
      <c r="O66" s="4">
        <f t="shared" si="33"/>
        <v>50.143363095238101</v>
      </c>
      <c r="P66" s="4">
        <f t="shared" si="33"/>
        <v>48.620148809523819</v>
      </c>
      <c r="Q66" s="4">
        <f t="shared" si="33"/>
        <v>51.610952380952384</v>
      </c>
      <c r="R66" s="4">
        <f t="shared" si="33"/>
        <v>52.940664682539683</v>
      </c>
      <c r="S66" s="4">
        <f t="shared" si="33"/>
        <v>53.306994047619042</v>
      </c>
      <c r="T66" s="4">
        <f t="shared" si="33"/>
        <v>54.279940476190475</v>
      </c>
      <c r="U66" s="4">
        <f t="shared" si="33"/>
        <v>55.172579365079365</v>
      </c>
      <c r="V66" s="4">
        <f t="shared" si="33"/>
        <v>55.520009920634919</v>
      </c>
      <c r="W66" s="4">
        <f t="shared" si="33"/>
        <v>56.082886904761907</v>
      </c>
      <c r="X66" s="4">
        <f t="shared" si="33"/>
        <v>56.842787698412693</v>
      </c>
      <c r="Y66" s="6"/>
    </row>
    <row r="67" spans="1:28" x14ac:dyDescent="0.25">
      <c r="A67">
        <v>1</v>
      </c>
      <c r="B67" t="s">
        <v>61</v>
      </c>
      <c r="J67" s="4">
        <f>($AB$68*(1+(($Y$71)*$A67))-J$60)</f>
        <v>49.911815476190483</v>
      </c>
      <c r="K67" s="4">
        <f t="shared" ref="K67:X81" si="34">($AB$68*(1+(($Y$71)*$A67))-K$60)</f>
        <v>50.646140873015867</v>
      </c>
      <c r="L67" s="4">
        <f t="shared" si="34"/>
        <v>50.713958333333331</v>
      </c>
      <c r="M67" s="4">
        <f t="shared" si="34"/>
        <v>51.561656746031751</v>
      </c>
      <c r="N67" s="4">
        <f t="shared" si="34"/>
        <v>51.682619047619056</v>
      </c>
      <c r="O67" s="4">
        <f t="shared" si="34"/>
        <v>50.143363095238101</v>
      </c>
      <c r="P67" s="4">
        <f t="shared" si="34"/>
        <v>48.620148809523819</v>
      </c>
      <c r="Q67" s="4">
        <f t="shared" si="34"/>
        <v>51.610952380952384</v>
      </c>
      <c r="R67" s="4">
        <f t="shared" si="34"/>
        <v>52.940664682539683</v>
      </c>
      <c r="S67" s="4">
        <f t="shared" si="34"/>
        <v>53.306994047619042</v>
      </c>
      <c r="T67" s="4">
        <f t="shared" si="34"/>
        <v>54.279940476190475</v>
      </c>
      <c r="U67" s="4">
        <f t="shared" si="34"/>
        <v>55.172579365079365</v>
      </c>
      <c r="V67" s="4">
        <f t="shared" si="34"/>
        <v>55.520009920634919</v>
      </c>
      <c r="W67" s="4">
        <f t="shared" si="34"/>
        <v>56.082886904761907</v>
      </c>
      <c r="X67" s="4">
        <f t="shared" si="34"/>
        <v>56.842787698412693</v>
      </c>
      <c r="Y67" s="6" t="s">
        <v>350</v>
      </c>
      <c r="Z67" s="6" t="s">
        <v>351</v>
      </c>
      <c r="AA67" s="6" t="s">
        <v>352</v>
      </c>
      <c r="AB67" s="6" t="s">
        <v>354</v>
      </c>
    </row>
    <row r="68" spans="1:28" x14ac:dyDescent="0.25">
      <c r="A68">
        <v>2</v>
      </c>
      <c r="B68" t="s">
        <v>62</v>
      </c>
      <c r="J68" s="4"/>
      <c r="K68" s="4">
        <f t="shared" si="34"/>
        <v>50.646140873015867</v>
      </c>
      <c r="L68" s="4">
        <f t="shared" si="34"/>
        <v>50.713958333333331</v>
      </c>
      <c r="M68" s="4">
        <f t="shared" si="34"/>
        <v>51.561656746031751</v>
      </c>
      <c r="N68" s="4">
        <f t="shared" si="34"/>
        <v>51.682619047619056</v>
      </c>
      <c r="O68" s="4">
        <f t="shared" si="34"/>
        <v>50.143363095238101</v>
      </c>
      <c r="P68" s="4">
        <f t="shared" si="34"/>
        <v>48.620148809523819</v>
      </c>
      <c r="Q68" s="4">
        <f t="shared" si="34"/>
        <v>51.610952380952384</v>
      </c>
      <c r="R68" s="4">
        <f t="shared" si="34"/>
        <v>52.940664682539683</v>
      </c>
      <c r="S68" s="4">
        <f t="shared" si="34"/>
        <v>53.306994047619042</v>
      </c>
      <c r="T68" s="4">
        <f t="shared" si="34"/>
        <v>54.279940476190475</v>
      </c>
      <c r="U68" s="4">
        <f t="shared" si="34"/>
        <v>55.172579365079365</v>
      </c>
      <c r="V68" s="4">
        <f t="shared" si="34"/>
        <v>55.520009920634919</v>
      </c>
      <c r="W68" s="4">
        <f t="shared" si="34"/>
        <v>56.082886904761907</v>
      </c>
      <c r="X68" s="4">
        <f t="shared" si="34"/>
        <v>56.842787698412693</v>
      </c>
      <c r="Y68" s="307">
        <v>92.48</v>
      </c>
      <c r="Z68" s="307">
        <v>96.86</v>
      </c>
      <c r="AA68" s="307">
        <f>Z68</f>
        <v>96.86</v>
      </c>
      <c r="AB68" s="307">
        <f>Z68</f>
        <v>96.86</v>
      </c>
    </row>
    <row r="69" spans="1:28" x14ac:dyDescent="0.25">
      <c r="A69">
        <v>3</v>
      </c>
      <c r="B69" t="s">
        <v>63</v>
      </c>
      <c r="J69" s="4"/>
      <c r="K69" s="4"/>
      <c r="L69" s="4"/>
      <c r="M69" s="4">
        <f t="shared" si="34"/>
        <v>51.561656746031751</v>
      </c>
      <c r="N69" s="4">
        <f t="shared" si="34"/>
        <v>51.682619047619056</v>
      </c>
      <c r="O69" s="4">
        <f t="shared" si="34"/>
        <v>50.143363095238101</v>
      </c>
      <c r="P69" s="4">
        <f t="shared" si="34"/>
        <v>48.620148809523819</v>
      </c>
      <c r="Q69" s="4">
        <f t="shared" si="34"/>
        <v>51.610952380952384</v>
      </c>
      <c r="R69" s="4">
        <f t="shared" si="34"/>
        <v>52.940664682539683</v>
      </c>
      <c r="S69" s="4">
        <f t="shared" si="34"/>
        <v>53.306994047619042</v>
      </c>
      <c r="T69" s="4">
        <f t="shared" si="34"/>
        <v>54.279940476190475</v>
      </c>
      <c r="U69" s="4">
        <f t="shared" si="34"/>
        <v>55.172579365079365</v>
      </c>
      <c r="V69" s="4">
        <f t="shared" si="34"/>
        <v>55.520009920634919</v>
      </c>
      <c r="W69" s="4">
        <f t="shared" si="34"/>
        <v>56.082886904761907</v>
      </c>
      <c r="X69" s="4">
        <f t="shared" si="34"/>
        <v>56.842787698412693</v>
      </c>
      <c r="Y69" s="6"/>
    </row>
    <row r="70" spans="1:28" x14ac:dyDescent="0.25">
      <c r="A70">
        <v>4</v>
      </c>
      <c r="B70" t="s">
        <v>64</v>
      </c>
      <c r="J70" s="4"/>
      <c r="K70" s="4"/>
      <c r="L70" s="4"/>
      <c r="M70" s="4">
        <f t="shared" si="34"/>
        <v>51.561656746031751</v>
      </c>
      <c r="N70" s="4">
        <f t="shared" si="34"/>
        <v>51.682619047619056</v>
      </c>
      <c r="O70" s="4">
        <f t="shared" si="34"/>
        <v>50.143363095238101</v>
      </c>
      <c r="P70" s="4">
        <f t="shared" si="34"/>
        <v>48.620148809523819</v>
      </c>
      <c r="Q70" s="4">
        <f t="shared" si="34"/>
        <v>51.610952380952384</v>
      </c>
      <c r="R70" s="4">
        <f t="shared" si="34"/>
        <v>52.940664682539683</v>
      </c>
      <c r="S70" s="4">
        <f t="shared" si="34"/>
        <v>53.306994047619042</v>
      </c>
      <c r="T70" s="4">
        <f t="shared" si="34"/>
        <v>54.279940476190475</v>
      </c>
      <c r="U70" s="4">
        <f t="shared" si="34"/>
        <v>55.172579365079365</v>
      </c>
      <c r="V70" s="4">
        <f t="shared" si="34"/>
        <v>55.520009920634919</v>
      </c>
      <c r="W70" s="4">
        <f t="shared" si="34"/>
        <v>56.082886904761907</v>
      </c>
      <c r="X70" s="4">
        <f t="shared" si="34"/>
        <v>56.842787698412693</v>
      </c>
      <c r="Y70" s="6" t="s">
        <v>356</v>
      </c>
    </row>
    <row r="71" spans="1:28" ht="15.75" thickBot="1" x14ac:dyDescent="0.3">
      <c r="A71">
        <v>5</v>
      </c>
      <c r="B71" t="s">
        <v>65</v>
      </c>
      <c r="J71" s="4"/>
      <c r="K71" s="4"/>
      <c r="L71" s="4"/>
      <c r="M71" s="4"/>
      <c r="N71" s="4">
        <f t="shared" si="34"/>
        <v>51.682619047619056</v>
      </c>
      <c r="O71" s="4">
        <f t="shared" si="34"/>
        <v>50.143363095238101</v>
      </c>
      <c r="P71" s="4">
        <f t="shared" si="34"/>
        <v>48.620148809523819</v>
      </c>
      <c r="Q71" s="4">
        <f t="shared" si="34"/>
        <v>51.610952380952384</v>
      </c>
      <c r="R71" s="4">
        <f t="shared" si="34"/>
        <v>52.940664682539683</v>
      </c>
      <c r="S71" s="4">
        <f t="shared" si="34"/>
        <v>53.306994047619042</v>
      </c>
      <c r="T71" s="4">
        <f t="shared" si="34"/>
        <v>54.279940476190475</v>
      </c>
      <c r="U71" s="4">
        <f t="shared" si="34"/>
        <v>55.172579365079365</v>
      </c>
      <c r="V71" s="4">
        <f t="shared" si="34"/>
        <v>55.520009920634919</v>
      </c>
      <c r="W71" s="4">
        <f t="shared" si="34"/>
        <v>56.082886904761907</v>
      </c>
      <c r="X71" s="4">
        <f t="shared" si="34"/>
        <v>56.842787698412693</v>
      </c>
      <c r="Y71" s="303">
        <v>0</v>
      </c>
    </row>
    <row r="72" spans="1:28" x14ac:dyDescent="0.25">
      <c r="A72">
        <v>6</v>
      </c>
      <c r="B72" t="s">
        <v>66</v>
      </c>
      <c r="J72" s="4"/>
      <c r="K72" s="4"/>
      <c r="L72" s="4"/>
      <c r="M72" s="4"/>
      <c r="N72" s="4"/>
      <c r="O72" s="4">
        <f t="shared" si="34"/>
        <v>50.143363095238101</v>
      </c>
      <c r="P72" s="4">
        <f t="shared" si="34"/>
        <v>48.620148809523819</v>
      </c>
      <c r="Q72" s="4">
        <f t="shared" si="34"/>
        <v>51.610952380952384</v>
      </c>
      <c r="R72" s="4">
        <f t="shared" si="34"/>
        <v>52.940664682539683</v>
      </c>
      <c r="S72" s="4">
        <f t="shared" si="34"/>
        <v>53.306994047619042</v>
      </c>
      <c r="T72" s="4">
        <f t="shared" si="34"/>
        <v>54.279940476190475</v>
      </c>
      <c r="U72" s="4">
        <f t="shared" si="34"/>
        <v>55.172579365079365</v>
      </c>
      <c r="V72" s="4">
        <f t="shared" si="34"/>
        <v>55.520009920634919</v>
      </c>
      <c r="W72" s="4">
        <f t="shared" si="34"/>
        <v>56.082886904761907</v>
      </c>
      <c r="X72" s="4">
        <f t="shared" si="34"/>
        <v>56.842787698412693</v>
      </c>
    </row>
    <row r="73" spans="1:28" x14ac:dyDescent="0.25">
      <c r="A73">
        <v>7</v>
      </c>
      <c r="B73" t="s">
        <v>67</v>
      </c>
      <c r="J73" s="4"/>
      <c r="K73" s="4"/>
      <c r="L73" s="4"/>
      <c r="M73" s="4"/>
      <c r="N73" s="4"/>
      <c r="O73" s="4"/>
      <c r="P73" s="4">
        <f t="shared" si="34"/>
        <v>48.620148809523819</v>
      </c>
      <c r="Q73" s="4">
        <f t="shared" si="34"/>
        <v>51.610952380952384</v>
      </c>
      <c r="R73" s="4">
        <f t="shared" si="34"/>
        <v>52.940664682539683</v>
      </c>
      <c r="S73" s="4">
        <f t="shared" si="34"/>
        <v>53.306994047619042</v>
      </c>
      <c r="T73" s="4">
        <f t="shared" si="34"/>
        <v>54.279940476190475</v>
      </c>
      <c r="U73" s="4">
        <f t="shared" si="34"/>
        <v>55.172579365079365</v>
      </c>
      <c r="V73" s="4">
        <f t="shared" si="34"/>
        <v>55.520009920634919</v>
      </c>
      <c r="W73" s="4">
        <f t="shared" si="34"/>
        <v>56.082886904761907</v>
      </c>
      <c r="X73" s="4">
        <f t="shared" si="34"/>
        <v>56.842787698412693</v>
      </c>
    </row>
    <row r="74" spans="1:28" x14ac:dyDescent="0.25">
      <c r="A74">
        <v>8</v>
      </c>
      <c r="B74" t="s">
        <v>68</v>
      </c>
      <c r="J74" s="4"/>
      <c r="K74" s="4"/>
      <c r="L74" s="4"/>
      <c r="M74" s="4"/>
      <c r="N74" s="4"/>
      <c r="O74" s="4"/>
      <c r="P74" s="4"/>
      <c r="Q74" s="4">
        <f t="shared" si="34"/>
        <v>51.610952380952384</v>
      </c>
      <c r="R74" s="4">
        <f t="shared" si="34"/>
        <v>52.940664682539683</v>
      </c>
      <c r="S74" s="4">
        <f t="shared" si="34"/>
        <v>53.306994047619042</v>
      </c>
      <c r="T74" s="4">
        <f t="shared" si="34"/>
        <v>54.279940476190475</v>
      </c>
      <c r="U74" s="4">
        <f t="shared" si="34"/>
        <v>55.172579365079365</v>
      </c>
      <c r="V74" s="4">
        <f t="shared" si="34"/>
        <v>55.520009920634919</v>
      </c>
      <c r="W74" s="4">
        <f t="shared" si="34"/>
        <v>56.082886904761907</v>
      </c>
      <c r="X74" s="4">
        <f t="shared" si="34"/>
        <v>56.842787698412693</v>
      </c>
    </row>
    <row r="75" spans="1:28" x14ac:dyDescent="0.25">
      <c r="A75">
        <v>9</v>
      </c>
      <c r="B75" t="s">
        <v>69</v>
      </c>
      <c r="J75" s="4"/>
      <c r="K75" s="4"/>
      <c r="L75" s="4"/>
      <c r="M75" s="4"/>
      <c r="N75" s="4"/>
      <c r="O75" s="4"/>
      <c r="P75" s="4"/>
      <c r="Q75" s="4"/>
      <c r="R75" s="4">
        <f t="shared" si="34"/>
        <v>52.940664682539683</v>
      </c>
      <c r="S75" s="4">
        <f t="shared" si="34"/>
        <v>53.306994047619042</v>
      </c>
      <c r="T75" s="4">
        <f t="shared" si="34"/>
        <v>54.279940476190475</v>
      </c>
      <c r="U75" s="4">
        <f t="shared" si="34"/>
        <v>55.172579365079365</v>
      </c>
      <c r="V75" s="4">
        <f t="shared" si="34"/>
        <v>55.520009920634919</v>
      </c>
      <c r="W75" s="4">
        <f t="shared" si="34"/>
        <v>56.082886904761907</v>
      </c>
      <c r="X75" s="4">
        <f t="shared" si="34"/>
        <v>56.842787698412693</v>
      </c>
    </row>
    <row r="76" spans="1:28" x14ac:dyDescent="0.25">
      <c r="A76">
        <v>10</v>
      </c>
      <c r="B76" t="s">
        <v>70</v>
      </c>
      <c r="J76" s="4"/>
      <c r="K76" s="4"/>
      <c r="L76" s="4"/>
      <c r="M76" s="4"/>
      <c r="N76" s="4"/>
      <c r="O76" s="4"/>
      <c r="P76" s="4"/>
      <c r="Q76" s="4"/>
      <c r="R76" s="4"/>
      <c r="S76" s="4">
        <f t="shared" si="34"/>
        <v>53.306994047619042</v>
      </c>
      <c r="T76" s="4">
        <f t="shared" si="34"/>
        <v>54.279940476190475</v>
      </c>
      <c r="U76" s="4">
        <f t="shared" si="34"/>
        <v>55.172579365079365</v>
      </c>
      <c r="V76" s="4">
        <f t="shared" si="34"/>
        <v>55.520009920634919</v>
      </c>
      <c r="W76" s="4">
        <f t="shared" si="34"/>
        <v>56.082886904761907</v>
      </c>
      <c r="X76" s="4">
        <f t="shared" si="34"/>
        <v>56.842787698412693</v>
      </c>
    </row>
    <row r="77" spans="1:28" x14ac:dyDescent="0.25">
      <c r="A77">
        <v>11</v>
      </c>
      <c r="B77" t="s">
        <v>71</v>
      </c>
      <c r="J77" s="4"/>
      <c r="K77" s="4"/>
      <c r="L77" s="4"/>
      <c r="M77" s="4"/>
      <c r="N77" s="4"/>
      <c r="O77" s="4"/>
      <c r="P77" s="4"/>
      <c r="Q77" s="4"/>
      <c r="R77" s="4"/>
      <c r="S77" s="4"/>
      <c r="T77" s="4">
        <f t="shared" si="34"/>
        <v>54.279940476190475</v>
      </c>
      <c r="U77" s="4">
        <f t="shared" si="34"/>
        <v>55.172579365079365</v>
      </c>
      <c r="V77" s="4">
        <f t="shared" si="34"/>
        <v>55.520009920634919</v>
      </c>
      <c r="W77" s="4">
        <f t="shared" si="34"/>
        <v>56.082886904761907</v>
      </c>
      <c r="X77" s="4">
        <f t="shared" si="34"/>
        <v>56.842787698412693</v>
      </c>
    </row>
    <row r="78" spans="1:28" x14ac:dyDescent="0.25">
      <c r="A78">
        <v>12</v>
      </c>
      <c r="B78" t="s">
        <v>72</v>
      </c>
      <c r="J78" s="4"/>
      <c r="K78" s="4"/>
      <c r="L78" s="4"/>
      <c r="M78" s="4"/>
      <c r="N78" s="4"/>
      <c r="O78" s="4"/>
      <c r="P78" s="4"/>
      <c r="Q78" s="4"/>
      <c r="R78" s="4"/>
      <c r="S78" s="4"/>
      <c r="T78" s="4"/>
      <c r="U78" s="4">
        <f t="shared" si="34"/>
        <v>55.172579365079365</v>
      </c>
      <c r="V78" s="4">
        <f t="shared" si="34"/>
        <v>55.520009920634919</v>
      </c>
      <c r="W78" s="4">
        <f t="shared" si="34"/>
        <v>56.082886904761907</v>
      </c>
      <c r="X78" s="4">
        <f t="shared" si="34"/>
        <v>56.842787698412693</v>
      </c>
    </row>
    <row r="79" spans="1:28" x14ac:dyDescent="0.25">
      <c r="A79">
        <v>13</v>
      </c>
      <c r="B79" t="s">
        <v>73</v>
      </c>
      <c r="J79" s="4"/>
      <c r="K79" s="4"/>
      <c r="L79" s="4"/>
      <c r="M79" s="4"/>
      <c r="N79" s="4"/>
      <c r="O79" s="4"/>
      <c r="P79" s="4"/>
      <c r="Q79" s="4"/>
      <c r="R79" s="4"/>
      <c r="S79" s="4"/>
      <c r="T79" s="4"/>
      <c r="U79" s="4"/>
      <c r="V79" s="4">
        <f t="shared" si="34"/>
        <v>55.520009920634919</v>
      </c>
      <c r="W79" s="4">
        <f t="shared" si="34"/>
        <v>56.082886904761907</v>
      </c>
      <c r="X79" s="4">
        <f t="shared" si="34"/>
        <v>56.842787698412693</v>
      </c>
    </row>
    <row r="80" spans="1:28" x14ac:dyDescent="0.25">
      <c r="A80">
        <v>14</v>
      </c>
      <c r="B80" t="s">
        <v>74</v>
      </c>
      <c r="J80" s="4"/>
      <c r="K80" s="4"/>
      <c r="L80" s="4"/>
      <c r="M80" s="4"/>
      <c r="N80" s="4"/>
      <c r="O80" s="4"/>
      <c r="P80" s="4"/>
      <c r="Q80" s="4"/>
      <c r="R80" s="4"/>
      <c r="S80" s="4"/>
      <c r="T80" s="4"/>
      <c r="U80" s="4"/>
      <c r="V80" s="4"/>
      <c r="W80" s="4">
        <f t="shared" si="34"/>
        <v>56.082886904761907</v>
      </c>
      <c r="X80" s="4">
        <f t="shared" si="34"/>
        <v>56.842787698412693</v>
      </c>
    </row>
    <row r="81" spans="1:24" x14ac:dyDescent="0.25">
      <c r="A81">
        <v>15</v>
      </c>
      <c r="B81" t="s">
        <v>75</v>
      </c>
      <c r="J81" s="4"/>
      <c r="K81" s="4"/>
      <c r="L81" s="4"/>
      <c r="M81" s="4"/>
      <c r="N81" s="4"/>
      <c r="O81" s="4"/>
      <c r="P81" s="4"/>
      <c r="Q81" s="4"/>
      <c r="R81" s="4"/>
      <c r="S81" s="4"/>
      <c r="T81" s="4"/>
      <c r="U81" s="4"/>
      <c r="V81" s="4"/>
      <c r="W81" s="4"/>
      <c r="X81" s="4">
        <f t="shared" si="34"/>
        <v>56.842787698412693</v>
      </c>
    </row>
    <row r="91" spans="1:24" x14ac:dyDescent="0.25">
      <c r="B91" s="343" t="s">
        <v>78</v>
      </c>
      <c r="C91" s="343"/>
    </row>
    <row r="92" spans="1:24" x14ac:dyDescent="0.25">
      <c r="B92" s="344">
        <v>0.995</v>
      </c>
      <c r="C92" s="345"/>
    </row>
  </sheetData>
  <mergeCells count="2">
    <mergeCell ref="B91:C91"/>
    <mergeCell ref="B92:C92"/>
  </mergeCells>
  <phoneticPr fontId="13" type="noConversion"/>
  <pageMargins left="0.7" right="0.7" top="0.75" bottom="0.75" header="0.3" footer="0.3"/>
  <pageSetup scale="33" fitToHeight="3" orientation="portrait" r:id="rId1"/>
  <customProperties>
    <customPr name="GU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C5E25F9D-D468-4375-95C0-2F0AF6171993}">
          <x14:formula1>
            <xm:f>'Forward Price Curves'!$A$2:$A$10</xm:f>
          </x14:formula1>
          <xm:sqref>A2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EBD44-F609-4A83-8751-B55BA0EB77A1}">
  <sheetPr>
    <tabColor theme="5" tint="0.59999389629810485"/>
  </sheetPr>
  <dimension ref="A1:Y10"/>
  <sheetViews>
    <sheetView workbookViewId="0">
      <selection activeCell="U18" sqref="U18"/>
    </sheetView>
  </sheetViews>
  <sheetFormatPr defaultRowHeight="15" x14ac:dyDescent="0.25"/>
  <cols>
    <col min="1" max="1" width="10.7109375" bestFit="1" customWidth="1"/>
  </cols>
  <sheetData>
    <row r="1" spans="1:25" ht="18.75" x14ac:dyDescent="0.25">
      <c r="A1" t="s">
        <v>359</v>
      </c>
      <c r="C1" s="2">
        <v>2022</v>
      </c>
      <c r="D1" s="2">
        <v>2023</v>
      </c>
      <c r="E1" s="2">
        <v>2024</v>
      </c>
      <c r="F1" s="2">
        <v>2025</v>
      </c>
      <c r="G1" s="2">
        <v>2026</v>
      </c>
      <c r="H1" s="2">
        <v>2027</v>
      </c>
      <c r="I1" s="2">
        <v>2028</v>
      </c>
      <c r="J1" s="2">
        <v>2029</v>
      </c>
      <c r="K1" s="2">
        <v>2030</v>
      </c>
      <c r="L1" s="2">
        <v>2031</v>
      </c>
      <c r="M1" s="2">
        <v>2032</v>
      </c>
      <c r="N1" s="2">
        <v>2033</v>
      </c>
      <c r="O1" s="2">
        <v>2034</v>
      </c>
      <c r="P1" s="2">
        <v>2035</v>
      </c>
      <c r="Q1" s="2">
        <v>2036</v>
      </c>
      <c r="R1" s="2">
        <v>2037</v>
      </c>
      <c r="S1" s="2">
        <v>2038</v>
      </c>
      <c r="T1" s="2">
        <v>2039</v>
      </c>
      <c r="U1" s="2">
        <v>2040</v>
      </c>
      <c r="V1" s="2">
        <v>2041</v>
      </c>
      <c r="W1" s="2">
        <v>2042</v>
      </c>
      <c r="X1" s="160">
        <v>2043</v>
      </c>
      <c r="Y1" s="229"/>
    </row>
    <row r="2" spans="1:25" x14ac:dyDescent="0.25">
      <c r="A2" s="304">
        <v>45657</v>
      </c>
      <c r="C2" s="3"/>
      <c r="D2" s="3"/>
      <c r="E2" s="3"/>
      <c r="F2" s="3">
        <v>38.285482503607497</v>
      </c>
      <c r="G2" s="3">
        <v>41.572490079365082</v>
      </c>
      <c r="H2" s="3">
        <v>44.785952380952381</v>
      </c>
      <c r="I2" s="3">
        <v>46.718323412698425</v>
      </c>
      <c r="J2" s="3">
        <v>46.948184523809516</v>
      </c>
      <c r="K2" s="3">
        <v>46.213859126984133</v>
      </c>
      <c r="L2" s="3">
        <v>46.146041666666669</v>
      </c>
      <c r="M2" s="3">
        <v>45.298343253968248</v>
      </c>
      <c r="N2" s="3">
        <v>45.177380952380943</v>
      </c>
      <c r="O2" s="3">
        <v>46.716636904761899</v>
      </c>
      <c r="P2" s="3">
        <v>48.23985119047618</v>
      </c>
      <c r="Q2" s="3">
        <v>45.249047619047616</v>
      </c>
      <c r="R2" s="3">
        <v>43.919335317460316</v>
      </c>
      <c r="S2" s="3">
        <v>43.553005952380957</v>
      </c>
      <c r="T2" s="3">
        <v>42.580059523809524</v>
      </c>
      <c r="U2" s="3">
        <v>41.687420634920635</v>
      </c>
      <c r="V2" s="3">
        <v>41.33999007936508</v>
      </c>
      <c r="W2" s="3">
        <v>40.777113095238093</v>
      </c>
      <c r="X2" s="3">
        <v>40.017212301587307</v>
      </c>
    </row>
    <row r="3" spans="1:25" x14ac:dyDescent="0.25">
      <c r="A3" s="304">
        <v>45595</v>
      </c>
      <c r="E3">
        <v>34.797341269841269</v>
      </c>
      <c r="F3">
        <v>37.843591269841269</v>
      </c>
      <c r="G3">
        <v>40.621180555555561</v>
      </c>
      <c r="H3">
        <v>41.864275793650791</v>
      </c>
      <c r="I3">
        <v>43.215753968253971</v>
      </c>
      <c r="J3">
        <v>43.404146825396822</v>
      </c>
      <c r="K3">
        <v>43.565763888888895</v>
      </c>
      <c r="L3">
        <v>47.014583333333334</v>
      </c>
      <c r="M3">
        <v>42.476736111111109</v>
      </c>
      <c r="N3">
        <v>41.40127976190476</v>
      </c>
      <c r="O3">
        <v>41.486994047619049</v>
      </c>
      <c r="P3">
        <v>40.147103174603174</v>
      </c>
      <c r="Q3">
        <v>38.9834126984127</v>
      </c>
      <c r="R3">
        <v>38.274474206349211</v>
      </c>
      <c r="S3">
        <v>37.007390873015872</v>
      </c>
      <c r="T3">
        <v>35.918918650793657</v>
      </c>
      <c r="U3">
        <v>34.875595238095244</v>
      </c>
      <c r="V3">
        <v>33.721517857142857</v>
      </c>
      <c r="W3">
        <v>32.633432539682545</v>
      </c>
      <c r="X3">
        <v>31.582480158730164</v>
      </c>
    </row>
    <row r="4" spans="1:25" x14ac:dyDescent="0.25">
      <c r="A4" s="304">
        <v>45505</v>
      </c>
      <c r="C4" s="3"/>
      <c r="D4" s="3"/>
      <c r="E4" s="3"/>
      <c r="F4" s="3">
        <v>32.216730158730158</v>
      </c>
      <c r="G4" s="3">
        <v>38.857202380952373</v>
      </c>
      <c r="H4" s="3">
        <v>41.179454365079366</v>
      </c>
      <c r="I4" s="3">
        <v>42.188472222222217</v>
      </c>
      <c r="J4" s="3">
        <v>42.633363095238096</v>
      </c>
      <c r="K4" s="3">
        <v>42.64163690476191</v>
      </c>
      <c r="L4" s="3">
        <v>43.593670634920628</v>
      </c>
      <c r="M4" s="3">
        <v>44.494682539682543</v>
      </c>
      <c r="N4" s="3">
        <v>43.42838293650793</v>
      </c>
      <c r="O4" s="3">
        <v>43.710565476190482</v>
      </c>
      <c r="P4" s="3">
        <v>44.680327380952377</v>
      </c>
      <c r="Q4" s="3">
        <v>45.952599206349198</v>
      </c>
      <c r="R4" s="3">
        <v>47.224513888888886</v>
      </c>
      <c r="S4" s="3">
        <v>48.061051587301591</v>
      </c>
      <c r="T4" s="3">
        <v>49.271279761904765</v>
      </c>
      <c r="U4" s="3">
        <v>50.342569444444443</v>
      </c>
      <c r="V4" s="3">
        <v>51.318660714285713</v>
      </c>
      <c r="W4" s="3">
        <v>52.38295634920636</v>
      </c>
      <c r="X4" s="3">
        <v>53.453541666666673</v>
      </c>
    </row>
    <row r="5" spans="1:25" x14ac:dyDescent="0.25">
      <c r="A5" s="304">
        <v>45352</v>
      </c>
      <c r="C5" s="3"/>
      <c r="D5" s="3"/>
      <c r="E5" s="3">
        <v>37.613780663780666</v>
      </c>
      <c r="F5" s="3">
        <v>44.955644841269844</v>
      </c>
      <c r="G5" s="3">
        <v>48.608571428571423</v>
      </c>
      <c r="H5" s="3">
        <v>49.615019841269842</v>
      </c>
      <c r="I5" s="3">
        <v>50.852212301587315</v>
      </c>
      <c r="J5" s="3">
        <v>51.05367063492065</v>
      </c>
      <c r="K5" s="3">
        <v>53.916884920634928</v>
      </c>
      <c r="L5" s="3">
        <v>52.77331349206348</v>
      </c>
      <c r="M5" s="3">
        <v>49.639583333333334</v>
      </c>
      <c r="N5" s="3">
        <v>48.957053571428574</v>
      </c>
      <c r="O5" s="3">
        <v>50.107996031746026</v>
      </c>
      <c r="P5" s="3">
        <v>52.531825396825397</v>
      </c>
      <c r="Q5" s="3">
        <v>54.128938492063497</v>
      </c>
      <c r="R5" s="3">
        <v>55.387113095238092</v>
      </c>
      <c r="S5" s="3">
        <v>56.706170634920632</v>
      </c>
      <c r="T5" s="3">
        <v>57.801765873015881</v>
      </c>
      <c r="U5" s="3">
        <v>58.812281746031744</v>
      </c>
      <c r="V5" s="3">
        <v>60.124315476190475</v>
      </c>
      <c r="W5" s="3">
        <v>61.200416666666669</v>
      </c>
      <c r="X5" s="3">
        <v>62.253025793650792</v>
      </c>
    </row>
    <row r="6" spans="1:25" x14ac:dyDescent="0.25">
      <c r="A6" s="304">
        <v>45229</v>
      </c>
      <c r="E6">
        <v>42.652053571428567</v>
      </c>
      <c r="F6">
        <v>44.368333333333332</v>
      </c>
      <c r="G6">
        <v>44.437490079365084</v>
      </c>
      <c r="H6">
        <v>44.937966269841269</v>
      </c>
      <c r="I6">
        <v>44.671984126984128</v>
      </c>
      <c r="J6">
        <v>45.306686507936504</v>
      </c>
      <c r="K6">
        <v>49.043759920634919</v>
      </c>
      <c r="L6">
        <v>49.068958333333335</v>
      </c>
      <c r="M6">
        <v>49.319017857142853</v>
      </c>
      <c r="N6">
        <v>50.634077380952377</v>
      </c>
      <c r="O6">
        <v>51.633779761904762</v>
      </c>
      <c r="P6">
        <v>53.273541666666659</v>
      </c>
      <c r="Q6">
        <v>54.753115079365088</v>
      </c>
      <c r="R6">
        <v>56.289533730158723</v>
      </c>
      <c r="S6">
        <v>57.780347222222218</v>
      </c>
      <c r="T6">
        <v>59.252430555555563</v>
      </c>
      <c r="U6">
        <v>60.651626984126992</v>
      </c>
      <c r="V6">
        <v>62.092123015873028</v>
      </c>
      <c r="W6">
        <v>63.495198412698414</v>
      </c>
      <c r="X6">
        <v>66.171537698412706</v>
      </c>
    </row>
    <row r="7" spans="1:25" x14ac:dyDescent="0.25">
      <c r="A7" s="304">
        <v>44957</v>
      </c>
      <c r="C7" s="3"/>
      <c r="D7" s="3"/>
      <c r="E7" s="3">
        <v>43.922291666666666</v>
      </c>
      <c r="F7" s="3">
        <v>43.623740079365078</v>
      </c>
      <c r="G7" s="3">
        <v>43.28147817460318</v>
      </c>
      <c r="H7" s="3">
        <v>43.624682539682539</v>
      </c>
      <c r="I7" s="3">
        <v>43.910347222222228</v>
      </c>
      <c r="J7" s="3">
        <v>46.266567460317461</v>
      </c>
      <c r="K7" s="3">
        <v>49.441914682539675</v>
      </c>
      <c r="L7" s="3">
        <v>51.029186507936508</v>
      </c>
      <c r="M7" s="3">
        <v>53.184533730158734</v>
      </c>
      <c r="N7" s="3">
        <v>55.326230158730155</v>
      </c>
      <c r="O7" s="3">
        <v>58.128829365079369</v>
      </c>
      <c r="P7" s="3">
        <v>60.629722222222227</v>
      </c>
      <c r="Q7" s="3">
        <v>63.112490079365081</v>
      </c>
      <c r="R7" s="3">
        <v>65.587291666666658</v>
      </c>
      <c r="S7" s="3">
        <v>68.042380952380938</v>
      </c>
      <c r="T7" s="3">
        <v>70.415426587301582</v>
      </c>
      <c r="U7" s="3">
        <v>72.735307539682537</v>
      </c>
      <c r="V7" s="3">
        <v>75.096478174603163</v>
      </c>
      <c r="W7" s="3">
        <v>77.421329365079359</v>
      </c>
      <c r="X7" s="3"/>
    </row>
    <row r="8" spans="1:25" x14ac:dyDescent="0.25">
      <c r="A8" t="s">
        <v>376</v>
      </c>
      <c r="C8" s="3"/>
      <c r="D8" s="3"/>
      <c r="E8" s="3"/>
      <c r="F8" s="3"/>
      <c r="G8" s="3"/>
      <c r="H8" s="3"/>
      <c r="I8" s="3"/>
      <c r="J8" s="3"/>
      <c r="K8" s="3"/>
      <c r="L8" s="3"/>
      <c r="M8" s="3"/>
      <c r="N8" s="3"/>
      <c r="O8" s="3"/>
      <c r="P8" s="3"/>
      <c r="Q8" s="3"/>
      <c r="R8" s="3"/>
      <c r="S8" s="3"/>
      <c r="T8" s="3"/>
      <c r="U8" s="3"/>
      <c r="V8" s="3"/>
      <c r="W8" s="3"/>
      <c r="X8" s="3"/>
    </row>
    <row r="9" spans="1:25" x14ac:dyDescent="0.25">
      <c r="C9" s="3"/>
      <c r="D9" s="3"/>
      <c r="E9" s="3"/>
      <c r="F9" s="3"/>
      <c r="G9" s="3"/>
      <c r="H9" s="3"/>
      <c r="I9" s="3"/>
      <c r="J9" s="3"/>
      <c r="K9" s="3"/>
      <c r="L9" s="3"/>
      <c r="M9" s="3"/>
      <c r="N9" s="3"/>
      <c r="O9" s="3"/>
      <c r="P9" s="3"/>
      <c r="Q9" s="3"/>
      <c r="R9" s="3"/>
      <c r="S9" s="3"/>
      <c r="T9" s="3"/>
      <c r="U9" s="3"/>
      <c r="V9" s="3"/>
      <c r="W9" s="3"/>
      <c r="X9" s="3"/>
    </row>
    <row r="10" spans="1:25" x14ac:dyDescent="0.25">
      <c r="C10" s="3"/>
      <c r="D10" s="3"/>
      <c r="E10" s="3"/>
      <c r="F10" s="3"/>
      <c r="G10" s="3"/>
      <c r="H10" s="3"/>
      <c r="I10" s="3"/>
      <c r="J10" s="3"/>
      <c r="K10" s="3"/>
      <c r="L10" s="3"/>
      <c r="M10" s="3"/>
      <c r="N10" s="3"/>
      <c r="O10" s="3"/>
      <c r="P10" s="3"/>
      <c r="Q10" s="3"/>
      <c r="R10" s="3"/>
      <c r="S10" s="3"/>
      <c r="T10" s="3"/>
      <c r="U10" s="3"/>
      <c r="V10" s="3"/>
      <c r="W10" s="3"/>
      <c r="X10" s="3"/>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460B-03FE-42E1-8034-08503B91F54D}">
  <sheetPr>
    <tabColor theme="5" tint="0.59999389629810485"/>
    <pageSetUpPr fitToPage="1"/>
  </sheetPr>
  <dimension ref="A1:AV99"/>
  <sheetViews>
    <sheetView zoomScaleNormal="100" workbookViewId="0">
      <selection activeCell="A86" sqref="A86"/>
    </sheetView>
  </sheetViews>
  <sheetFormatPr defaultRowHeight="15" x14ac:dyDescent="0.25"/>
  <cols>
    <col min="1" max="1" width="31.5703125" style="1" customWidth="1"/>
    <col min="2" max="2" width="7.5703125" bestFit="1" customWidth="1"/>
    <col min="3" max="4" width="7.5703125" customWidth="1"/>
    <col min="5" max="5" width="14.42578125" customWidth="1"/>
    <col min="6" max="7" width="11.5703125" bestFit="1" customWidth="1"/>
    <col min="8" max="9" width="12.5703125" bestFit="1" customWidth="1"/>
    <col min="10" max="10" width="13.42578125" bestFit="1" customWidth="1"/>
    <col min="11" max="15" width="12.5703125" bestFit="1" customWidth="1"/>
    <col min="16" max="16" width="14.42578125" bestFit="1" customWidth="1"/>
    <col min="17" max="22" width="12.5703125" bestFit="1" customWidth="1"/>
    <col min="23" max="23" width="14.42578125" bestFit="1" customWidth="1"/>
    <col min="24" max="24" width="12.5703125" bestFit="1" customWidth="1"/>
    <col min="25" max="26" width="12.5703125" customWidth="1"/>
  </cols>
  <sheetData>
    <row r="1" spans="1:40" ht="15.75" x14ac:dyDescent="0.25">
      <c r="A1" s="168" t="s">
        <v>79</v>
      </c>
      <c r="B1" s="168" t="s">
        <v>80</v>
      </c>
      <c r="C1" s="208">
        <v>2020</v>
      </c>
      <c r="D1" s="208">
        <v>2021</v>
      </c>
      <c r="E1" s="208">
        <v>2022</v>
      </c>
      <c r="F1" s="208">
        <f t="shared" ref="F1:Y1" si="0">E1+1</f>
        <v>2023</v>
      </c>
      <c r="G1" s="208">
        <f t="shared" si="0"/>
        <v>2024</v>
      </c>
      <c r="H1" s="208">
        <f t="shared" si="0"/>
        <v>2025</v>
      </c>
      <c r="I1" s="208">
        <f t="shared" si="0"/>
        <v>2026</v>
      </c>
      <c r="J1" s="208">
        <f t="shared" si="0"/>
        <v>2027</v>
      </c>
      <c r="K1" s="208">
        <f t="shared" si="0"/>
        <v>2028</v>
      </c>
      <c r="L1" s="208">
        <f t="shared" si="0"/>
        <v>2029</v>
      </c>
      <c r="M1" s="208">
        <f t="shared" si="0"/>
        <v>2030</v>
      </c>
      <c r="N1" s="208">
        <f t="shared" si="0"/>
        <v>2031</v>
      </c>
      <c r="O1" s="208">
        <f t="shared" si="0"/>
        <v>2032</v>
      </c>
      <c r="P1" s="208">
        <f t="shared" si="0"/>
        <v>2033</v>
      </c>
      <c r="Q1" s="208">
        <f t="shared" si="0"/>
        <v>2034</v>
      </c>
      <c r="R1" s="208">
        <f t="shared" si="0"/>
        <v>2035</v>
      </c>
      <c r="S1" s="208">
        <f t="shared" si="0"/>
        <v>2036</v>
      </c>
      <c r="T1" s="208">
        <f t="shared" si="0"/>
        <v>2037</v>
      </c>
      <c r="U1" s="208">
        <f t="shared" si="0"/>
        <v>2038</v>
      </c>
      <c r="V1" s="208">
        <f t="shared" si="0"/>
        <v>2039</v>
      </c>
      <c r="W1" s="208">
        <f t="shared" si="0"/>
        <v>2040</v>
      </c>
      <c r="X1" s="208">
        <f t="shared" si="0"/>
        <v>2041</v>
      </c>
      <c r="Y1" s="208">
        <f t="shared" si="0"/>
        <v>2042</v>
      </c>
      <c r="Z1" s="208">
        <f t="shared" ref="Z1" si="1">Y1+1</f>
        <v>2043</v>
      </c>
    </row>
    <row r="2" spans="1:40" ht="15.75" x14ac:dyDescent="0.25">
      <c r="A2" s="168" t="s">
        <v>81</v>
      </c>
      <c r="B2" s="9">
        <v>2022</v>
      </c>
      <c r="C2" s="8"/>
      <c r="D2" s="8"/>
      <c r="E2" s="11"/>
      <c r="F2" s="11"/>
      <c r="G2" s="11"/>
      <c r="H2" s="230">
        <v>0</v>
      </c>
      <c r="I2" s="230">
        <v>0</v>
      </c>
      <c r="J2" s="230">
        <v>0</v>
      </c>
      <c r="K2" s="230">
        <v>0</v>
      </c>
      <c r="L2" s="230">
        <v>0</v>
      </c>
      <c r="M2" s="230">
        <v>0</v>
      </c>
      <c r="N2" s="230">
        <v>0</v>
      </c>
      <c r="O2" s="230">
        <v>0</v>
      </c>
      <c r="P2" s="230">
        <v>0</v>
      </c>
      <c r="Q2" s="230">
        <v>0</v>
      </c>
      <c r="R2" s="230">
        <v>0</v>
      </c>
      <c r="S2" s="230">
        <v>0</v>
      </c>
      <c r="T2" s="230">
        <v>0</v>
      </c>
      <c r="U2" s="230">
        <v>0</v>
      </c>
      <c r="V2" s="230">
        <v>0</v>
      </c>
      <c r="W2" s="230">
        <v>0</v>
      </c>
      <c r="X2" s="230">
        <v>0</v>
      </c>
      <c r="Y2" s="230">
        <v>0</v>
      </c>
      <c r="Z2" s="230">
        <v>0</v>
      </c>
    </row>
    <row r="3" spans="1:40" ht="15.75" x14ac:dyDescent="0.25">
      <c r="A3" s="168" t="s">
        <v>81</v>
      </c>
      <c r="B3" s="9">
        <f>B2+1</f>
        <v>2023</v>
      </c>
      <c r="C3" s="9"/>
      <c r="D3" s="9"/>
      <c r="E3" s="11"/>
      <c r="F3" s="11"/>
      <c r="G3" s="11"/>
      <c r="H3" s="230">
        <v>76224.164383561641</v>
      </c>
      <c r="I3" s="230">
        <v>521340.04924657533</v>
      </c>
      <c r="J3" s="19">
        <v>824320.68500000006</v>
      </c>
      <c r="K3" s="19">
        <v>824320.68500000006</v>
      </c>
      <c r="L3" s="19">
        <v>824320.68500000006</v>
      </c>
      <c r="M3" s="19">
        <v>824320.68500000006</v>
      </c>
      <c r="N3" s="19">
        <v>824320.68500000006</v>
      </c>
      <c r="O3" s="19">
        <v>824320.68500000006</v>
      </c>
      <c r="P3" s="19">
        <v>824320.68500000006</v>
      </c>
      <c r="Q3" s="19">
        <v>824320.68500000006</v>
      </c>
      <c r="R3" s="19">
        <v>824320.68500000006</v>
      </c>
      <c r="S3" s="19">
        <v>824320.68500000006</v>
      </c>
      <c r="T3" s="19">
        <v>824320.68500000006</v>
      </c>
      <c r="U3" s="19">
        <v>824320.68500000006</v>
      </c>
      <c r="V3" s="19">
        <v>824320.68500000006</v>
      </c>
      <c r="W3" s="19">
        <v>824320.68500000006</v>
      </c>
      <c r="X3" s="19">
        <v>824320.68500000006</v>
      </c>
      <c r="Y3" s="19">
        <v>824320.68500000006</v>
      </c>
      <c r="Z3" s="19">
        <v>824320.68500000006</v>
      </c>
    </row>
    <row r="4" spans="1:40" ht="15.75" x14ac:dyDescent="0.25">
      <c r="A4" s="168" t="s">
        <v>81</v>
      </c>
      <c r="B4" s="9">
        <f t="shared" ref="B4:B22" si="2">B3+1</f>
        <v>2024</v>
      </c>
      <c r="C4" s="9"/>
      <c r="D4" s="9"/>
      <c r="E4" s="11"/>
      <c r="F4" s="11"/>
      <c r="G4" s="11"/>
      <c r="H4" s="230">
        <v>0</v>
      </c>
      <c r="I4" s="230">
        <v>58934.301369863009</v>
      </c>
      <c r="J4" s="69">
        <v>986620.44239726011</v>
      </c>
      <c r="K4" s="69">
        <v>2281048.3704109588</v>
      </c>
      <c r="L4" s="69">
        <v>2846859.6799999997</v>
      </c>
      <c r="M4" s="69">
        <v>2846859.6799999997</v>
      </c>
      <c r="N4" s="69">
        <v>2846859.6799999997</v>
      </c>
      <c r="O4" s="69">
        <v>2846859.6799999997</v>
      </c>
      <c r="P4" s="69">
        <v>2846859.6799999997</v>
      </c>
      <c r="Q4" s="69">
        <v>2846859.6799999997</v>
      </c>
      <c r="R4" s="69">
        <v>2846859.6799999997</v>
      </c>
      <c r="S4" s="69">
        <v>2846859.6799999997</v>
      </c>
      <c r="T4" s="69">
        <v>2846859.6799999997</v>
      </c>
      <c r="U4" s="69">
        <v>2846859.6799999997</v>
      </c>
      <c r="V4" s="69">
        <v>2846859.6799999997</v>
      </c>
      <c r="W4" s="69">
        <v>2846859.6799999997</v>
      </c>
      <c r="X4" s="69">
        <v>2846859.6799999997</v>
      </c>
      <c r="Y4" s="69">
        <v>2846859.6799999997</v>
      </c>
      <c r="Z4" s="69">
        <v>2846859.6799999997</v>
      </c>
    </row>
    <row r="5" spans="1:40" ht="15.75" x14ac:dyDescent="0.25">
      <c r="A5" s="168" t="s">
        <v>81</v>
      </c>
      <c r="B5" s="9">
        <f t="shared" si="2"/>
        <v>2025</v>
      </c>
      <c r="C5" s="9"/>
      <c r="D5" s="9"/>
      <c r="E5" s="11"/>
      <c r="F5" s="11"/>
      <c r="G5" s="11"/>
      <c r="H5" s="230"/>
      <c r="I5" s="230"/>
      <c r="J5" s="230">
        <v>0</v>
      </c>
      <c r="K5" s="230">
        <v>2500000</v>
      </c>
      <c r="L5" s="230">
        <v>2500000</v>
      </c>
      <c r="M5" s="230">
        <v>2500000</v>
      </c>
      <c r="N5" s="230">
        <v>2500000</v>
      </c>
      <c r="O5" s="230">
        <v>2500000</v>
      </c>
      <c r="P5" s="230">
        <v>2500000</v>
      </c>
      <c r="Q5" s="230">
        <v>2500000</v>
      </c>
      <c r="R5" s="230">
        <v>2500000</v>
      </c>
      <c r="S5" s="230">
        <v>2500000</v>
      </c>
      <c r="T5" s="230">
        <v>2500000</v>
      </c>
      <c r="U5" s="230">
        <v>2500000</v>
      </c>
      <c r="V5" s="230">
        <v>2500000</v>
      </c>
      <c r="W5" s="230">
        <v>2500000</v>
      </c>
      <c r="X5" s="230">
        <v>2500000</v>
      </c>
      <c r="Y5" s="230">
        <v>2500000</v>
      </c>
      <c r="Z5" s="230">
        <v>2500000</v>
      </c>
    </row>
    <row r="6" spans="1:40" ht="15.75" x14ac:dyDescent="0.25">
      <c r="A6" s="168" t="s">
        <v>81</v>
      </c>
      <c r="B6" s="9">
        <f t="shared" si="2"/>
        <v>2026</v>
      </c>
      <c r="C6" s="9"/>
      <c r="D6" s="9"/>
      <c r="E6" s="11"/>
      <c r="F6" s="11"/>
      <c r="G6" s="11"/>
      <c r="H6" s="230"/>
      <c r="I6" s="230">
        <v>0</v>
      </c>
      <c r="J6" s="230">
        <v>0</v>
      </c>
      <c r="K6" s="230">
        <v>0</v>
      </c>
      <c r="L6" s="230">
        <f t="shared" ref="L6:Z6" si="3">IF($A$86="Yes",0,2500000)</f>
        <v>2500000</v>
      </c>
      <c r="M6" s="230">
        <f t="shared" si="3"/>
        <v>2500000</v>
      </c>
      <c r="N6" s="230">
        <f t="shared" si="3"/>
        <v>2500000</v>
      </c>
      <c r="O6" s="230">
        <f t="shared" si="3"/>
        <v>2500000</v>
      </c>
      <c r="P6" s="230">
        <f t="shared" si="3"/>
        <v>2500000</v>
      </c>
      <c r="Q6" s="230">
        <f t="shared" si="3"/>
        <v>2500000</v>
      </c>
      <c r="R6" s="230">
        <f t="shared" si="3"/>
        <v>2500000</v>
      </c>
      <c r="S6" s="230">
        <f t="shared" si="3"/>
        <v>2500000</v>
      </c>
      <c r="T6" s="230">
        <f t="shared" si="3"/>
        <v>2500000</v>
      </c>
      <c r="U6" s="230">
        <f t="shared" si="3"/>
        <v>2500000</v>
      </c>
      <c r="V6" s="230">
        <f t="shared" si="3"/>
        <v>2500000</v>
      </c>
      <c r="W6" s="230">
        <f t="shared" si="3"/>
        <v>2500000</v>
      </c>
      <c r="X6" s="230">
        <f t="shared" si="3"/>
        <v>2500000</v>
      </c>
      <c r="Y6" s="230">
        <f t="shared" si="3"/>
        <v>2500000</v>
      </c>
      <c r="Z6" s="230">
        <f t="shared" si="3"/>
        <v>2500000</v>
      </c>
    </row>
    <row r="7" spans="1:40" ht="15.75" x14ac:dyDescent="0.25">
      <c r="A7" s="168" t="s">
        <v>81</v>
      </c>
      <c r="B7" s="9">
        <f t="shared" si="2"/>
        <v>2027</v>
      </c>
      <c r="C7" s="9"/>
      <c r="D7" s="9"/>
      <c r="E7" s="11"/>
      <c r="F7" s="11"/>
      <c r="G7" s="11"/>
      <c r="H7" s="230"/>
      <c r="I7" s="230"/>
      <c r="J7" s="230">
        <v>0</v>
      </c>
      <c r="K7" s="230">
        <v>0</v>
      </c>
      <c r="L7" s="230">
        <v>0</v>
      </c>
      <c r="M7" s="230">
        <f t="shared" ref="M7:Z7" si="4">IF($A$86="Yes",0,2500000)</f>
        <v>2500000</v>
      </c>
      <c r="N7" s="230">
        <f t="shared" si="4"/>
        <v>2500000</v>
      </c>
      <c r="O7" s="230">
        <f t="shared" si="4"/>
        <v>2500000</v>
      </c>
      <c r="P7" s="230">
        <f t="shared" si="4"/>
        <v>2500000</v>
      </c>
      <c r="Q7" s="230">
        <f t="shared" si="4"/>
        <v>2500000</v>
      </c>
      <c r="R7" s="230">
        <f t="shared" si="4"/>
        <v>2500000</v>
      </c>
      <c r="S7" s="230">
        <f t="shared" si="4"/>
        <v>2500000</v>
      </c>
      <c r="T7" s="230">
        <f t="shared" si="4"/>
        <v>2500000</v>
      </c>
      <c r="U7" s="230">
        <f t="shared" si="4"/>
        <v>2500000</v>
      </c>
      <c r="V7" s="230">
        <f t="shared" si="4"/>
        <v>2500000</v>
      </c>
      <c r="W7" s="230">
        <f t="shared" si="4"/>
        <v>2500000</v>
      </c>
      <c r="X7" s="230">
        <f t="shared" si="4"/>
        <v>2500000</v>
      </c>
      <c r="Y7" s="230">
        <f t="shared" si="4"/>
        <v>2500000</v>
      </c>
      <c r="Z7" s="286">
        <f t="shared" si="4"/>
        <v>2500000</v>
      </c>
      <c r="AA7" s="288"/>
      <c r="AB7" s="288"/>
      <c r="AC7" s="288"/>
      <c r="AD7" s="288"/>
      <c r="AE7" s="288"/>
      <c r="AF7" s="288"/>
      <c r="AG7" s="288"/>
      <c r="AH7" s="288"/>
      <c r="AI7" s="288"/>
      <c r="AJ7" s="288"/>
      <c r="AK7" s="288"/>
      <c r="AL7" s="288"/>
      <c r="AM7" s="288"/>
      <c r="AN7" s="288"/>
    </row>
    <row r="8" spans="1:40" ht="15.75" x14ac:dyDescent="0.25">
      <c r="A8" s="168" t="s">
        <v>81</v>
      </c>
      <c r="B8" s="9">
        <f t="shared" si="2"/>
        <v>2028</v>
      </c>
      <c r="C8" s="9"/>
      <c r="D8" s="9"/>
      <c r="E8" s="11"/>
      <c r="F8" s="11"/>
      <c r="G8" s="11"/>
      <c r="H8" s="230"/>
      <c r="I8" s="230"/>
      <c r="J8" s="230"/>
      <c r="K8" s="230">
        <v>0</v>
      </c>
      <c r="L8" s="230">
        <v>0</v>
      </c>
      <c r="M8" s="230">
        <v>0</v>
      </c>
      <c r="N8" s="230">
        <f t="shared" ref="N8:Z8" si="5">IF($A$86="Yes",0,2500000)</f>
        <v>2500000</v>
      </c>
      <c r="O8" s="230">
        <f t="shared" si="5"/>
        <v>2500000</v>
      </c>
      <c r="P8" s="230">
        <f t="shared" si="5"/>
        <v>2500000</v>
      </c>
      <c r="Q8" s="230">
        <f t="shared" si="5"/>
        <v>2500000</v>
      </c>
      <c r="R8" s="230">
        <f t="shared" si="5"/>
        <v>2500000</v>
      </c>
      <c r="S8" s="230">
        <f t="shared" si="5"/>
        <v>2500000</v>
      </c>
      <c r="T8" s="230">
        <f t="shared" si="5"/>
        <v>2500000</v>
      </c>
      <c r="U8" s="230">
        <f t="shared" si="5"/>
        <v>2500000</v>
      </c>
      <c r="V8" s="230">
        <f t="shared" si="5"/>
        <v>2500000</v>
      </c>
      <c r="W8" s="230">
        <f t="shared" si="5"/>
        <v>2500000</v>
      </c>
      <c r="X8" s="230">
        <f t="shared" si="5"/>
        <v>2500000</v>
      </c>
      <c r="Y8" s="230">
        <f t="shared" si="5"/>
        <v>2500000</v>
      </c>
      <c r="Z8" s="286">
        <f t="shared" si="5"/>
        <v>2500000</v>
      </c>
      <c r="AA8" s="289"/>
      <c r="AB8" s="288"/>
      <c r="AC8" s="288"/>
      <c r="AD8" s="288"/>
      <c r="AE8" s="288"/>
      <c r="AF8" s="288"/>
      <c r="AG8" s="288"/>
      <c r="AH8" s="288"/>
      <c r="AI8" s="288"/>
      <c r="AJ8" s="288"/>
      <c r="AK8" s="288"/>
      <c r="AL8" s="288"/>
      <c r="AM8" s="288"/>
      <c r="AN8" s="288"/>
    </row>
    <row r="9" spans="1:40" ht="15.75" x14ac:dyDescent="0.25">
      <c r="A9" s="168" t="s">
        <v>81</v>
      </c>
      <c r="B9" s="9">
        <f t="shared" si="2"/>
        <v>2029</v>
      </c>
      <c r="C9" s="9"/>
      <c r="D9" s="9"/>
      <c r="E9" s="11"/>
      <c r="F9" s="11"/>
      <c r="G9" s="11"/>
      <c r="H9" s="230"/>
      <c r="I9" s="230"/>
      <c r="J9" s="230"/>
      <c r="K9" s="230"/>
      <c r="L9" s="230">
        <v>0</v>
      </c>
      <c r="M9" s="230">
        <v>0</v>
      </c>
      <c r="N9" s="230">
        <v>0</v>
      </c>
      <c r="O9" s="230">
        <f t="shared" ref="O9:Z9" si="6">IF($A$86="Yes",0,2500000)</f>
        <v>2500000</v>
      </c>
      <c r="P9" s="230">
        <f t="shared" si="6"/>
        <v>2500000</v>
      </c>
      <c r="Q9" s="230">
        <f t="shared" si="6"/>
        <v>2500000</v>
      </c>
      <c r="R9" s="230">
        <f t="shared" si="6"/>
        <v>2500000</v>
      </c>
      <c r="S9" s="230">
        <f t="shared" si="6"/>
        <v>2500000</v>
      </c>
      <c r="T9" s="230">
        <f t="shared" si="6"/>
        <v>2500000</v>
      </c>
      <c r="U9" s="230">
        <f t="shared" si="6"/>
        <v>2500000</v>
      </c>
      <c r="V9" s="230">
        <f t="shared" si="6"/>
        <v>2500000</v>
      </c>
      <c r="W9" s="230">
        <f t="shared" si="6"/>
        <v>2500000</v>
      </c>
      <c r="X9" s="230">
        <f t="shared" si="6"/>
        <v>2500000</v>
      </c>
      <c r="Y9" s="230">
        <f t="shared" si="6"/>
        <v>2500000</v>
      </c>
      <c r="Z9" s="286">
        <f t="shared" si="6"/>
        <v>2500000</v>
      </c>
      <c r="AA9" s="289"/>
      <c r="AB9" s="289"/>
      <c r="AC9" s="288"/>
      <c r="AD9" s="288"/>
      <c r="AE9" s="288"/>
      <c r="AF9" s="288"/>
      <c r="AG9" s="288"/>
      <c r="AH9" s="288"/>
      <c r="AI9" s="288"/>
      <c r="AJ9" s="288"/>
      <c r="AK9" s="288"/>
      <c r="AL9" s="288"/>
      <c r="AM9" s="288"/>
      <c r="AN9" s="288"/>
    </row>
    <row r="10" spans="1:40" ht="15.75" x14ac:dyDescent="0.25">
      <c r="A10" s="168" t="s">
        <v>81</v>
      </c>
      <c r="B10" s="9">
        <f t="shared" si="2"/>
        <v>2030</v>
      </c>
      <c r="C10" s="9"/>
      <c r="D10" s="9"/>
      <c r="E10" s="11"/>
      <c r="F10" s="11"/>
      <c r="G10" s="11"/>
      <c r="H10" s="230"/>
      <c r="I10" s="230"/>
      <c r="J10" s="230"/>
      <c r="K10" s="230"/>
      <c r="L10" s="230"/>
      <c r="M10" s="230">
        <v>0</v>
      </c>
      <c r="N10" s="230">
        <v>0</v>
      </c>
      <c r="O10" s="230">
        <v>0</v>
      </c>
      <c r="P10" s="230">
        <f t="shared" ref="P10:Z10" si="7">IF($A$86="Yes",0,1000000)</f>
        <v>1000000</v>
      </c>
      <c r="Q10" s="230">
        <f t="shared" si="7"/>
        <v>1000000</v>
      </c>
      <c r="R10" s="230">
        <f t="shared" si="7"/>
        <v>1000000</v>
      </c>
      <c r="S10" s="230">
        <f t="shared" si="7"/>
        <v>1000000</v>
      </c>
      <c r="T10" s="230">
        <f t="shared" si="7"/>
        <v>1000000</v>
      </c>
      <c r="U10" s="230">
        <f t="shared" si="7"/>
        <v>1000000</v>
      </c>
      <c r="V10" s="230">
        <f t="shared" si="7"/>
        <v>1000000</v>
      </c>
      <c r="W10" s="230">
        <f t="shared" si="7"/>
        <v>1000000</v>
      </c>
      <c r="X10" s="230">
        <f t="shared" si="7"/>
        <v>1000000</v>
      </c>
      <c r="Y10" s="230">
        <f t="shared" si="7"/>
        <v>1000000</v>
      </c>
      <c r="Z10" s="230">
        <f t="shared" si="7"/>
        <v>1000000</v>
      </c>
      <c r="AA10" s="289"/>
      <c r="AB10" s="289"/>
      <c r="AC10" s="289"/>
      <c r="AD10" s="288"/>
      <c r="AE10" s="288"/>
      <c r="AF10" s="288"/>
      <c r="AG10" s="288"/>
      <c r="AH10" s="288"/>
      <c r="AI10" s="288"/>
      <c r="AJ10" s="288"/>
      <c r="AK10" s="288"/>
      <c r="AL10" s="288"/>
      <c r="AM10" s="288"/>
      <c r="AN10" s="288"/>
    </row>
    <row r="11" spans="1:40" ht="15.75" x14ac:dyDescent="0.25">
      <c r="A11" s="168" t="s">
        <v>81</v>
      </c>
      <c r="B11" s="9">
        <f t="shared" si="2"/>
        <v>2031</v>
      </c>
      <c r="C11" s="9"/>
      <c r="D11" s="9"/>
      <c r="E11" s="11"/>
      <c r="F11" s="11"/>
      <c r="G11" s="11"/>
      <c r="H11" s="230"/>
      <c r="I11" s="230"/>
      <c r="J11" s="230"/>
      <c r="K11" s="230"/>
      <c r="L11" s="230"/>
      <c r="M11" s="230"/>
      <c r="N11" s="230">
        <v>0</v>
      </c>
      <c r="O11" s="230">
        <v>0</v>
      </c>
      <c r="P11" s="230">
        <v>0</v>
      </c>
      <c r="Q11" s="230">
        <f t="shared" ref="Q11:Z11" si="8">IF($A$86="Yes",0,1000000)</f>
        <v>1000000</v>
      </c>
      <c r="R11" s="230">
        <f t="shared" si="8"/>
        <v>1000000</v>
      </c>
      <c r="S11" s="230">
        <f t="shared" si="8"/>
        <v>1000000</v>
      </c>
      <c r="T11" s="230">
        <f t="shared" si="8"/>
        <v>1000000</v>
      </c>
      <c r="U11" s="230">
        <f t="shared" si="8"/>
        <v>1000000</v>
      </c>
      <c r="V11" s="230">
        <f t="shared" si="8"/>
        <v>1000000</v>
      </c>
      <c r="W11" s="230">
        <f t="shared" si="8"/>
        <v>1000000</v>
      </c>
      <c r="X11" s="230">
        <f t="shared" si="8"/>
        <v>1000000</v>
      </c>
      <c r="Y11" s="230">
        <f t="shared" si="8"/>
        <v>1000000</v>
      </c>
      <c r="Z11" s="230">
        <f t="shared" si="8"/>
        <v>1000000</v>
      </c>
      <c r="AA11" s="289"/>
      <c r="AB11" s="289"/>
      <c r="AC11" s="289"/>
      <c r="AD11" s="289"/>
      <c r="AE11" s="288"/>
      <c r="AF11" s="288"/>
      <c r="AG11" s="288"/>
      <c r="AH11" s="288"/>
      <c r="AI11" s="288"/>
      <c r="AJ11" s="288"/>
      <c r="AK11" s="288"/>
      <c r="AL11" s="288"/>
      <c r="AM11" s="288"/>
      <c r="AN11" s="288"/>
    </row>
    <row r="12" spans="1:40" ht="15.75" x14ac:dyDescent="0.25">
      <c r="A12" s="168" t="s">
        <v>81</v>
      </c>
      <c r="B12" s="9">
        <f t="shared" si="2"/>
        <v>2032</v>
      </c>
      <c r="C12" s="9"/>
      <c r="D12" s="9"/>
      <c r="E12" s="11"/>
      <c r="F12" s="11"/>
      <c r="G12" s="11"/>
      <c r="H12" s="230"/>
      <c r="I12" s="230"/>
      <c r="J12" s="230"/>
      <c r="K12" s="230"/>
      <c r="L12" s="230"/>
      <c r="M12" s="230"/>
      <c r="N12" s="230"/>
      <c r="O12" s="230">
        <v>0</v>
      </c>
      <c r="P12" s="230">
        <v>0</v>
      </c>
      <c r="Q12" s="230">
        <v>0</v>
      </c>
      <c r="R12" s="230">
        <f t="shared" ref="R12:Z12" si="9">IF($A$86="Yes",0,1000000)</f>
        <v>1000000</v>
      </c>
      <c r="S12" s="230">
        <f t="shared" si="9"/>
        <v>1000000</v>
      </c>
      <c r="T12" s="230">
        <f t="shared" si="9"/>
        <v>1000000</v>
      </c>
      <c r="U12" s="230">
        <f t="shared" si="9"/>
        <v>1000000</v>
      </c>
      <c r="V12" s="230">
        <f t="shared" si="9"/>
        <v>1000000</v>
      </c>
      <c r="W12" s="230">
        <f t="shared" si="9"/>
        <v>1000000</v>
      </c>
      <c r="X12" s="230">
        <f t="shared" si="9"/>
        <v>1000000</v>
      </c>
      <c r="Y12" s="230">
        <f t="shared" si="9"/>
        <v>1000000</v>
      </c>
      <c r="Z12" s="230">
        <f t="shared" si="9"/>
        <v>1000000</v>
      </c>
      <c r="AA12" s="230"/>
      <c r="AB12" s="289"/>
      <c r="AC12" s="289"/>
      <c r="AD12" s="289"/>
      <c r="AE12" s="289"/>
      <c r="AF12" s="288"/>
      <c r="AG12" s="288"/>
      <c r="AH12" s="288"/>
      <c r="AI12" s="288"/>
      <c r="AJ12" s="288"/>
      <c r="AK12" s="288"/>
      <c r="AL12" s="288"/>
      <c r="AM12" s="288"/>
      <c r="AN12" s="288"/>
    </row>
    <row r="13" spans="1:40" ht="15.75" x14ac:dyDescent="0.25">
      <c r="A13" s="168" t="s">
        <v>81</v>
      </c>
      <c r="B13" s="9">
        <f t="shared" si="2"/>
        <v>2033</v>
      </c>
      <c r="C13" s="9"/>
      <c r="D13" s="9"/>
      <c r="E13" s="11"/>
      <c r="F13" s="11"/>
      <c r="G13" s="11"/>
      <c r="H13" s="230"/>
      <c r="I13" s="230"/>
      <c r="J13" s="230"/>
      <c r="K13" s="230"/>
      <c r="L13" s="230"/>
      <c r="M13" s="230"/>
      <c r="N13" s="230"/>
      <c r="O13" s="230"/>
      <c r="P13" s="230">
        <v>0</v>
      </c>
      <c r="Q13" s="230">
        <v>0</v>
      </c>
      <c r="R13" s="230">
        <v>0</v>
      </c>
      <c r="S13" s="230">
        <f t="shared" ref="S13:Z13" si="10">IF($A$86="Yes",0,1000000)</f>
        <v>1000000</v>
      </c>
      <c r="T13" s="230">
        <f t="shared" si="10"/>
        <v>1000000</v>
      </c>
      <c r="U13" s="230">
        <f t="shared" si="10"/>
        <v>1000000</v>
      </c>
      <c r="V13" s="230">
        <f t="shared" si="10"/>
        <v>1000000</v>
      </c>
      <c r="W13" s="230">
        <f t="shared" si="10"/>
        <v>1000000</v>
      </c>
      <c r="X13" s="230">
        <f t="shared" si="10"/>
        <v>1000000</v>
      </c>
      <c r="Y13" s="230">
        <f t="shared" si="10"/>
        <v>1000000</v>
      </c>
      <c r="Z13" s="230">
        <f t="shared" si="10"/>
        <v>1000000</v>
      </c>
      <c r="AA13" s="230"/>
      <c r="AB13" s="230"/>
      <c r="AC13" s="289"/>
      <c r="AD13" s="289"/>
      <c r="AE13" s="289"/>
      <c r="AF13" s="289"/>
      <c r="AG13" s="288"/>
      <c r="AH13" s="288"/>
      <c r="AI13" s="288"/>
      <c r="AJ13" s="288"/>
      <c r="AK13" s="288"/>
      <c r="AL13" s="288"/>
      <c r="AM13" s="288"/>
      <c r="AN13" s="288"/>
    </row>
    <row r="14" spans="1:40" ht="15.75" x14ac:dyDescent="0.25">
      <c r="A14" s="168" t="s">
        <v>81</v>
      </c>
      <c r="B14" s="9">
        <f t="shared" si="2"/>
        <v>2034</v>
      </c>
      <c r="C14" s="9"/>
      <c r="D14" s="9"/>
      <c r="E14" s="11"/>
      <c r="F14" s="11"/>
      <c r="G14" s="11"/>
      <c r="H14" s="230"/>
      <c r="I14" s="230"/>
      <c r="J14" s="230"/>
      <c r="K14" s="230"/>
      <c r="L14" s="230"/>
      <c r="M14" s="230"/>
      <c r="N14" s="230"/>
      <c r="O14" s="230"/>
      <c r="P14" s="230"/>
      <c r="Q14" s="230">
        <v>0</v>
      </c>
      <c r="R14" s="230">
        <v>0</v>
      </c>
      <c r="S14" s="230">
        <v>0</v>
      </c>
      <c r="T14" s="230">
        <f t="shared" ref="T14:Z14" si="11">IF($A$86="Yes",0,1000000)</f>
        <v>1000000</v>
      </c>
      <c r="U14" s="230">
        <f t="shared" si="11"/>
        <v>1000000</v>
      </c>
      <c r="V14" s="230">
        <f t="shared" si="11"/>
        <v>1000000</v>
      </c>
      <c r="W14" s="230">
        <f t="shared" si="11"/>
        <v>1000000</v>
      </c>
      <c r="X14" s="230">
        <f t="shared" si="11"/>
        <v>1000000</v>
      </c>
      <c r="Y14" s="230">
        <f t="shared" si="11"/>
        <v>1000000</v>
      </c>
      <c r="Z14" s="230">
        <f t="shared" si="11"/>
        <v>1000000</v>
      </c>
      <c r="AA14" s="230"/>
      <c r="AB14" s="230"/>
      <c r="AC14" s="230"/>
      <c r="AD14" s="289"/>
      <c r="AE14" s="289"/>
      <c r="AF14" s="289"/>
      <c r="AG14" s="289"/>
      <c r="AH14" s="288"/>
      <c r="AI14" s="288"/>
      <c r="AJ14" s="288"/>
      <c r="AK14" s="288"/>
      <c r="AL14" s="288"/>
      <c r="AM14" s="288"/>
      <c r="AN14" s="288"/>
    </row>
    <row r="15" spans="1:40" ht="15.75" x14ac:dyDescent="0.25">
      <c r="A15" s="168" t="s">
        <v>81</v>
      </c>
      <c r="B15" s="9">
        <f t="shared" si="2"/>
        <v>2035</v>
      </c>
      <c r="C15" s="9"/>
      <c r="D15" s="9"/>
      <c r="E15" s="11"/>
      <c r="F15" s="11"/>
      <c r="G15" s="11"/>
      <c r="H15" s="230"/>
      <c r="I15" s="230"/>
      <c r="J15" s="230"/>
      <c r="K15" s="230"/>
      <c r="L15" s="230"/>
      <c r="M15" s="230"/>
      <c r="N15" s="230"/>
      <c r="O15" s="230"/>
      <c r="P15" s="230"/>
      <c r="Q15" s="230"/>
      <c r="R15" s="230">
        <v>0</v>
      </c>
      <c r="S15" s="230">
        <v>0</v>
      </c>
      <c r="T15" s="230">
        <v>0</v>
      </c>
      <c r="U15" s="230">
        <f t="shared" ref="U15:Z15" si="12">IF($A$86="Yes",0,1000000)</f>
        <v>1000000</v>
      </c>
      <c r="V15" s="230">
        <f t="shared" si="12"/>
        <v>1000000</v>
      </c>
      <c r="W15" s="230">
        <f t="shared" si="12"/>
        <v>1000000</v>
      </c>
      <c r="X15" s="230">
        <f t="shared" si="12"/>
        <v>1000000</v>
      </c>
      <c r="Y15" s="230">
        <f t="shared" si="12"/>
        <v>1000000</v>
      </c>
      <c r="Z15" s="230">
        <f t="shared" si="12"/>
        <v>1000000</v>
      </c>
      <c r="AA15" s="230"/>
      <c r="AB15" s="230"/>
      <c r="AC15" s="230"/>
      <c r="AD15" s="230"/>
      <c r="AE15" s="289"/>
      <c r="AF15" s="289"/>
      <c r="AG15" s="289"/>
      <c r="AH15" s="289"/>
      <c r="AI15" s="288"/>
      <c r="AJ15" s="288"/>
      <c r="AK15" s="288"/>
      <c r="AL15" s="288"/>
      <c r="AM15" s="288"/>
      <c r="AN15" s="288"/>
    </row>
    <row r="16" spans="1:40" ht="15.75" x14ac:dyDescent="0.25">
      <c r="A16" s="168" t="s">
        <v>81</v>
      </c>
      <c r="B16" s="9">
        <f t="shared" si="2"/>
        <v>2036</v>
      </c>
      <c r="C16" s="9"/>
      <c r="D16" s="9"/>
      <c r="E16" s="11"/>
      <c r="F16" s="11"/>
      <c r="G16" s="11"/>
      <c r="H16" s="230"/>
      <c r="I16" s="230"/>
      <c r="J16" s="230"/>
      <c r="K16" s="230"/>
      <c r="L16" s="230"/>
      <c r="M16" s="230"/>
      <c r="N16" s="230"/>
      <c r="O16" s="230"/>
      <c r="P16" s="230"/>
      <c r="Q16" s="230"/>
      <c r="R16" s="230"/>
      <c r="S16" s="230">
        <v>0</v>
      </c>
      <c r="T16" s="230">
        <v>0</v>
      </c>
      <c r="U16" s="230">
        <v>0</v>
      </c>
      <c r="V16" s="230">
        <f>IF($A$86="Yes",0,1000000)</f>
        <v>1000000</v>
      </c>
      <c r="W16" s="230">
        <f>IF($A$86="Yes",0,1000000)</f>
        <v>1000000</v>
      </c>
      <c r="X16" s="230">
        <f>IF($A$86="Yes",0,1000000)</f>
        <v>1000000</v>
      </c>
      <c r="Y16" s="230">
        <f>IF($A$86="Yes",0,1000000)</f>
        <v>1000000</v>
      </c>
      <c r="Z16" s="230">
        <f>IF($A$86="Yes",0,1000000)</f>
        <v>1000000</v>
      </c>
      <c r="AA16" s="230"/>
      <c r="AB16" s="230"/>
      <c r="AC16" s="230"/>
      <c r="AD16" s="230"/>
      <c r="AE16" s="230"/>
      <c r="AF16" s="289"/>
      <c r="AG16" s="289"/>
      <c r="AH16" s="289"/>
      <c r="AI16" s="289"/>
      <c r="AJ16" s="288"/>
      <c r="AK16" s="288"/>
      <c r="AL16" s="288"/>
      <c r="AM16" s="288"/>
      <c r="AN16" s="288"/>
    </row>
    <row r="17" spans="1:40" ht="15.75" x14ac:dyDescent="0.25">
      <c r="A17" s="168" t="s">
        <v>81</v>
      </c>
      <c r="B17" s="9">
        <f t="shared" si="2"/>
        <v>2037</v>
      </c>
      <c r="C17" s="9"/>
      <c r="D17" s="9"/>
      <c r="E17" s="11"/>
      <c r="F17" s="11"/>
      <c r="G17" s="11"/>
      <c r="H17" s="230"/>
      <c r="I17" s="230"/>
      <c r="J17" s="230"/>
      <c r="K17" s="230"/>
      <c r="L17" s="230"/>
      <c r="M17" s="230"/>
      <c r="N17" s="230"/>
      <c r="O17" s="230"/>
      <c r="P17" s="230"/>
      <c r="Q17" s="230"/>
      <c r="R17" s="230"/>
      <c r="S17" s="230"/>
      <c r="T17" s="230">
        <v>0</v>
      </c>
      <c r="U17" s="230">
        <v>0</v>
      </c>
      <c r="V17" s="230">
        <v>0</v>
      </c>
      <c r="W17" s="230">
        <f>IF($A$86="Yes",0,1000000)</f>
        <v>1000000</v>
      </c>
      <c r="X17" s="230">
        <f>IF($A$86="Yes",0,1000000)</f>
        <v>1000000</v>
      </c>
      <c r="Y17" s="230">
        <f>IF($A$86="Yes",0,1000000)</f>
        <v>1000000</v>
      </c>
      <c r="Z17" s="230">
        <f>IF($A$86="Yes",0,1000000)</f>
        <v>1000000</v>
      </c>
      <c r="AA17" s="230"/>
      <c r="AB17" s="230"/>
      <c r="AC17" s="230"/>
      <c r="AD17" s="230"/>
      <c r="AE17" s="230"/>
      <c r="AF17" s="230"/>
      <c r="AG17" s="289"/>
      <c r="AH17" s="289"/>
      <c r="AI17" s="289"/>
      <c r="AJ17" s="289"/>
      <c r="AK17" s="288"/>
      <c r="AL17" s="288"/>
      <c r="AM17" s="288"/>
      <c r="AN17" s="288"/>
    </row>
    <row r="18" spans="1:40" ht="15.75" x14ac:dyDescent="0.25">
      <c r="A18" s="168" t="s">
        <v>81</v>
      </c>
      <c r="B18" s="9">
        <f t="shared" si="2"/>
        <v>2038</v>
      </c>
      <c r="C18" s="9"/>
      <c r="D18" s="9"/>
      <c r="E18" s="11"/>
      <c r="F18" s="11"/>
      <c r="G18" s="11"/>
      <c r="H18" s="230"/>
      <c r="I18" s="230"/>
      <c r="J18" s="230"/>
      <c r="K18" s="230"/>
      <c r="L18" s="230"/>
      <c r="M18" s="230"/>
      <c r="N18" s="230"/>
      <c r="O18" s="230"/>
      <c r="P18" s="230"/>
      <c r="Q18" s="230"/>
      <c r="R18" s="230"/>
      <c r="S18" s="230"/>
      <c r="T18" s="230"/>
      <c r="U18" s="230">
        <v>0</v>
      </c>
      <c r="V18" s="230">
        <v>0</v>
      </c>
      <c r="W18" s="230">
        <v>0</v>
      </c>
      <c r="X18" s="230">
        <f>IF($A$86="Yes",0,1000000)</f>
        <v>1000000</v>
      </c>
      <c r="Y18" s="230">
        <f>IF($A$86="Yes",0,1000000)</f>
        <v>1000000</v>
      </c>
      <c r="Z18" s="230">
        <f>IF($A$86="Yes",0,1000000)</f>
        <v>1000000</v>
      </c>
      <c r="AA18" s="230"/>
      <c r="AB18" s="230"/>
      <c r="AC18" s="230"/>
      <c r="AD18" s="230"/>
      <c r="AE18" s="230"/>
      <c r="AF18" s="230"/>
      <c r="AG18" s="230"/>
      <c r="AH18" s="289"/>
      <c r="AI18" s="289"/>
      <c r="AJ18" s="289"/>
      <c r="AK18" s="289"/>
      <c r="AL18" s="288"/>
      <c r="AM18" s="288"/>
      <c r="AN18" s="288"/>
    </row>
    <row r="19" spans="1:40" ht="15.75" x14ac:dyDescent="0.25">
      <c r="A19" s="168" t="s">
        <v>81</v>
      </c>
      <c r="B19" s="9">
        <f t="shared" si="2"/>
        <v>2039</v>
      </c>
      <c r="C19" s="9"/>
      <c r="D19" s="9"/>
      <c r="E19" s="11"/>
      <c r="F19" s="11"/>
      <c r="G19" s="11"/>
      <c r="H19" s="230"/>
      <c r="I19" s="230"/>
      <c r="J19" s="230"/>
      <c r="K19" s="230"/>
      <c r="L19" s="230"/>
      <c r="M19" s="230"/>
      <c r="N19" s="230"/>
      <c r="O19" s="230"/>
      <c r="P19" s="230"/>
      <c r="Q19" s="230"/>
      <c r="R19" s="230"/>
      <c r="S19" s="230"/>
      <c r="T19" s="230"/>
      <c r="U19" s="230"/>
      <c r="V19" s="230">
        <v>0</v>
      </c>
      <c r="W19" s="230">
        <v>0</v>
      </c>
      <c r="X19" s="230">
        <v>0</v>
      </c>
      <c r="Y19" s="230">
        <f>IF($A$86="Yes",0,1000000)</f>
        <v>1000000</v>
      </c>
      <c r="Z19" s="230">
        <f>IF($A$86="Yes",0,1000000)</f>
        <v>1000000</v>
      </c>
      <c r="AA19" s="230"/>
      <c r="AB19" s="230"/>
      <c r="AC19" s="230"/>
      <c r="AD19" s="230"/>
      <c r="AE19" s="230"/>
      <c r="AF19" s="230"/>
      <c r="AG19" s="230"/>
      <c r="AH19" s="230"/>
      <c r="AI19" s="289"/>
      <c r="AJ19" s="289"/>
      <c r="AK19" s="289"/>
      <c r="AL19" s="289"/>
      <c r="AM19" s="288"/>
      <c r="AN19" s="288"/>
    </row>
    <row r="20" spans="1:40" ht="15.75" x14ac:dyDescent="0.25">
      <c r="A20" s="168" t="s">
        <v>81</v>
      </c>
      <c r="B20" s="9">
        <f t="shared" si="2"/>
        <v>2040</v>
      </c>
      <c r="C20" s="9"/>
      <c r="D20" s="9"/>
      <c r="E20" s="11"/>
      <c r="F20" s="11"/>
      <c r="G20" s="11"/>
      <c r="H20" s="230"/>
      <c r="I20" s="230"/>
      <c r="J20" s="230"/>
      <c r="K20" s="230"/>
      <c r="L20" s="230"/>
      <c r="M20" s="230"/>
      <c r="N20" s="230"/>
      <c r="O20" s="230"/>
      <c r="P20" s="230"/>
      <c r="Q20" s="230"/>
      <c r="R20" s="230"/>
      <c r="S20" s="230"/>
      <c r="T20" s="230"/>
      <c r="U20" s="230"/>
      <c r="V20" s="230"/>
      <c r="W20" s="230">
        <v>0</v>
      </c>
      <c r="X20" s="230">
        <v>0</v>
      </c>
      <c r="Y20" s="230">
        <v>0</v>
      </c>
      <c r="Z20" s="230">
        <f>IF($A$86="Yes",0,1000000)</f>
        <v>1000000</v>
      </c>
      <c r="AA20" s="230"/>
      <c r="AB20" s="230"/>
      <c r="AC20" s="230"/>
      <c r="AD20" s="230"/>
      <c r="AE20" s="230"/>
      <c r="AF20" s="230"/>
      <c r="AG20" s="230"/>
      <c r="AH20" s="230"/>
      <c r="AI20" s="230"/>
      <c r="AJ20" s="289"/>
      <c r="AK20" s="289"/>
      <c r="AL20" s="289"/>
      <c r="AM20" s="289"/>
      <c r="AN20" s="288"/>
    </row>
    <row r="21" spans="1:40" ht="15.75" x14ac:dyDescent="0.25">
      <c r="A21" s="168" t="s">
        <v>81</v>
      </c>
      <c r="B21" s="9">
        <f t="shared" si="2"/>
        <v>2041</v>
      </c>
      <c r="C21" s="9"/>
      <c r="D21" s="9"/>
      <c r="E21" s="11"/>
      <c r="F21" s="11"/>
      <c r="G21" s="11"/>
      <c r="H21" s="230"/>
      <c r="I21" s="230"/>
      <c r="J21" s="230"/>
      <c r="K21" s="230"/>
      <c r="L21" s="230"/>
      <c r="M21" s="230"/>
      <c r="N21" s="230"/>
      <c r="O21" s="230"/>
      <c r="P21" s="230"/>
      <c r="Q21" s="230"/>
      <c r="R21" s="230"/>
      <c r="S21" s="230"/>
      <c r="T21" s="230"/>
      <c r="U21" s="230"/>
      <c r="V21" s="230"/>
      <c r="W21" s="230"/>
      <c r="X21" s="230"/>
      <c r="Y21" s="230"/>
      <c r="Z21" s="286"/>
      <c r="AA21" s="288"/>
      <c r="AB21" s="288"/>
      <c r="AC21" s="288"/>
      <c r="AD21" s="288"/>
      <c r="AE21" s="288"/>
      <c r="AF21" s="288"/>
      <c r="AG21" s="288"/>
      <c r="AH21" s="288"/>
      <c r="AI21" s="288"/>
      <c r="AJ21" s="288"/>
      <c r="AK21" s="288"/>
      <c r="AL21" s="288"/>
      <c r="AM21" s="288"/>
      <c r="AN21" s="288"/>
    </row>
    <row r="22" spans="1:40" ht="15.75" x14ac:dyDescent="0.25">
      <c r="A22" s="168" t="s">
        <v>81</v>
      </c>
      <c r="B22" s="9">
        <f t="shared" si="2"/>
        <v>2042</v>
      </c>
      <c r="C22" s="9"/>
      <c r="D22" s="9"/>
      <c r="E22" s="11"/>
      <c r="F22" s="11"/>
      <c r="G22" s="11"/>
      <c r="H22" s="230"/>
      <c r="I22" s="230"/>
      <c r="J22" s="230"/>
      <c r="K22" s="230"/>
      <c r="L22" s="230"/>
      <c r="M22" s="230"/>
      <c r="N22" s="230"/>
      <c r="O22" s="230"/>
      <c r="P22" s="230"/>
      <c r="Q22" s="230"/>
      <c r="R22" s="230"/>
      <c r="S22" s="230"/>
      <c r="T22" s="230"/>
      <c r="U22" s="230"/>
      <c r="V22" s="230"/>
      <c r="W22" s="230"/>
      <c r="X22" s="230"/>
      <c r="Y22" s="230"/>
      <c r="Z22" s="286"/>
      <c r="AA22" s="288"/>
      <c r="AB22" s="288"/>
      <c r="AC22" s="288"/>
      <c r="AD22" s="288"/>
      <c r="AE22" s="288"/>
      <c r="AF22" s="288"/>
      <c r="AG22" s="288"/>
      <c r="AH22" s="288"/>
      <c r="AI22" s="288"/>
      <c r="AJ22" s="288"/>
      <c r="AK22" s="288"/>
      <c r="AL22" s="288"/>
      <c r="AM22" s="288"/>
      <c r="AN22" s="288"/>
    </row>
    <row r="23" spans="1:40" ht="15.75" x14ac:dyDescent="0.25">
      <c r="A23" s="10" t="s">
        <v>82</v>
      </c>
      <c r="B23" s="9">
        <v>2022</v>
      </c>
      <c r="C23" s="9"/>
      <c r="D23" s="9"/>
      <c r="E23" s="7"/>
      <c r="F23" s="7"/>
      <c r="G23" s="7"/>
      <c r="H23" s="231">
        <v>0</v>
      </c>
      <c r="I23" s="231">
        <v>0</v>
      </c>
      <c r="J23" s="231">
        <v>577096.6465753424</v>
      </c>
      <c r="K23" s="231">
        <v>1325389.6710958905</v>
      </c>
      <c r="L23" s="231">
        <v>1341760.91285</v>
      </c>
      <c r="M23" s="231">
        <v>1335052.10828575</v>
      </c>
      <c r="N23" s="231">
        <v>1328376.8477443212</v>
      </c>
      <c r="O23" s="231">
        <v>1321734.9635055996</v>
      </c>
      <c r="P23" s="231">
        <v>1315126.2886880715</v>
      </c>
      <c r="Q23" s="231">
        <v>1308550.6572446311</v>
      </c>
      <c r="R23" s="231">
        <v>1302007.9039584079</v>
      </c>
      <c r="S23" s="231">
        <v>1295497.864438616</v>
      </c>
      <c r="T23" s="231">
        <v>1289020.3751164228</v>
      </c>
      <c r="U23" s="231">
        <v>1282575.2732408408</v>
      </c>
      <c r="V23" s="231">
        <v>1276162.3968746366</v>
      </c>
      <c r="W23" s="231">
        <v>1269781.5848902634</v>
      </c>
      <c r="X23" s="231">
        <v>1263432.676965812</v>
      </c>
      <c r="Y23" s="231">
        <v>1257115.513580983</v>
      </c>
      <c r="Z23" s="287">
        <v>1250829.9360130781</v>
      </c>
      <c r="AA23" s="288"/>
      <c r="AB23" s="288"/>
      <c r="AC23" s="288"/>
      <c r="AD23" s="288"/>
      <c r="AE23" s="288"/>
      <c r="AF23" s="288"/>
      <c r="AG23" s="288"/>
      <c r="AH23" s="288"/>
      <c r="AI23" s="288"/>
      <c r="AJ23" s="288"/>
      <c r="AK23" s="288"/>
      <c r="AL23" s="288"/>
      <c r="AM23" s="288"/>
      <c r="AN23" s="288"/>
    </row>
    <row r="24" spans="1:40" ht="15.75" x14ac:dyDescent="0.25">
      <c r="A24" s="10" t="s">
        <v>82</v>
      </c>
      <c r="B24" s="9">
        <f>B23+1</f>
        <v>2023</v>
      </c>
      <c r="C24" s="9"/>
      <c r="D24" s="9"/>
      <c r="E24" s="7"/>
      <c r="F24" s="7">
        <v>0</v>
      </c>
      <c r="G24" s="7">
        <v>0</v>
      </c>
      <c r="H24" s="231">
        <v>109095.89041095891</v>
      </c>
      <c r="I24" s="231">
        <v>429027.07945205481</v>
      </c>
      <c r="J24" s="231">
        <v>916054.19633561652</v>
      </c>
      <c r="K24" s="231">
        <v>1957999.6137375003</v>
      </c>
      <c r="L24" s="231">
        <v>2230416.6095044292</v>
      </c>
      <c r="M24" s="231">
        <v>2220815.0554689025</v>
      </c>
      <c r="N24" s="231">
        <v>2209710.9801915581</v>
      </c>
      <c r="O24" s="231">
        <v>2198662.4252906004</v>
      </c>
      <c r="P24" s="231">
        <v>2187669.1131641474</v>
      </c>
      <c r="Q24" s="231">
        <v>2176730.7675983268</v>
      </c>
      <c r="R24" s="231">
        <v>2165847.1137603354</v>
      </c>
      <c r="S24" s="231">
        <v>2155017.8781915335</v>
      </c>
      <c r="T24" s="231">
        <v>2144242.7888005758</v>
      </c>
      <c r="U24" s="231">
        <v>2133521.5748565728</v>
      </c>
      <c r="V24" s="231">
        <v>2122853.9669822897</v>
      </c>
      <c r="W24" s="231">
        <v>2112239.6971473782</v>
      </c>
      <c r="X24" s="231">
        <v>2101678.4986616415</v>
      </c>
      <c r="Y24" s="231">
        <v>2091170.1061683332</v>
      </c>
      <c r="Z24" s="231">
        <v>2080714.2556374916</v>
      </c>
    </row>
    <row r="25" spans="1:40" ht="15.75" x14ac:dyDescent="0.25">
      <c r="A25" s="10" t="s">
        <v>82</v>
      </c>
      <c r="B25" s="9">
        <f t="shared" ref="B25:B43" si="13">B24+1</f>
        <v>2024</v>
      </c>
      <c r="C25" s="9"/>
      <c r="D25" s="9"/>
      <c r="E25" s="7"/>
      <c r="F25" s="7"/>
      <c r="G25" s="7">
        <v>0</v>
      </c>
      <c r="H25" s="231">
        <v>0</v>
      </c>
      <c r="I25" s="231">
        <v>18394.684931506847</v>
      </c>
      <c r="J25" s="7">
        <v>500452.26945205475</v>
      </c>
      <c r="K25" s="231">
        <v>1430297.1338856164</v>
      </c>
      <c r="L25" s="231">
        <v>1808575.01259975</v>
      </c>
      <c r="M25" s="231">
        <v>1799532.1375367511</v>
      </c>
      <c r="N25" s="231">
        <v>1790534.4768490673</v>
      </c>
      <c r="O25" s="231">
        <v>1781581.8044648219</v>
      </c>
      <c r="P25" s="231">
        <v>1772673.8954424979</v>
      </c>
      <c r="Q25" s="231">
        <v>1763810.5259652855</v>
      </c>
      <c r="R25" s="231">
        <v>1754991.4733354591</v>
      </c>
      <c r="S25" s="231">
        <v>1746216.5159687819</v>
      </c>
      <c r="T25" s="231">
        <v>1737485.433388938</v>
      </c>
      <c r="U25" s="231">
        <v>1728798.0062219934</v>
      </c>
      <c r="V25" s="231">
        <v>1720154.0161908835</v>
      </c>
      <c r="W25" s="231">
        <v>1711553.2461099289</v>
      </c>
      <c r="X25" s="231">
        <v>1702995.4798793793</v>
      </c>
      <c r="Y25" s="231">
        <v>1694480.5024799823</v>
      </c>
      <c r="Z25" s="231">
        <v>1686008.0999675824</v>
      </c>
    </row>
    <row r="26" spans="1:40" ht="15.75" x14ac:dyDescent="0.25">
      <c r="A26" s="10" t="s">
        <v>82</v>
      </c>
      <c r="B26" s="9">
        <f t="shared" si="13"/>
        <v>2025</v>
      </c>
      <c r="C26" s="9"/>
      <c r="D26" s="9"/>
      <c r="E26" s="7"/>
      <c r="F26" s="7"/>
      <c r="G26" s="7"/>
      <c r="H26" s="231">
        <v>0</v>
      </c>
      <c r="I26" s="231">
        <v>0</v>
      </c>
      <c r="J26" s="231">
        <v>0</v>
      </c>
      <c r="K26" s="231">
        <v>666666</v>
      </c>
      <c r="L26" s="231">
        <f>K26*'Indexed REC Calculator'!$B$92</f>
        <v>663332.67000000004</v>
      </c>
      <c r="M26" s="231">
        <f>L26*'Indexed REC Calculator'!$B$92</f>
        <v>660016.00665</v>
      </c>
      <c r="N26" s="231">
        <f>M26*'Indexed REC Calculator'!$B$92</f>
        <v>656715.92661674996</v>
      </c>
      <c r="O26" s="231">
        <f>N26*'Indexed REC Calculator'!$B$92</f>
        <v>653432.34698366618</v>
      </c>
      <c r="P26" s="231">
        <f>O26*'Indexed REC Calculator'!$B$92</f>
        <v>650165.18524874782</v>
      </c>
      <c r="Q26" s="231">
        <f>P26*'Indexed REC Calculator'!$B$92</f>
        <v>646914.35932250402</v>
      </c>
      <c r="R26" s="231">
        <f>Q26*'Indexed REC Calculator'!$B$92</f>
        <v>643679.78752589156</v>
      </c>
      <c r="S26" s="231">
        <f>R26*'Indexed REC Calculator'!$B$92</f>
        <v>640461.38858826214</v>
      </c>
      <c r="T26" s="231">
        <f>S26*'Indexed REC Calculator'!$B$92</f>
        <v>637259.08164532087</v>
      </c>
      <c r="U26" s="231">
        <f>T26*'Indexed REC Calculator'!$B$92</f>
        <v>634072.78623709432</v>
      </c>
      <c r="V26" s="231">
        <f>U26*'Indexed REC Calculator'!$B$92</f>
        <v>630902.42230590887</v>
      </c>
      <c r="W26" s="231">
        <f>V26*'Indexed REC Calculator'!$B$92</f>
        <v>627747.91019437928</v>
      </c>
      <c r="X26" s="231">
        <f>W26*'Indexed REC Calculator'!$B$92</f>
        <v>624609.17064340739</v>
      </c>
      <c r="Y26" s="231">
        <f>X26*'Indexed REC Calculator'!$B$92</f>
        <v>621486.12479019037</v>
      </c>
      <c r="Z26" s="231">
        <f>Y26*'Indexed REC Calculator'!$B$92</f>
        <v>618378.69416623947</v>
      </c>
    </row>
    <row r="27" spans="1:40" ht="15.75" x14ac:dyDescent="0.25">
      <c r="A27" s="10" t="s">
        <v>82</v>
      </c>
      <c r="B27" s="9">
        <f t="shared" si="13"/>
        <v>2026</v>
      </c>
      <c r="C27" s="9"/>
      <c r="D27" s="9"/>
      <c r="E27" s="7"/>
      <c r="F27" s="7"/>
      <c r="G27" s="7"/>
      <c r="H27" s="231"/>
      <c r="I27" s="231">
        <v>0</v>
      </c>
      <c r="J27" s="231">
        <v>0</v>
      </c>
      <c r="K27" s="231">
        <v>0</v>
      </c>
      <c r="L27" s="231">
        <f>IF($A$86="No",1500000,0)</f>
        <v>1500000</v>
      </c>
      <c r="M27" s="231">
        <f>L27*'Indexed REC Calculator'!$B$92</f>
        <v>1492500</v>
      </c>
      <c r="N27" s="231">
        <f>M27*'Indexed REC Calculator'!$B$92</f>
        <v>1485037.5</v>
      </c>
      <c r="O27" s="231">
        <f>N27*'Indexed REC Calculator'!$B$92</f>
        <v>1477612.3125</v>
      </c>
      <c r="P27" s="231">
        <f>O27*'Indexed REC Calculator'!$B$92</f>
        <v>1470224.2509375</v>
      </c>
      <c r="Q27" s="231">
        <f>P27*'Indexed REC Calculator'!$B$92</f>
        <v>1462873.1296828126</v>
      </c>
      <c r="R27" s="231">
        <f>Q27*'Indexed REC Calculator'!$B$92</f>
        <v>1455558.7640343986</v>
      </c>
      <c r="S27" s="231">
        <f>R27*'Indexed REC Calculator'!$B$92</f>
        <v>1448280.9702142265</v>
      </c>
      <c r="T27" s="231">
        <f>S27*'Indexed REC Calculator'!$B$92</f>
        <v>1441039.5653631554</v>
      </c>
      <c r="U27" s="231">
        <f>T27*'Indexed REC Calculator'!$B$92</f>
        <v>1433834.3675363397</v>
      </c>
      <c r="V27" s="231">
        <f>U27*'Indexed REC Calculator'!$B$92</f>
        <v>1426665.195698658</v>
      </c>
      <c r="W27" s="231">
        <f>V27*'Indexed REC Calculator'!$B$92</f>
        <v>1419531.8697201647</v>
      </c>
      <c r="X27" s="231">
        <f>W27*'Indexed REC Calculator'!$B$92</f>
        <v>1412434.2103715639</v>
      </c>
      <c r="Y27" s="231">
        <f>X27*'Indexed REC Calculator'!$B$92</f>
        <v>1405372.0393197061</v>
      </c>
      <c r="Z27" s="231">
        <f>Y27*'Indexed REC Calculator'!$B$92</f>
        <v>1398345.1791231076</v>
      </c>
    </row>
    <row r="28" spans="1:40" ht="15.75" x14ac:dyDescent="0.25">
      <c r="A28" s="10" t="s">
        <v>82</v>
      </c>
      <c r="B28" s="9">
        <f t="shared" si="13"/>
        <v>2027</v>
      </c>
      <c r="C28" s="9"/>
      <c r="D28" s="9"/>
      <c r="E28" s="7"/>
      <c r="F28" s="7"/>
      <c r="G28" s="7"/>
      <c r="H28" s="231"/>
      <c r="I28" s="231"/>
      <c r="J28" s="231">
        <v>0</v>
      </c>
      <c r="K28" s="231">
        <v>0</v>
      </c>
      <c r="L28" s="231">
        <v>0</v>
      </c>
      <c r="M28" s="231">
        <f>IF($A$86="No",1500000,0)</f>
        <v>1500000</v>
      </c>
      <c r="N28" s="231">
        <f>M28*'Indexed REC Calculator'!$B$92</f>
        <v>1492500</v>
      </c>
      <c r="O28" s="231">
        <f>N28*'Indexed REC Calculator'!$B$92</f>
        <v>1485037.5</v>
      </c>
      <c r="P28" s="231">
        <f>O28*'Indexed REC Calculator'!$B$92</f>
        <v>1477612.3125</v>
      </c>
      <c r="Q28" s="231">
        <f>P28*'Indexed REC Calculator'!$B$92</f>
        <v>1470224.2509375</v>
      </c>
      <c r="R28" s="231">
        <f>Q28*'Indexed REC Calculator'!$B$92</f>
        <v>1462873.1296828126</v>
      </c>
      <c r="S28" s="231">
        <f>R28*'Indexed REC Calculator'!$B$92</f>
        <v>1455558.7640343986</v>
      </c>
      <c r="T28" s="231">
        <f>S28*'Indexed REC Calculator'!$B$92</f>
        <v>1448280.9702142265</v>
      </c>
      <c r="U28" s="231">
        <f>T28*'Indexed REC Calculator'!$B$92</f>
        <v>1441039.5653631554</v>
      </c>
      <c r="V28" s="231">
        <f>U28*'Indexed REC Calculator'!$B$92</f>
        <v>1433834.3675363397</v>
      </c>
      <c r="W28" s="231">
        <f>V28*'Indexed REC Calculator'!$B$92</f>
        <v>1426665.195698658</v>
      </c>
      <c r="X28" s="231">
        <f>W28*'Indexed REC Calculator'!$B$92</f>
        <v>1419531.8697201647</v>
      </c>
      <c r="Y28" s="231">
        <f>X28*'Indexed REC Calculator'!$B$92</f>
        <v>1412434.2103715639</v>
      </c>
      <c r="Z28" s="231">
        <f>Y28*'Indexed REC Calculator'!$B$92</f>
        <v>1405372.0393197061</v>
      </c>
    </row>
    <row r="29" spans="1:40" ht="15.75" x14ac:dyDescent="0.25">
      <c r="A29" s="10" t="s">
        <v>82</v>
      </c>
      <c r="B29" s="9">
        <f t="shared" si="13"/>
        <v>2028</v>
      </c>
      <c r="C29" s="9"/>
      <c r="D29" s="9"/>
      <c r="E29" s="7"/>
      <c r="F29" s="7"/>
      <c r="G29" s="7"/>
      <c r="H29" s="231"/>
      <c r="I29" s="231"/>
      <c r="J29" s="231"/>
      <c r="K29" s="231">
        <v>0</v>
      </c>
      <c r="L29" s="231">
        <v>0</v>
      </c>
      <c r="M29" s="231">
        <v>0</v>
      </c>
      <c r="N29" s="231">
        <f>IF($A$86="No",1000000,0)</f>
        <v>1000000</v>
      </c>
      <c r="O29" s="231">
        <f>N29*'Indexed REC Calculator'!$B$92</f>
        <v>995000</v>
      </c>
      <c r="P29" s="231">
        <f>O29*'Indexed REC Calculator'!$B$92</f>
        <v>990025</v>
      </c>
      <c r="Q29" s="231">
        <f>P29*'Indexed REC Calculator'!$B$92</f>
        <v>985074.875</v>
      </c>
      <c r="R29" s="231">
        <f>Q29*'Indexed REC Calculator'!$B$92</f>
        <v>980149.50062499999</v>
      </c>
      <c r="S29" s="231">
        <f>R29*'Indexed REC Calculator'!$B$92</f>
        <v>975248.75312187499</v>
      </c>
      <c r="T29" s="231">
        <f>S29*'Indexed REC Calculator'!$B$92</f>
        <v>970372.50935626565</v>
      </c>
      <c r="U29" s="231">
        <f>T29*'Indexed REC Calculator'!$B$92</f>
        <v>965520.64680948434</v>
      </c>
      <c r="V29" s="231">
        <f>U29*'Indexed REC Calculator'!$B$92</f>
        <v>960693.04357543692</v>
      </c>
      <c r="W29" s="231">
        <f>V29*'Indexed REC Calculator'!$B$92</f>
        <v>955889.57835755975</v>
      </c>
      <c r="X29" s="231">
        <f>W29*'Indexed REC Calculator'!$B$92</f>
        <v>951110.13046577189</v>
      </c>
      <c r="Y29" s="231">
        <f>X29*'Indexed REC Calculator'!$B$92</f>
        <v>946354.57981344301</v>
      </c>
      <c r="Z29" s="231">
        <f>Y29*'Indexed REC Calculator'!$B$92</f>
        <v>941622.80691437575</v>
      </c>
    </row>
    <row r="30" spans="1:40" ht="15.75" x14ac:dyDescent="0.25">
      <c r="A30" s="10" t="s">
        <v>82</v>
      </c>
      <c r="B30" s="9">
        <f t="shared" si="13"/>
        <v>2029</v>
      </c>
      <c r="C30" s="9"/>
      <c r="D30" s="9"/>
      <c r="E30" s="7"/>
      <c r="F30" s="7"/>
      <c r="G30" s="7"/>
      <c r="H30" s="231"/>
      <c r="I30" s="231"/>
      <c r="J30" s="231"/>
      <c r="K30" s="231"/>
      <c r="L30" s="231">
        <v>0</v>
      </c>
      <c r="M30" s="231">
        <v>0</v>
      </c>
      <c r="N30" s="231">
        <v>0</v>
      </c>
      <c r="O30" s="231">
        <f>IF($A$86="No",1000000,0)</f>
        <v>1000000</v>
      </c>
      <c r="P30" s="231">
        <f>O30*'Indexed REC Calculator'!$B$92</f>
        <v>995000</v>
      </c>
      <c r="Q30" s="231">
        <f>P30*'Indexed REC Calculator'!$B$92</f>
        <v>990025</v>
      </c>
      <c r="R30" s="231">
        <f>Q30*'Indexed REC Calculator'!$B$92</f>
        <v>985074.875</v>
      </c>
      <c r="S30" s="231">
        <f>R30*'Indexed REC Calculator'!$B$92</f>
        <v>980149.50062499999</v>
      </c>
      <c r="T30" s="231">
        <f>S30*'Indexed REC Calculator'!$B$92</f>
        <v>975248.75312187499</v>
      </c>
      <c r="U30" s="231">
        <f>T30*'Indexed REC Calculator'!$B$92</f>
        <v>970372.50935626565</v>
      </c>
      <c r="V30" s="231">
        <f>U30*'Indexed REC Calculator'!$B$92</f>
        <v>965520.64680948434</v>
      </c>
      <c r="W30" s="231">
        <f>V30*'Indexed REC Calculator'!$B$92</f>
        <v>960693.04357543692</v>
      </c>
      <c r="X30" s="231">
        <f>W30*'Indexed REC Calculator'!$B$92</f>
        <v>955889.57835755975</v>
      </c>
      <c r="Y30" s="231">
        <f>X30*'Indexed REC Calculator'!$B$92</f>
        <v>951110.13046577189</v>
      </c>
      <c r="Z30" s="231">
        <f>Y30*'Indexed REC Calculator'!$B$92</f>
        <v>946354.57981344301</v>
      </c>
    </row>
    <row r="31" spans="1:40" ht="15.75" x14ac:dyDescent="0.25">
      <c r="A31" s="10" t="s">
        <v>82</v>
      </c>
      <c r="B31" s="9">
        <f t="shared" si="13"/>
        <v>2030</v>
      </c>
      <c r="C31" s="9"/>
      <c r="D31" s="9"/>
      <c r="E31" s="7"/>
      <c r="F31" s="7"/>
      <c r="G31" s="7"/>
      <c r="H31" s="231"/>
      <c r="I31" s="231"/>
      <c r="J31" s="231"/>
      <c r="K31" s="231"/>
      <c r="L31" s="231"/>
      <c r="M31" s="231">
        <v>0</v>
      </c>
      <c r="N31" s="231">
        <v>0</v>
      </c>
      <c r="O31" s="231">
        <v>0</v>
      </c>
      <c r="P31" s="231">
        <f>IF($A$86="No",750000,0)</f>
        <v>750000</v>
      </c>
      <c r="Q31" s="231">
        <f>P31*'Indexed REC Calculator'!$B$92</f>
        <v>746250</v>
      </c>
      <c r="R31" s="231">
        <f>Q31*'Indexed REC Calculator'!$B$92</f>
        <v>742518.75</v>
      </c>
      <c r="S31" s="231">
        <f>R31*'Indexed REC Calculator'!$B$92</f>
        <v>738806.15625</v>
      </c>
      <c r="T31" s="231">
        <f>S31*'Indexed REC Calculator'!$B$92</f>
        <v>735112.12546875002</v>
      </c>
      <c r="U31" s="231">
        <f>T31*'Indexed REC Calculator'!$B$92</f>
        <v>731436.5648414063</v>
      </c>
      <c r="V31" s="231">
        <f>U31*'Indexed REC Calculator'!$B$92</f>
        <v>727779.3820171993</v>
      </c>
      <c r="W31" s="231">
        <f>V31*'Indexed REC Calculator'!$B$92</f>
        <v>724140.48510711326</v>
      </c>
      <c r="X31" s="231">
        <f>W31*'Indexed REC Calculator'!$B$92</f>
        <v>720519.78268157772</v>
      </c>
      <c r="Y31" s="231">
        <f>X31*'Indexed REC Calculator'!$B$92</f>
        <v>716917.18376816984</v>
      </c>
      <c r="Z31" s="231">
        <f>Y31*'Indexed REC Calculator'!$B$92</f>
        <v>713332.597849329</v>
      </c>
    </row>
    <row r="32" spans="1:40" ht="15.75" x14ac:dyDescent="0.25">
      <c r="A32" s="10" t="s">
        <v>82</v>
      </c>
      <c r="B32" s="9">
        <f t="shared" si="13"/>
        <v>2031</v>
      </c>
      <c r="C32" s="9"/>
      <c r="D32" s="9"/>
      <c r="E32" s="7"/>
      <c r="F32" s="7"/>
      <c r="G32" s="7"/>
      <c r="H32" s="231"/>
      <c r="I32" s="231"/>
      <c r="J32" s="231"/>
      <c r="K32" s="231"/>
      <c r="L32" s="231"/>
      <c r="M32" s="231"/>
      <c r="N32" s="231">
        <v>0</v>
      </c>
      <c r="O32" s="231">
        <v>0</v>
      </c>
      <c r="P32" s="231">
        <v>0</v>
      </c>
      <c r="Q32" s="231">
        <f>IF($A$86="No",750000,0)</f>
        <v>750000</v>
      </c>
      <c r="R32" s="231">
        <f>Q32*'Indexed REC Calculator'!$B$92</f>
        <v>746250</v>
      </c>
      <c r="S32" s="231">
        <f>R32*'Indexed REC Calculator'!$B$92</f>
        <v>742518.75</v>
      </c>
      <c r="T32" s="231">
        <f>S32*'Indexed REC Calculator'!$B$92</f>
        <v>738806.15625</v>
      </c>
      <c r="U32" s="231">
        <f>T32*'Indexed REC Calculator'!$B$92</f>
        <v>735112.12546875002</v>
      </c>
      <c r="V32" s="231">
        <f>U32*'Indexed REC Calculator'!$B$92</f>
        <v>731436.5648414063</v>
      </c>
      <c r="W32" s="231">
        <f>V32*'Indexed REC Calculator'!$B$92</f>
        <v>727779.3820171993</v>
      </c>
      <c r="X32" s="231">
        <f>W32*'Indexed REC Calculator'!$B$92</f>
        <v>724140.48510711326</v>
      </c>
      <c r="Y32" s="231">
        <f>X32*'Indexed REC Calculator'!$B$92</f>
        <v>720519.78268157772</v>
      </c>
      <c r="Z32" s="231">
        <f>Y32*'Indexed REC Calculator'!$B$92</f>
        <v>716917.18376816984</v>
      </c>
    </row>
    <row r="33" spans="1:48" ht="15.75" x14ac:dyDescent="0.25">
      <c r="A33" s="10" t="s">
        <v>82</v>
      </c>
      <c r="B33" s="9">
        <f t="shared" si="13"/>
        <v>2032</v>
      </c>
      <c r="C33" s="9"/>
      <c r="D33" s="9"/>
      <c r="E33" s="7"/>
      <c r="F33" s="7"/>
      <c r="G33" s="7"/>
      <c r="H33" s="231"/>
      <c r="I33" s="231"/>
      <c r="J33" s="231"/>
      <c r="K33" s="231"/>
      <c r="L33" s="231"/>
      <c r="M33" s="231"/>
      <c r="N33" s="231"/>
      <c r="O33" s="231">
        <v>0</v>
      </c>
      <c r="P33" s="231">
        <v>0</v>
      </c>
      <c r="Q33" s="231">
        <v>0</v>
      </c>
      <c r="R33" s="231">
        <f>IF($A$86="No",750000,0)</f>
        <v>750000</v>
      </c>
      <c r="S33" s="231">
        <f>R33*'Indexed REC Calculator'!$B$92</f>
        <v>746250</v>
      </c>
      <c r="T33" s="231">
        <f>S33*'Indexed REC Calculator'!$B$92</f>
        <v>742518.75</v>
      </c>
      <c r="U33" s="231">
        <f>T33*'Indexed REC Calculator'!$B$92</f>
        <v>738806.15625</v>
      </c>
      <c r="V33" s="231">
        <f>U33*'Indexed REC Calculator'!$B$92</f>
        <v>735112.12546875002</v>
      </c>
      <c r="W33" s="231">
        <f>V33*'Indexed REC Calculator'!$B$92</f>
        <v>731436.5648414063</v>
      </c>
      <c r="X33" s="231">
        <f>W33*'Indexed REC Calculator'!$B$92</f>
        <v>727779.3820171993</v>
      </c>
      <c r="Y33" s="231">
        <f>X33*'Indexed REC Calculator'!$B$92</f>
        <v>724140.48510711326</v>
      </c>
      <c r="Z33" s="231">
        <f>Y33*'Indexed REC Calculator'!$B$92</f>
        <v>720519.78268157772</v>
      </c>
    </row>
    <row r="34" spans="1:48" ht="15.75" x14ac:dyDescent="0.25">
      <c r="A34" s="10" t="s">
        <v>82</v>
      </c>
      <c r="B34" s="9">
        <f t="shared" si="13"/>
        <v>2033</v>
      </c>
      <c r="C34" s="9"/>
      <c r="D34" s="9"/>
      <c r="E34" s="7"/>
      <c r="F34" s="7"/>
      <c r="G34" s="7"/>
      <c r="H34" s="231"/>
      <c r="I34" s="231"/>
      <c r="J34" s="231"/>
      <c r="K34" s="231"/>
      <c r="L34" s="231"/>
      <c r="M34" s="231"/>
      <c r="N34" s="231"/>
      <c r="O34" s="231"/>
      <c r="P34" s="231">
        <v>0</v>
      </c>
      <c r="Q34" s="231">
        <v>0</v>
      </c>
      <c r="R34" s="231">
        <v>0</v>
      </c>
      <c r="S34" s="231">
        <f>IF($A$86="No",750000,0)</f>
        <v>750000</v>
      </c>
      <c r="T34" s="231">
        <f>S34*'Indexed REC Calculator'!$B$92</f>
        <v>746250</v>
      </c>
      <c r="U34" s="231">
        <f>T34*'Indexed REC Calculator'!$B$92</f>
        <v>742518.75</v>
      </c>
      <c r="V34" s="231">
        <f>U34*'Indexed REC Calculator'!$B$92</f>
        <v>738806.15625</v>
      </c>
      <c r="W34" s="231">
        <f>V34*'Indexed REC Calculator'!$B$92</f>
        <v>735112.12546875002</v>
      </c>
      <c r="X34" s="231">
        <f>W34*'Indexed REC Calculator'!$B$92</f>
        <v>731436.5648414063</v>
      </c>
      <c r="Y34" s="231">
        <f>X34*'Indexed REC Calculator'!$B$92</f>
        <v>727779.3820171993</v>
      </c>
      <c r="Z34" s="231">
        <f>Y34*'Indexed REC Calculator'!$B$92</f>
        <v>724140.48510711326</v>
      </c>
    </row>
    <row r="35" spans="1:48" ht="15.75" x14ac:dyDescent="0.25">
      <c r="A35" s="10" t="s">
        <v>82</v>
      </c>
      <c r="B35" s="9">
        <f t="shared" si="13"/>
        <v>2034</v>
      </c>
      <c r="C35" s="9"/>
      <c r="D35" s="9"/>
      <c r="E35" s="7"/>
      <c r="F35" s="7"/>
      <c r="G35" s="7"/>
      <c r="H35" s="231"/>
      <c r="I35" s="231"/>
      <c r="J35" s="231"/>
      <c r="K35" s="231"/>
      <c r="L35" s="231"/>
      <c r="M35" s="231"/>
      <c r="N35" s="231"/>
      <c r="O35" s="231"/>
      <c r="P35" s="231"/>
      <c r="Q35" s="231">
        <v>0</v>
      </c>
      <c r="R35" s="231">
        <v>0</v>
      </c>
      <c r="S35" s="231">
        <v>0</v>
      </c>
      <c r="T35" s="231">
        <f>IF($A$86="No",750000,0)</f>
        <v>750000</v>
      </c>
      <c r="U35" s="231">
        <f>T35*'Indexed REC Calculator'!$B$92</f>
        <v>746250</v>
      </c>
      <c r="V35" s="231">
        <f>U35*'Indexed REC Calculator'!$B$92</f>
        <v>742518.75</v>
      </c>
      <c r="W35" s="231">
        <f>V35*'Indexed REC Calculator'!$B$92</f>
        <v>738806.15625</v>
      </c>
      <c r="X35" s="231">
        <f>W35*'Indexed REC Calculator'!$B$92</f>
        <v>735112.12546875002</v>
      </c>
      <c r="Y35" s="231">
        <f>X35*'Indexed REC Calculator'!$B$92</f>
        <v>731436.5648414063</v>
      </c>
      <c r="Z35" s="231">
        <f>Y35*'Indexed REC Calculator'!$B$92</f>
        <v>727779.3820171993</v>
      </c>
    </row>
    <row r="36" spans="1:48" ht="15.75" x14ac:dyDescent="0.25">
      <c r="A36" s="10" t="s">
        <v>82</v>
      </c>
      <c r="B36" s="9">
        <f t="shared" si="13"/>
        <v>2035</v>
      </c>
      <c r="C36" s="9"/>
      <c r="D36" s="9"/>
      <c r="E36" s="7"/>
      <c r="F36" s="7"/>
      <c r="G36" s="7"/>
      <c r="H36" s="231"/>
      <c r="I36" s="231"/>
      <c r="J36" s="231"/>
      <c r="K36" s="231"/>
      <c r="L36" s="231"/>
      <c r="M36" s="231"/>
      <c r="N36" s="231"/>
      <c r="O36" s="231"/>
      <c r="P36" s="231"/>
      <c r="Q36" s="231"/>
      <c r="R36" s="231">
        <v>0</v>
      </c>
      <c r="S36" s="231">
        <v>0</v>
      </c>
      <c r="T36" s="231">
        <v>0</v>
      </c>
      <c r="U36" s="231">
        <f>IF($A$86="No",750000,0)</f>
        <v>750000</v>
      </c>
      <c r="V36" s="231">
        <f>U36*'Indexed REC Calculator'!$B$92</f>
        <v>746250</v>
      </c>
      <c r="W36" s="231">
        <f>V36*'Indexed REC Calculator'!$B$92</f>
        <v>742518.75</v>
      </c>
      <c r="X36" s="231">
        <f>W36*'Indexed REC Calculator'!$B$92</f>
        <v>738806.15625</v>
      </c>
      <c r="Y36" s="231">
        <f>X36*'Indexed REC Calculator'!$B$92</f>
        <v>735112.12546875002</v>
      </c>
      <c r="Z36" s="231">
        <f>Y36*'Indexed REC Calculator'!$B$92</f>
        <v>731436.5648414063</v>
      </c>
    </row>
    <row r="37" spans="1:48" ht="15.75" x14ac:dyDescent="0.25">
      <c r="A37" s="10" t="s">
        <v>82</v>
      </c>
      <c r="B37" s="9">
        <f t="shared" si="13"/>
        <v>2036</v>
      </c>
      <c r="C37" s="9"/>
      <c r="D37" s="9"/>
      <c r="E37" s="7"/>
      <c r="F37" s="7"/>
      <c r="G37" s="7"/>
      <c r="H37" s="231"/>
      <c r="I37" s="231"/>
      <c r="J37" s="231"/>
      <c r="K37" s="231"/>
      <c r="L37" s="231"/>
      <c r="M37" s="231"/>
      <c r="N37" s="231"/>
      <c r="O37" s="231"/>
      <c r="P37" s="231"/>
      <c r="Q37" s="231"/>
      <c r="R37" s="231"/>
      <c r="S37" s="231">
        <v>0</v>
      </c>
      <c r="T37" s="231">
        <v>0</v>
      </c>
      <c r="U37" s="231">
        <v>0</v>
      </c>
      <c r="V37" s="231">
        <f>IF($A$86="No",750000,0)</f>
        <v>750000</v>
      </c>
      <c r="W37" s="231">
        <f>V37*'Indexed REC Calculator'!$B$92</f>
        <v>746250</v>
      </c>
      <c r="X37" s="231">
        <f>W37*'Indexed REC Calculator'!$B$92</f>
        <v>742518.75</v>
      </c>
      <c r="Y37" s="231">
        <f>X37*'Indexed REC Calculator'!$B$92</f>
        <v>738806.15625</v>
      </c>
      <c r="Z37" s="231">
        <f>Y37*'Indexed REC Calculator'!$B$92</f>
        <v>735112.12546875002</v>
      </c>
    </row>
    <row r="38" spans="1:48" ht="15.75" x14ac:dyDescent="0.25">
      <c r="A38" s="10" t="s">
        <v>82</v>
      </c>
      <c r="B38" s="9">
        <f t="shared" si="13"/>
        <v>2037</v>
      </c>
      <c r="C38" s="9"/>
      <c r="D38" s="9"/>
      <c r="E38" s="7"/>
      <c r="F38" s="7"/>
      <c r="G38" s="7"/>
      <c r="H38" s="231"/>
      <c r="I38" s="231"/>
      <c r="J38" s="231"/>
      <c r="K38" s="231"/>
      <c r="L38" s="231"/>
      <c r="M38" s="231"/>
      <c r="N38" s="231"/>
      <c r="O38" s="231"/>
      <c r="P38" s="231"/>
      <c r="Q38" s="231"/>
      <c r="R38" s="231"/>
      <c r="S38" s="231"/>
      <c r="T38" s="231">
        <v>0</v>
      </c>
      <c r="U38" s="231">
        <v>0</v>
      </c>
      <c r="V38" s="231">
        <v>0</v>
      </c>
      <c r="W38" s="231">
        <f>IF($A$86="No",750000,0)</f>
        <v>750000</v>
      </c>
      <c r="X38" s="231">
        <f>W38*'Indexed REC Calculator'!$B$92</f>
        <v>746250</v>
      </c>
      <c r="Y38" s="231">
        <f>X38*'Indexed REC Calculator'!$B$92</f>
        <v>742518.75</v>
      </c>
      <c r="Z38" s="231">
        <f>Y38*'Indexed REC Calculator'!$B$92</f>
        <v>738806.15625</v>
      </c>
    </row>
    <row r="39" spans="1:48" ht="15.75" x14ac:dyDescent="0.25">
      <c r="A39" s="10" t="s">
        <v>82</v>
      </c>
      <c r="B39" s="9">
        <f t="shared" si="13"/>
        <v>2038</v>
      </c>
      <c r="C39" s="9"/>
      <c r="D39" s="9"/>
      <c r="E39" s="7"/>
      <c r="F39" s="7"/>
      <c r="G39" s="7"/>
      <c r="H39" s="231"/>
      <c r="I39" s="231"/>
      <c r="J39" s="231"/>
      <c r="K39" s="231"/>
      <c r="L39" s="231"/>
      <c r="M39" s="231"/>
      <c r="N39" s="231"/>
      <c r="O39" s="231"/>
      <c r="P39" s="231"/>
      <c r="Q39" s="231"/>
      <c r="R39" s="231"/>
      <c r="S39" s="231"/>
      <c r="T39" s="231"/>
      <c r="U39" s="231">
        <v>0</v>
      </c>
      <c r="V39" s="231">
        <v>0</v>
      </c>
      <c r="W39" s="231">
        <v>0</v>
      </c>
      <c r="X39" s="231">
        <f>IF($A$86="No",750000,0)</f>
        <v>750000</v>
      </c>
      <c r="Y39" s="231">
        <f>X39*'Indexed REC Calculator'!$B$92</f>
        <v>746250</v>
      </c>
      <c r="Z39" s="231">
        <f>Y39*'Indexed REC Calculator'!$B$92</f>
        <v>742518.75</v>
      </c>
    </row>
    <row r="40" spans="1:48" ht="15.75" x14ac:dyDescent="0.25">
      <c r="A40" s="10" t="s">
        <v>82</v>
      </c>
      <c r="B40" s="9">
        <f t="shared" si="13"/>
        <v>2039</v>
      </c>
      <c r="C40" s="9"/>
      <c r="D40" s="9"/>
      <c r="E40" s="7"/>
      <c r="F40" s="7"/>
      <c r="G40" s="7"/>
      <c r="H40" s="231"/>
      <c r="I40" s="231"/>
      <c r="J40" s="231"/>
      <c r="K40" s="231"/>
      <c r="L40" s="231"/>
      <c r="M40" s="231"/>
      <c r="N40" s="231"/>
      <c r="O40" s="231"/>
      <c r="P40" s="231"/>
      <c r="Q40" s="231"/>
      <c r="R40" s="231"/>
      <c r="S40" s="231"/>
      <c r="T40" s="231"/>
      <c r="U40" s="231"/>
      <c r="V40" s="231">
        <v>0</v>
      </c>
      <c r="W40" s="231">
        <v>0</v>
      </c>
      <c r="X40" s="231">
        <v>0</v>
      </c>
      <c r="Y40" s="231">
        <f>IF($A$86="No",750000,0)</f>
        <v>750000</v>
      </c>
      <c r="Z40" s="231">
        <f>IF($A$86="No",750000,0)</f>
        <v>750000</v>
      </c>
    </row>
    <row r="41" spans="1:48" ht="15.75" x14ac:dyDescent="0.25">
      <c r="A41" s="10" t="s">
        <v>82</v>
      </c>
      <c r="B41" s="9">
        <f t="shared" si="13"/>
        <v>2040</v>
      </c>
      <c r="C41" s="9"/>
      <c r="D41" s="9"/>
      <c r="E41" s="7"/>
      <c r="F41" s="7"/>
      <c r="G41" s="7"/>
      <c r="H41" s="231"/>
      <c r="I41" s="231"/>
      <c r="J41" s="231"/>
      <c r="K41" s="231"/>
      <c r="L41" s="231"/>
      <c r="M41" s="231"/>
      <c r="N41" s="231"/>
      <c r="O41" s="231"/>
      <c r="P41" s="231"/>
      <c r="Q41" s="231"/>
      <c r="R41" s="231"/>
      <c r="S41" s="231"/>
      <c r="T41" s="231"/>
      <c r="U41" s="231"/>
      <c r="V41" s="231"/>
      <c r="W41" s="231">
        <v>0</v>
      </c>
      <c r="X41" s="231">
        <v>0</v>
      </c>
      <c r="Y41" s="231">
        <v>0</v>
      </c>
      <c r="Z41" s="231">
        <f>IF($A$86="No",750000,0)</f>
        <v>750000</v>
      </c>
    </row>
    <row r="42" spans="1:48" ht="15.75" x14ac:dyDescent="0.25">
      <c r="A42" s="10" t="s">
        <v>82</v>
      </c>
      <c r="B42" s="9">
        <f t="shared" si="13"/>
        <v>2041</v>
      </c>
      <c r="C42" s="9"/>
      <c r="D42" s="9"/>
      <c r="E42" s="11"/>
      <c r="F42" s="11"/>
      <c r="G42" s="11"/>
      <c r="H42" s="230"/>
      <c r="I42" s="230"/>
      <c r="J42" s="230"/>
      <c r="K42" s="230"/>
      <c r="L42" s="230"/>
      <c r="M42" s="230"/>
      <c r="N42" s="230"/>
      <c r="O42" s="230"/>
      <c r="P42" s="230"/>
      <c r="Q42" s="230"/>
      <c r="R42" s="230"/>
      <c r="S42" s="230"/>
      <c r="T42" s="230"/>
      <c r="U42" s="230"/>
      <c r="V42" s="230"/>
      <c r="W42" s="230"/>
      <c r="X42" s="230"/>
      <c r="Y42" s="230"/>
      <c r="Z42" s="230"/>
    </row>
    <row r="43" spans="1:48" ht="15.75" x14ac:dyDescent="0.25">
      <c r="A43" s="10" t="s">
        <v>82</v>
      </c>
      <c r="B43" s="9">
        <f t="shared" si="13"/>
        <v>2042</v>
      </c>
      <c r="C43" s="9"/>
      <c r="D43" s="9"/>
      <c r="E43" s="11"/>
      <c r="F43" s="11"/>
      <c r="G43" s="11"/>
      <c r="H43" s="230"/>
      <c r="I43" s="230"/>
      <c r="J43" s="230"/>
      <c r="K43" s="230"/>
      <c r="L43" s="230"/>
      <c r="M43" s="230"/>
      <c r="N43" s="230"/>
      <c r="O43" s="230"/>
      <c r="P43" s="230"/>
      <c r="Q43" s="230"/>
      <c r="R43" s="230"/>
      <c r="S43" s="230"/>
      <c r="T43" s="230"/>
      <c r="U43" s="230"/>
      <c r="V43" s="230"/>
      <c r="W43" s="230"/>
      <c r="X43" s="230"/>
      <c r="Y43" s="230"/>
      <c r="Z43" s="230"/>
    </row>
    <row r="44" spans="1:48" ht="15.75" x14ac:dyDescent="0.25">
      <c r="A44" s="10" t="s">
        <v>77</v>
      </c>
      <c r="B44" s="9">
        <v>2022</v>
      </c>
      <c r="C44" s="9"/>
      <c r="D44" s="9"/>
      <c r="E44" s="7">
        <v>0</v>
      </c>
      <c r="F44" s="7">
        <v>0</v>
      </c>
      <c r="G44" s="7">
        <v>0</v>
      </c>
      <c r="H44" s="231">
        <v>817.89041095890411</v>
      </c>
      <c r="I44" s="231">
        <v>13736.639520547946</v>
      </c>
      <c r="J44" s="231">
        <v>51028.273775000009</v>
      </c>
      <c r="K44" s="231">
        <v>50763.280667350002</v>
      </c>
      <c r="L44" s="231">
        <v>50509.464264013252</v>
      </c>
      <c r="M44" s="231">
        <v>50256.916942693184</v>
      </c>
      <c r="N44" s="231">
        <v>50005.632357979717</v>
      </c>
      <c r="O44" s="231">
        <v>49755.604196189815</v>
      </c>
      <c r="P44" s="231">
        <v>49506.826175208866</v>
      </c>
      <c r="Q44" s="231">
        <v>49259.292044332818</v>
      </c>
      <c r="R44" s="231">
        <v>49012.995584111151</v>
      </c>
      <c r="S44" s="231">
        <v>48767.930606190595</v>
      </c>
      <c r="T44" s="231">
        <v>48524.090953159641</v>
      </c>
      <c r="U44" s="231">
        <v>48281.470498393843</v>
      </c>
      <c r="V44" s="231">
        <v>48040.063145901877</v>
      </c>
      <c r="W44" s="231">
        <v>47799.862830172366</v>
      </c>
      <c r="X44" s="231">
        <v>47560.863516021505</v>
      </c>
      <c r="Y44" s="231">
        <v>47323.059198441399</v>
      </c>
      <c r="Z44" s="231">
        <v>47086.443902449195</v>
      </c>
      <c r="AA44" s="163"/>
      <c r="AB44" s="163"/>
      <c r="AC44" s="163"/>
      <c r="AD44" s="163"/>
      <c r="AE44" s="163"/>
      <c r="AF44" s="163"/>
      <c r="AG44" s="163"/>
      <c r="AH44" s="163"/>
      <c r="AI44" s="163"/>
      <c r="AJ44" s="163"/>
      <c r="AK44" s="163"/>
      <c r="AL44" s="163"/>
      <c r="AM44" s="163"/>
      <c r="AN44" s="163"/>
      <c r="AO44" s="163"/>
      <c r="AP44" s="163"/>
      <c r="AQ44" s="163"/>
      <c r="AR44" s="163"/>
      <c r="AS44" s="163"/>
      <c r="AT44" s="163"/>
      <c r="AU44" s="163"/>
      <c r="AV44" s="163"/>
    </row>
    <row r="45" spans="1:48" ht="15.75" x14ac:dyDescent="0.25">
      <c r="A45" s="10" t="s">
        <v>77</v>
      </c>
      <c r="B45" s="9">
        <f t="shared" ref="B45:B64" si="14">B44+1</f>
        <v>2023</v>
      </c>
      <c r="C45" s="9"/>
      <c r="D45" s="9"/>
      <c r="E45" s="7"/>
      <c r="F45" s="7">
        <v>0</v>
      </c>
      <c r="G45" s="7">
        <v>0</v>
      </c>
      <c r="H45" s="231">
        <v>0</v>
      </c>
      <c r="I45" s="231">
        <v>0</v>
      </c>
      <c r="J45" s="231">
        <v>0</v>
      </c>
      <c r="K45" s="231">
        <v>105744</v>
      </c>
      <c r="L45" s="231">
        <v>105215.28</v>
      </c>
      <c r="M45" s="231">
        <v>104689.20359999999</v>
      </c>
      <c r="N45" s="231">
        <v>104165.75758199999</v>
      </c>
      <c r="O45" s="231">
        <v>103644.92879409</v>
      </c>
      <c r="P45" s="231">
        <v>103126.70415011955</v>
      </c>
      <c r="Q45" s="231">
        <v>102611.07062936894</v>
      </c>
      <c r="R45" s="231">
        <v>102098.0152762221</v>
      </c>
      <c r="S45" s="231">
        <v>101587.52519984098</v>
      </c>
      <c r="T45" s="231">
        <v>101079.58757384178</v>
      </c>
      <c r="U45" s="231">
        <v>100574.18963597257</v>
      </c>
      <c r="V45" s="231">
        <v>100071.31868779271</v>
      </c>
      <c r="W45" s="231">
        <v>99570.962094353745</v>
      </c>
      <c r="X45" s="231">
        <v>99073.107283881982</v>
      </c>
      <c r="Y45" s="231">
        <v>98577.741747462569</v>
      </c>
      <c r="Z45" s="231">
        <v>98084.853038725254</v>
      </c>
    </row>
    <row r="46" spans="1:48" ht="15.75" x14ac:dyDescent="0.25">
      <c r="A46" s="10" t="s">
        <v>77</v>
      </c>
      <c r="B46" s="9">
        <f t="shared" si="14"/>
        <v>2024</v>
      </c>
      <c r="C46" s="9"/>
      <c r="D46" s="9"/>
      <c r="E46" s="7"/>
      <c r="F46" s="7"/>
      <c r="G46" s="7">
        <v>0</v>
      </c>
      <c r="H46" s="231">
        <v>0</v>
      </c>
      <c r="I46" s="231">
        <v>0</v>
      </c>
      <c r="J46" s="231">
        <v>0</v>
      </c>
      <c r="K46" s="231">
        <v>0</v>
      </c>
      <c r="L46" s="231">
        <v>0</v>
      </c>
      <c r="M46" s="231">
        <v>0</v>
      </c>
      <c r="N46" s="231">
        <v>0</v>
      </c>
      <c r="O46" s="231">
        <v>0</v>
      </c>
      <c r="P46" s="231">
        <v>0</v>
      </c>
      <c r="Q46" s="231">
        <v>0</v>
      </c>
      <c r="R46" s="231">
        <v>0</v>
      </c>
      <c r="S46" s="231">
        <v>0</v>
      </c>
      <c r="T46" s="231">
        <v>0</v>
      </c>
      <c r="U46" s="231">
        <v>0</v>
      </c>
      <c r="V46" s="231">
        <v>0</v>
      </c>
      <c r="W46" s="231">
        <v>0</v>
      </c>
      <c r="X46" s="231">
        <v>0</v>
      </c>
      <c r="Y46" s="231">
        <v>0</v>
      </c>
      <c r="Z46" s="231">
        <v>0</v>
      </c>
    </row>
    <row r="47" spans="1:48" ht="15.75" x14ac:dyDescent="0.25">
      <c r="A47" s="10" t="s">
        <v>77</v>
      </c>
      <c r="B47" s="9">
        <f t="shared" si="14"/>
        <v>2025</v>
      </c>
      <c r="C47" s="9"/>
      <c r="D47" s="9"/>
      <c r="E47" s="7"/>
      <c r="F47" s="7"/>
      <c r="G47" s="7"/>
      <c r="H47" s="231">
        <v>0</v>
      </c>
      <c r="I47" s="231">
        <v>0</v>
      </c>
      <c r="J47" s="231">
        <v>0</v>
      </c>
      <c r="K47" s="231">
        <v>85000</v>
      </c>
      <c r="L47" s="231">
        <f>K47*'Indexed REC Calculator'!$B$92</f>
        <v>84575</v>
      </c>
      <c r="M47" s="231">
        <f>L47*'Indexed REC Calculator'!$B$92</f>
        <v>84152.125</v>
      </c>
      <c r="N47" s="231">
        <f>M47*'Indexed REC Calculator'!$B$92</f>
        <v>83731.364375000005</v>
      </c>
      <c r="O47" s="231">
        <f>N47*'Indexed REC Calculator'!$B$92</f>
        <v>83312.707553125001</v>
      </c>
      <c r="P47" s="231">
        <f>O47*'Indexed REC Calculator'!$B$92</f>
        <v>82896.144015359372</v>
      </c>
      <c r="Q47" s="231">
        <f>P47*'Indexed REC Calculator'!$B$92</f>
        <v>82481.663295282575</v>
      </c>
      <c r="R47" s="231">
        <f>Q47*'Indexed REC Calculator'!$B$92</f>
        <v>82069.254978806159</v>
      </c>
      <c r="S47" s="231">
        <f>R47*'Indexed REC Calculator'!$B$92</f>
        <v>81658.908703912122</v>
      </c>
      <c r="T47" s="231">
        <f>S47*'Indexed REC Calculator'!$B$92</f>
        <v>81250.614160392564</v>
      </c>
      <c r="U47" s="231">
        <f>T47*'Indexed REC Calculator'!$B$92</f>
        <v>80844.361089590602</v>
      </c>
      <c r="V47" s="231">
        <f>U47*'Indexed REC Calculator'!$B$92</f>
        <v>80440.139284142642</v>
      </c>
      <c r="W47" s="231">
        <f>V47*'Indexed REC Calculator'!$B$92</f>
        <v>80037.938587721932</v>
      </c>
      <c r="X47" s="231">
        <f>W47*'Indexed REC Calculator'!$B$92</f>
        <v>79637.748894783319</v>
      </c>
      <c r="Y47" s="231">
        <f>X47*'Indexed REC Calculator'!$B$92</f>
        <v>79239.560150309408</v>
      </c>
      <c r="Z47" s="231">
        <f>Y47*'Indexed REC Calculator'!$B$92</f>
        <v>78843.362349557865</v>
      </c>
    </row>
    <row r="48" spans="1:48" ht="15.75" x14ac:dyDescent="0.25">
      <c r="A48" s="10" t="s">
        <v>77</v>
      </c>
      <c r="B48" s="9">
        <f t="shared" si="14"/>
        <v>2026</v>
      </c>
      <c r="C48" s="9"/>
      <c r="D48" s="9"/>
      <c r="E48" s="7"/>
      <c r="F48" s="7"/>
      <c r="G48" s="7"/>
      <c r="H48" s="231"/>
      <c r="I48" s="231">
        <v>0</v>
      </c>
      <c r="J48" s="231">
        <v>0</v>
      </c>
      <c r="K48" s="231">
        <v>0</v>
      </c>
      <c r="L48" s="231">
        <f>IF($A$86="No",85000,0)</f>
        <v>85000</v>
      </c>
      <c r="M48" s="231">
        <f>L48*'Indexed REC Calculator'!$B$92</f>
        <v>84575</v>
      </c>
      <c r="N48" s="231">
        <f>M48*'Indexed REC Calculator'!$B$92</f>
        <v>84152.125</v>
      </c>
      <c r="O48" s="231">
        <f>N48*'Indexed REC Calculator'!$B$92</f>
        <v>83731.364375000005</v>
      </c>
      <c r="P48" s="231">
        <f>O48*'Indexed REC Calculator'!$B$92</f>
        <v>83312.707553125001</v>
      </c>
      <c r="Q48" s="231">
        <f>P48*'Indexed REC Calculator'!$B$92</f>
        <v>82896.144015359372</v>
      </c>
      <c r="R48" s="231">
        <f>Q48*'Indexed REC Calculator'!$B$92</f>
        <v>82481.663295282575</v>
      </c>
      <c r="S48" s="231">
        <f>R48*'Indexed REC Calculator'!$B$92</f>
        <v>82069.254978806159</v>
      </c>
      <c r="T48" s="231">
        <f>S48*'Indexed REC Calculator'!$B$92</f>
        <v>81658.908703912122</v>
      </c>
      <c r="U48" s="231">
        <f>T48*'Indexed REC Calculator'!$B$92</f>
        <v>81250.614160392564</v>
      </c>
      <c r="V48" s="231">
        <f>U48*'Indexed REC Calculator'!$B$92</f>
        <v>80844.361089590602</v>
      </c>
      <c r="W48" s="231">
        <f>V48*'Indexed REC Calculator'!$B$92</f>
        <v>80440.139284142642</v>
      </c>
      <c r="X48" s="231">
        <f>W48*'Indexed REC Calculator'!$B$92</f>
        <v>80037.938587721932</v>
      </c>
      <c r="Y48" s="231">
        <f>X48*'Indexed REC Calculator'!$B$92</f>
        <v>79637.748894783319</v>
      </c>
      <c r="Z48" s="231">
        <f>Y48*'Indexed REC Calculator'!$B$92</f>
        <v>79239.560150309408</v>
      </c>
    </row>
    <row r="49" spans="1:26" ht="15.75" x14ac:dyDescent="0.25">
      <c r="A49" s="10" t="s">
        <v>77</v>
      </c>
      <c r="B49" s="9">
        <f t="shared" si="14"/>
        <v>2027</v>
      </c>
      <c r="C49" s="9"/>
      <c r="D49" s="9"/>
      <c r="E49" s="7"/>
      <c r="F49" s="7"/>
      <c r="G49" s="7"/>
      <c r="H49" s="231"/>
      <c r="I49" s="231"/>
      <c r="J49" s="231">
        <v>0</v>
      </c>
      <c r="K49" s="231">
        <v>0</v>
      </c>
      <c r="L49" s="231">
        <v>0</v>
      </c>
      <c r="M49" s="231">
        <f>IF($A$86="No",85000,0)</f>
        <v>85000</v>
      </c>
      <c r="N49" s="231">
        <f>M49*'Indexed REC Calculator'!$B$92</f>
        <v>84575</v>
      </c>
      <c r="O49" s="231">
        <f>N49*'Indexed REC Calculator'!$B$92</f>
        <v>84152.125</v>
      </c>
      <c r="P49" s="231">
        <f>O49*'Indexed REC Calculator'!$B$92</f>
        <v>83731.364375000005</v>
      </c>
      <c r="Q49" s="231">
        <f>P49*'Indexed REC Calculator'!$B$92</f>
        <v>83312.707553125001</v>
      </c>
      <c r="R49" s="231">
        <f>Q49*'Indexed REC Calculator'!$B$92</f>
        <v>82896.144015359372</v>
      </c>
      <c r="S49" s="231">
        <f>R49*'Indexed REC Calculator'!$B$92</f>
        <v>82481.663295282575</v>
      </c>
      <c r="T49" s="231">
        <f>S49*'Indexed REC Calculator'!$B$92</f>
        <v>82069.254978806159</v>
      </c>
      <c r="U49" s="231">
        <f>T49*'Indexed REC Calculator'!$B$92</f>
        <v>81658.908703912122</v>
      </c>
      <c r="V49" s="231">
        <f>U49*'Indexed REC Calculator'!$B$92</f>
        <v>81250.614160392564</v>
      </c>
      <c r="W49" s="231">
        <f>V49*'Indexed REC Calculator'!$B$92</f>
        <v>80844.361089590602</v>
      </c>
      <c r="X49" s="231">
        <f>W49*'Indexed REC Calculator'!$B$92</f>
        <v>80440.139284142642</v>
      </c>
      <c r="Y49" s="231">
        <f>X49*'Indexed REC Calculator'!$B$92</f>
        <v>80037.938587721932</v>
      </c>
      <c r="Z49" s="231">
        <f>Y49*'Indexed REC Calculator'!$B$92</f>
        <v>79637.748894783319</v>
      </c>
    </row>
    <row r="50" spans="1:26" ht="15.75" x14ac:dyDescent="0.25">
      <c r="A50" s="10" t="s">
        <v>77</v>
      </c>
      <c r="B50" s="9">
        <f t="shared" si="14"/>
        <v>2028</v>
      </c>
      <c r="C50" s="9"/>
      <c r="D50" s="9"/>
      <c r="E50" s="7"/>
      <c r="F50" s="7"/>
      <c r="G50" s="7"/>
      <c r="H50" s="231"/>
      <c r="I50" s="231"/>
      <c r="J50" s="231"/>
      <c r="K50" s="231">
        <v>0</v>
      </c>
      <c r="L50" s="231">
        <v>0</v>
      </c>
      <c r="M50" s="231">
        <v>0</v>
      </c>
      <c r="N50" s="231">
        <f>IF($A$86="No",85000,0)</f>
        <v>85000</v>
      </c>
      <c r="O50" s="231">
        <f>N50*'Indexed REC Calculator'!$B$92</f>
        <v>84575</v>
      </c>
      <c r="P50" s="231">
        <f>O50*'Indexed REC Calculator'!$B$92</f>
        <v>84152.125</v>
      </c>
      <c r="Q50" s="231">
        <f>P50*'Indexed REC Calculator'!$B$92</f>
        <v>83731.364375000005</v>
      </c>
      <c r="R50" s="231">
        <f>Q50*'Indexed REC Calculator'!$B$92</f>
        <v>83312.707553125001</v>
      </c>
      <c r="S50" s="231">
        <f>R50*'Indexed REC Calculator'!$B$92</f>
        <v>82896.144015359372</v>
      </c>
      <c r="T50" s="231">
        <f>S50*'Indexed REC Calculator'!$B$92</f>
        <v>82481.663295282575</v>
      </c>
      <c r="U50" s="231">
        <f>T50*'Indexed REC Calculator'!$B$92</f>
        <v>82069.254978806159</v>
      </c>
      <c r="V50" s="231">
        <f>U50*'Indexed REC Calculator'!$B$92</f>
        <v>81658.908703912122</v>
      </c>
      <c r="W50" s="231">
        <f>V50*'Indexed REC Calculator'!$B$92</f>
        <v>81250.614160392564</v>
      </c>
      <c r="X50" s="231">
        <f>W50*'Indexed REC Calculator'!$B$92</f>
        <v>80844.361089590602</v>
      </c>
      <c r="Y50" s="231">
        <f>X50*'Indexed REC Calculator'!$B$92</f>
        <v>80440.139284142642</v>
      </c>
      <c r="Z50" s="231">
        <f>Y50*'Indexed REC Calculator'!$B$92</f>
        <v>80037.938587721932</v>
      </c>
    </row>
    <row r="51" spans="1:26" ht="15.75" x14ac:dyDescent="0.25">
      <c r="A51" s="10" t="s">
        <v>77</v>
      </c>
      <c r="B51" s="9">
        <f t="shared" si="14"/>
        <v>2029</v>
      </c>
      <c r="C51" s="9"/>
      <c r="D51" s="9"/>
      <c r="E51" s="7"/>
      <c r="F51" s="7"/>
      <c r="G51" s="7"/>
      <c r="H51" s="231"/>
      <c r="I51" s="231"/>
      <c r="J51" s="231"/>
      <c r="K51" s="231"/>
      <c r="L51" s="231">
        <v>0</v>
      </c>
      <c r="M51" s="231">
        <v>0</v>
      </c>
      <c r="N51" s="231">
        <v>0</v>
      </c>
      <c r="O51" s="231">
        <f>IF($A$86="No",85000,0)</f>
        <v>85000</v>
      </c>
      <c r="P51" s="231">
        <f>O51*'Indexed REC Calculator'!$B$92</f>
        <v>84575</v>
      </c>
      <c r="Q51" s="231">
        <f>P51*'Indexed REC Calculator'!$B$92</f>
        <v>84152.125</v>
      </c>
      <c r="R51" s="231">
        <f>Q51*'Indexed REC Calculator'!$B$92</f>
        <v>83731.364375000005</v>
      </c>
      <c r="S51" s="231">
        <f>R51*'Indexed REC Calculator'!$B$92</f>
        <v>83312.707553125001</v>
      </c>
      <c r="T51" s="231">
        <f>S51*'Indexed REC Calculator'!$B$92</f>
        <v>82896.144015359372</v>
      </c>
      <c r="U51" s="231">
        <f>T51*'Indexed REC Calculator'!$B$92</f>
        <v>82481.663295282575</v>
      </c>
      <c r="V51" s="231">
        <f>U51*'Indexed REC Calculator'!$B$92</f>
        <v>82069.254978806159</v>
      </c>
      <c r="W51" s="231">
        <f>V51*'Indexed REC Calculator'!$B$92</f>
        <v>81658.908703912122</v>
      </c>
      <c r="X51" s="231">
        <f>W51*'Indexed REC Calculator'!$B$92</f>
        <v>81250.614160392564</v>
      </c>
      <c r="Y51" s="231">
        <f>X51*'Indexed REC Calculator'!$B$92</f>
        <v>80844.361089590602</v>
      </c>
      <c r="Z51" s="231">
        <f>Y51*'Indexed REC Calculator'!$B$92</f>
        <v>80440.139284142642</v>
      </c>
    </row>
    <row r="52" spans="1:26" ht="15.75" x14ac:dyDescent="0.25">
      <c r="A52" s="10" t="s">
        <v>77</v>
      </c>
      <c r="B52" s="9">
        <f t="shared" si="14"/>
        <v>2030</v>
      </c>
      <c r="C52" s="9"/>
      <c r="D52" s="9"/>
      <c r="E52" s="7"/>
      <c r="F52" s="7"/>
      <c r="G52" s="7"/>
      <c r="H52" s="231"/>
      <c r="I52" s="231"/>
      <c r="J52" s="231"/>
      <c r="K52" s="231"/>
      <c r="L52" s="231"/>
      <c r="M52" s="231">
        <v>0</v>
      </c>
      <c r="N52" s="231">
        <v>0</v>
      </c>
      <c r="O52" s="231">
        <v>0</v>
      </c>
      <c r="P52" s="231">
        <f>IF($A$86="No",85000,0)</f>
        <v>85000</v>
      </c>
      <c r="Q52" s="231">
        <f>P52*'Indexed REC Calculator'!$B$92</f>
        <v>84575</v>
      </c>
      <c r="R52" s="231">
        <f>Q52*'Indexed REC Calculator'!$B$92</f>
        <v>84152.125</v>
      </c>
      <c r="S52" s="231">
        <f>R52*'Indexed REC Calculator'!$B$92</f>
        <v>83731.364375000005</v>
      </c>
      <c r="T52" s="231">
        <f>S52*'Indexed REC Calculator'!$B$92</f>
        <v>83312.707553125001</v>
      </c>
      <c r="U52" s="231">
        <f>T52*'Indexed REC Calculator'!$B$92</f>
        <v>82896.144015359372</v>
      </c>
      <c r="V52" s="231">
        <f>U52*'Indexed REC Calculator'!$B$92</f>
        <v>82481.663295282575</v>
      </c>
      <c r="W52" s="231">
        <f>V52*'Indexed REC Calculator'!$B$92</f>
        <v>82069.254978806159</v>
      </c>
      <c r="X52" s="231">
        <f>W52*'Indexed REC Calculator'!$B$92</f>
        <v>81658.908703912122</v>
      </c>
      <c r="Y52" s="231">
        <f>X52*'Indexed REC Calculator'!$B$92</f>
        <v>81250.614160392564</v>
      </c>
      <c r="Z52" s="231">
        <f>Y52*'Indexed REC Calculator'!$B$92</f>
        <v>80844.361089590602</v>
      </c>
    </row>
    <row r="53" spans="1:26" ht="15.75" x14ac:dyDescent="0.25">
      <c r="A53" s="10" t="s">
        <v>77</v>
      </c>
      <c r="B53" s="9">
        <f t="shared" si="14"/>
        <v>2031</v>
      </c>
      <c r="C53" s="9"/>
      <c r="D53" s="9"/>
      <c r="E53" s="7"/>
      <c r="F53" s="7"/>
      <c r="G53" s="7"/>
      <c r="H53" s="231"/>
      <c r="I53" s="231"/>
      <c r="J53" s="231"/>
      <c r="K53" s="231"/>
      <c r="L53" s="231"/>
      <c r="M53" s="231"/>
      <c r="N53" s="231">
        <v>0</v>
      </c>
      <c r="O53" s="231">
        <v>0</v>
      </c>
      <c r="P53" s="231">
        <v>0</v>
      </c>
      <c r="Q53" s="231">
        <f>IF($A$86="No",85000,0)</f>
        <v>85000</v>
      </c>
      <c r="R53" s="231">
        <f>Q53*'Indexed REC Calculator'!$B$92</f>
        <v>84575</v>
      </c>
      <c r="S53" s="231">
        <f>R53*'Indexed REC Calculator'!$B$92</f>
        <v>84152.125</v>
      </c>
      <c r="T53" s="231">
        <f>S53*'Indexed REC Calculator'!$B$92</f>
        <v>83731.364375000005</v>
      </c>
      <c r="U53" s="231">
        <f>T53*'Indexed REC Calculator'!$B$92</f>
        <v>83312.707553125001</v>
      </c>
      <c r="V53" s="231">
        <f>U53*'Indexed REC Calculator'!$B$92</f>
        <v>82896.144015359372</v>
      </c>
      <c r="W53" s="231">
        <f>V53*'Indexed REC Calculator'!$B$92</f>
        <v>82481.663295282575</v>
      </c>
      <c r="X53" s="231">
        <f>W53*'Indexed REC Calculator'!$B$92</f>
        <v>82069.254978806159</v>
      </c>
      <c r="Y53" s="231">
        <f>X53*'Indexed REC Calculator'!$B$92</f>
        <v>81658.908703912122</v>
      </c>
      <c r="Z53" s="231">
        <f>Y53*'Indexed REC Calculator'!$B$92</f>
        <v>81250.614160392564</v>
      </c>
    </row>
    <row r="54" spans="1:26" ht="15.75" x14ac:dyDescent="0.25">
      <c r="A54" s="10" t="s">
        <v>77</v>
      </c>
      <c r="B54" s="9">
        <f t="shared" si="14"/>
        <v>2032</v>
      </c>
      <c r="C54" s="9"/>
      <c r="D54" s="9"/>
      <c r="E54" s="7"/>
      <c r="F54" s="7"/>
      <c r="G54" s="7"/>
      <c r="H54" s="231"/>
      <c r="I54" s="231"/>
      <c r="J54" s="231"/>
      <c r="K54" s="231"/>
      <c r="L54" s="231"/>
      <c r="M54" s="231"/>
      <c r="N54" s="231"/>
      <c r="O54" s="231">
        <v>0</v>
      </c>
      <c r="P54" s="231">
        <v>0</v>
      </c>
      <c r="Q54" s="231">
        <v>0</v>
      </c>
      <c r="R54" s="231">
        <f>IF($A$86="No",85000,0)</f>
        <v>85000</v>
      </c>
      <c r="S54" s="231">
        <f>R54*'Indexed REC Calculator'!$B$92</f>
        <v>84575</v>
      </c>
      <c r="T54" s="231">
        <f>S54*'Indexed REC Calculator'!$B$92</f>
        <v>84152.125</v>
      </c>
      <c r="U54" s="231">
        <f>T54*'Indexed REC Calculator'!$B$92</f>
        <v>83731.364375000005</v>
      </c>
      <c r="V54" s="231">
        <f>U54*'Indexed REC Calculator'!$B$92</f>
        <v>83312.707553125001</v>
      </c>
      <c r="W54" s="231">
        <f>V54*'Indexed REC Calculator'!$B$92</f>
        <v>82896.144015359372</v>
      </c>
      <c r="X54" s="231">
        <f>W54*'Indexed REC Calculator'!$B$92</f>
        <v>82481.663295282575</v>
      </c>
      <c r="Y54" s="231">
        <f>X54*'Indexed REC Calculator'!$B$92</f>
        <v>82069.254978806159</v>
      </c>
      <c r="Z54" s="231">
        <f>Y54*'Indexed REC Calculator'!$B$92</f>
        <v>81658.908703912122</v>
      </c>
    </row>
    <row r="55" spans="1:26" ht="15.75" x14ac:dyDescent="0.25">
      <c r="A55" s="10" t="s">
        <v>77</v>
      </c>
      <c r="B55" s="9">
        <f t="shared" si="14"/>
        <v>2033</v>
      </c>
      <c r="C55" s="9"/>
      <c r="D55" s="9"/>
      <c r="E55" s="7"/>
      <c r="F55" s="7"/>
      <c r="G55" s="7"/>
      <c r="H55" s="231"/>
      <c r="I55" s="231"/>
      <c r="J55" s="231"/>
      <c r="K55" s="231"/>
      <c r="L55" s="231"/>
      <c r="M55" s="231"/>
      <c r="N55" s="231"/>
      <c r="O55" s="231"/>
      <c r="P55" s="231">
        <v>0</v>
      </c>
      <c r="Q55" s="231">
        <v>0</v>
      </c>
      <c r="R55" s="231">
        <v>0</v>
      </c>
      <c r="S55" s="231">
        <f>IF($A$86="No",85000,0)</f>
        <v>85000</v>
      </c>
      <c r="T55" s="231">
        <f>S55*'Indexed REC Calculator'!$B$92</f>
        <v>84575</v>
      </c>
      <c r="U55" s="231">
        <f>T55*'Indexed REC Calculator'!$B$92</f>
        <v>84152.125</v>
      </c>
      <c r="V55" s="231">
        <f>U55*'Indexed REC Calculator'!$B$92</f>
        <v>83731.364375000005</v>
      </c>
      <c r="W55" s="231">
        <f>V55*'Indexed REC Calculator'!$B$92</f>
        <v>83312.707553125001</v>
      </c>
      <c r="X55" s="231">
        <f>W55*'Indexed REC Calculator'!$B$92</f>
        <v>82896.144015359372</v>
      </c>
      <c r="Y55" s="231">
        <f>X55*'Indexed REC Calculator'!$B$92</f>
        <v>82481.663295282575</v>
      </c>
      <c r="Z55" s="231">
        <f>Y55*'Indexed REC Calculator'!$B$92</f>
        <v>82069.254978806159</v>
      </c>
    </row>
    <row r="56" spans="1:26" ht="15.75" x14ac:dyDescent="0.25">
      <c r="A56" s="10" t="s">
        <v>77</v>
      </c>
      <c r="B56" s="9">
        <f t="shared" si="14"/>
        <v>2034</v>
      </c>
      <c r="C56" s="9"/>
      <c r="D56" s="9"/>
      <c r="E56" s="7"/>
      <c r="F56" s="7"/>
      <c r="G56" s="7"/>
      <c r="H56" s="231"/>
      <c r="I56" s="231"/>
      <c r="J56" s="231"/>
      <c r="K56" s="231"/>
      <c r="L56" s="231"/>
      <c r="M56" s="231"/>
      <c r="N56" s="231"/>
      <c r="O56" s="231"/>
      <c r="P56" s="231"/>
      <c r="Q56" s="231">
        <v>0</v>
      </c>
      <c r="R56" s="231">
        <v>0</v>
      </c>
      <c r="S56" s="231">
        <v>0</v>
      </c>
      <c r="T56" s="231">
        <f>IF($A$86="No",85000,0)</f>
        <v>85000</v>
      </c>
      <c r="U56" s="231">
        <f>T56*'Indexed REC Calculator'!$B$92</f>
        <v>84575</v>
      </c>
      <c r="V56" s="231">
        <f>U56*'Indexed REC Calculator'!$B$92</f>
        <v>84152.125</v>
      </c>
      <c r="W56" s="231">
        <f>V56*'Indexed REC Calculator'!$B$92</f>
        <v>83731.364375000005</v>
      </c>
      <c r="X56" s="231">
        <f>W56*'Indexed REC Calculator'!$B$92</f>
        <v>83312.707553125001</v>
      </c>
      <c r="Y56" s="231">
        <f>X56*'Indexed REC Calculator'!$B$92</f>
        <v>82896.144015359372</v>
      </c>
      <c r="Z56" s="231">
        <f>Y56*'Indexed REC Calculator'!$B$92</f>
        <v>82481.663295282575</v>
      </c>
    </row>
    <row r="57" spans="1:26" ht="15.75" x14ac:dyDescent="0.25">
      <c r="A57" s="10" t="s">
        <v>77</v>
      </c>
      <c r="B57" s="9">
        <f t="shared" si="14"/>
        <v>2035</v>
      </c>
      <c r="C57" s="9"/>
      <c r="D57" s="9"/>
      <c r="E57" s="7"/>
      <c r="F57" s="7"/>
      <c r="G57" s="7"/>
      <c r="H57" s="231"/>
      <c r="I57" s="231"/>
      <c r="J57" s="231"/>
      <c r="K57" s="231"/>
      <c r="L57" s="231"/>
      <c r="M57" s="231"/>
      <c r="N57" s="231"/>
      <c r="O57" s="231"/>
      <c r="P57" s="231"/>
      <c r="Q57" s="231"/>
      <c r="R57" s="231">
        <v>0</v>
      </c>
      <c r="S57" s="231">
        <v>0</v>
      </c>
      <c r="T57" s="231">
        <v>0</v>
      </c>
      <c r="U57" s="231">
        <f>IF($A$86="No",85000,0)</f>
        <v>85000</v>
      </c>
      <c r="V57" s="231">
        <f>U57*'Indexed REC Calculator'!$B$92</f>
        <v>84575</v>
      </c>
      <c r="W57" s="231">
        <f>V57*'Indexed REC Calculator'!$B$92</f>
        <v>84152.125</v>
      </c>
      <c r="X57" s="231">
        <f>W57*'Indexed REC Calculator'!$B$92</f>
        <v>83731.364375000005</v>
      </c>
      <c r="Y57" s="231">
        <f>X57*'Indexed REC Calculator'!$B$92</f>
        <v>83312.707553125001</v>
      </c>
      <c r="Z57" s="231">
        <f>Y57*'Indexed REC Calculator'!$B$92</f>
        <v>82896.144015359372</v>
      </c>
    </row>
    <row r="58" spans="1:26" ht="15.75" x14ac:dyDescent="0.25">
      <c r="A58" s="10" t="s">
        <v>77</v>
      </c>
      <c r="B58" s="9">
        <f t="shared" si="14"/>
        <v>2036</v>
      </c>
      <c r="C58" s="9"/>
      <c r="D58" s="9"/>
      <c r="E58" s="7"/>
      <c r="F58" s="7"/>
      <c r="G58" s="7"/>
      <c r="H58" s="231"/>
      <c r="I58" s="231"/>
      <c r="J58" s="231"/>
      <c r="K58" s="231"/>
      <c r="L58" s="231"/>
      <c r="M58" s="231"/>
      <c r="N58" s="231"/>
      <c r="O58" s="231"/>
      <c r="P58" s="231"/>
      <c r="Q58" s="231"/>
      <c r="R58" s="231"/>
      <c r="S58" s="231">
        <v>0</v>
      </c>
      <c r="T58" s="231">
        <v>0</v>
      </c>
      <c r="U58" s="231">
        <v>0</v>
      </c>
      <c r="V58" s="231">
        <f>IF($A$86="No",85000,0)</f>
        <v>85000</v>
      </c>
      <c r="W58" s="231">
        <f>V58*'Indexed REC Calculator'!$B$92</f>
        <v>84575</v>
      </c>
      <c r="X58" s="231">
        <f>W58*'Indexed REC Calculator'!$B$92</f>
        <v>84152.125</v>
      </c>
      <c r="Y58" s="231">
        <f>X58*'Indexed REC Calculator'!$B$92</f>
        <v>83731.364375000005</v>
      </c>
      <c r="Z58" s="231">
        <f>Y58*'Indexed REC Calculator'!$B$92</f>
        <v>83312.707553125001</v>
      </c>
    </row>
    <row r="59" spans="1:26" ht="15.75" x14ac:dyDescent="0.25">
      <c r="A59" s="10" t="s">
        <v>77</v>
      </c>
      <c r="B59" s="9">
        <f t="shared" si="14"/>
        <v>2037</v>
      </c>
      <c r="C59" s="9"/>
      <c r="D59" s="9"/>
      <c r="E59" s="7"/>
      <c r="F59" s="7"/>
      <c r="G59" s="7"/>
      <c r="H59" s="231"/>
      <c r="I59" s="231"/>
      <c r="J59" s="231"/>
      <c r="K59" s="231"/>
      <c r="L59" s="231"/>
      <c r="M59" s="231"/>
      <c r="N59" s="231"/>
      <c r="O59" s="231"/>
      <c r="P59" s="231"/>
      <c r="Q59" s="231"/>
      <c r="R59" s="231"/>
      <c r="S59" s="231"/>
      <c r="T59" s="231">
        <v>0</v>
      </c>
      <c r="U59" s="231">
        <v>0</v>
      </c>
      <c r="V59" s="231">
        <v>0</v>
      </c>
      <c r="W59" s="231">
        <f>IF($A$86="No",85000,0)</f>
        <v>85000</v>
      </c>
      <c r="X59" s="231">
        <f>W59*'Indexed REC Calculator'!$B$92</f>
        <v>84575</v>
      </c>
      <c r="Y59" s="231">
        <f>X59*'Indexed REC Calculator'!$B$92</f>
        <v>84152.125</v>
      </c>
      <c r="Z59" s="231">
        <f>Y59*'Indexed REC Calculator'!$B$92</f>
        <v>83731.364375000005</v>
      </c>
    </row>
    <row r="60" spans="1:26" ht="15.75" x14ac:dyDescent="0.25">
      <c r="A60" s="10" t="s">
        <v>77</v>
      </c>
      <c r="B60" s="9">
        <f t="shared" si="14"/>
        <v>2038</v>
      </c>
      <c r="C60" s="9"/>
      <c r="D60" s="9"/>
      <c r="E60" s="7"/>
      <c r="F60" s="7"/>
      <c r="G60" s="7"/>
      <c r="H60" s="231"/>
      <c r="I60" s="231"/>
      <c r="J60" s="231"/>
      <c r="K60" s="231"/>
      <c r="L60" s="231"/>
      <c r="M60" s="231"/>
      <c r="N60" s="231"/>
      <c r="O60" s="231"/>
      <c r="P60" s="231"/>
      <c r="Q60" s="231"/>
      <c r="R60" s="231"/>
      <c r="S60" s="231"/>
      <c r="T60" s="231"/>
      <c r="U60" s="231">
        <v>0</v>
      </c>
      <c r="V60" s="231">
        <v>0</v>
      </c>
      <c r="W60" s="231">
        <v>0</v>
      </c>
      <c r="X60" s="231">
        <f>IF($A$86="No",85000,0)</f>
        <v>85000</v>
      </c>
      <c r="Y60" s="231">
        <f>X60*'Indexed REC Calculator'!$B$92</f>
        <v>84575</v>
      </c>
      <c r="Z60" s="231">
        <f>Y60*'Indexed REC Calculator'!$B$92</f>
        <v>84152.125</v>
      </c>
    </row>
    <row r="61" spans="1:26" ht="15.75" x14ac:dyDescent="0.25">
      <c r="A61" s="10" t="s">
        <v>77</v>
      </c>
      <c r="B61" s="9">
        <f t="shared" si="14"/>
        <v>2039</v>
      </c>
      <c r="C61" s="9"/>
      <c r="D61" s="9"/>
      <c r="E61" s="7"/>
      <c r="F61" s="7"/>
      <c r="G61" s="7"/>
      <c r="H61" s="231"/>
      <c r="I61" s="231"/>
      <c r="J61" s="231"/>
      <c r="K61" s="231"/>
      <c r="L61" s="231"/>
      <c r="M61" s="231"/>
      <c r="N61" s="231"/>
      <c r="O61" s="231"/>
      <c r="P61" s="231"/>
      <c r="Q61" s="231"/>
      <c r="R61" s="231"/>
      <c r="S61" s="231"/>
      <c r="T61" s="231"/>
      <c r="U61" s="231"/>
      <c r="V61" s="231">
        <v>0</v>
      </c>
      <c r="W61" s="231">
        <v>0</v>
      </c>
      <c r="X61" s="231">
        <v>0</v>
      </c>
      <c r="Y61" s="231">
        <f>IF($A$86="No",85000,0)</f>
        <v>85000</v>
      </c>
      <c r="Z61" s="231">
        <f>Y61*'Indexed REC Calculator'!$B$92</f>
        <v>84575</v>
      </c>
    </row>
    <row r="62" spans="1:26" ht="15.75" x14ac:dyDescent="0.25">
      <c r="A62" s="10" t="s">
        <v>77</v>
      </c>
      <c r="B62" s="9">
        <f t="shared" si="14"/>
        <v>2040</v>
      </c>
      <c r="C62" s="9"/>
      <c r="D62" s="9"/>
      <c r="E62" s="7"/>
      <c r="F62" s="7"/>
      <c r="G62" s="7"/>
      <c r="H62" s="231"/>
      <c r="I62" s="231"/>
      <c r="J62" s="231"/>
      <c r="K62" s="231"/>
      <c r="L62" s="231"/>
      <c r="M62" s="231"/>
      <c r="N62" s="231"/>
      <c r="O62" s="231"/>
      <c r="P62" s="231"/>
      <c r="Q62" s="231"/>
      <c r="R62" s="231"/>
      <c r="S62" s="231"/>
      <c r="T62" s="231"/>
      <c r="U62" s="231"/>
      <c r="V62" s="231"/>
      <c r="W62" s="231">
        <v>0</v>
      </c>
      <c r="X62" s="231">
        <v>0</v>
      </c>
      <c r="Y62" s="231">
        <v>0</v>
      </c>
      <c r="Z62" s="231">
        <f>IF($A$86="No",85000,0)</f>
        <v>85000</v>
      </c>
    </row>
    <row r="63" spans="1:26" ht="15.75" x14ac:dyDescent="0.25">
      <c r="A63" s="10" t="s">
        <v>77</v>
      </c>
      <c r="B63" s="9">
        <f t="shared" si="14"/>
        <v>2041</v>
      </c>
      <c r="C63" s="9"/>
      <c r="D63" s="9"/>
      <c r="E63" s="11"/>
      <c r="F63" s="11"/>
      <c r="G63" s="11"/>
      <c r="H63" s="230"/>
      <c r="I63" s="230"/>
      <c r="J63" s="230"/>
      <c r="K63" s="230"/>
      <c r="L63" s="230"/>
      <c r="M63" s="230"/>
      <c r="N63" s="230"/>
      <c r="O63" s="230"/>
      <c r="P63" s="230"/>
      <c r="Q63" s="230"/>
      <c r="R63" s="230"/>
      <c r="S63" s="230"/>
      <c r="T63" s="230"/>
      <c r="U63" s="230"/>
      <c r="V63" s="230"/>
      <c r="W63" s="230"/>
      <c r="X63" s="230"/>
      <c r="Y63" s="230"/>
      <c r="Z63" s="230"/>
    </row>
    <row r="64" spans="1:26" ht="15.75" x14ac:dyDescent="0.25">
      <c r="A64" s="10" t="s">
        <v>77</v>
      </c>
      <c r="B64" s="9">
        <f t="shared" si="14"/>
        <v>2042</v>
      </c>
      <c r="C64" s="9"/>
      <c r="D64" s="9"/>
      <c r="E64" s="11"/>
      <c r="F64" s="11"/>
      <c r="G64" s="11"/>
      <c r="H64" s="230"/>
      <c r="I64" s="230"/>
      <c r="J64" s="230"/>
      <c r="K64" s="230"/>
      <c r="L64" s="230"/>
      <c r="M64" s="230"/>
      <c r="N64" s="230"/>
      <c r="O64" s="230"/>
      <c r="P64" s="230"/>
      <c r="Q64" s="230"/>
      <c r="R64" s="230"/>
      <c r="S64" s="230"/>
      <c r="T64" s="230"/>
      <c r="U64" s="230"/>
      <c r="V64" s="230"/>
      <c r="W64" s="230"/>
      <c r="X64" s="230"/>
      <c r="Y64" s="230"/>
      <c r="Z64" s="230"/>
    </row>
    <row r="65" spans="1:26" x14ac:dyDescent="0.25">
      <c r="J65" s="163"/>
    </row>
    <row r="67" spans="1:26" ht="15.75" x14ac:dyDescent="0.25">
      <c r="A67" s="168" t="s">
        <v>83</v>
      </c>
      <c r="C67" s="208">
        <v>2020</v>
      </c>
      <c r="D67" s="208">
        <v>2021</v>
      </c>
      <c r="E67" s="208">
        <v>2022</v>
      </c>
      <c r="F67" s="208">
        <f>E67+1</f>
        <v>2023</v>
      </c>
      <c r="G67" s="208">
        <f t="shared" ref="G67:Y67" si="15">F67+1</f>
        <v>2024</v>
      </c>
      <c r="H67" s="208">
        <f t="shared" si="15"/>
        <v>2025</v>
      </c>
      <c r="I67" s="208">
        <f t="shared" si="15"/>
        <v>2026</v>
      </c>
      <c r="J67" s="208">
        <f t="shared" si="15"/>
        <v>2027</v>
      </c>
      <c r="K67" s="208">
        <f t="shared" si="15"/>
        <v>2028</v>
      </c>
      <c r="L67" s="208">
        <f t="shared" si="15"/>
        <v>2029</v>
      </c>
      <c r="M67" s="208">
        <f t="shared" si="15"/>
        <v>2030</v>
      </c>
      <c r="N67" s="208">
        <f t="shared" si="15"/>
        <v>2031</v>
      </c>
      <c r="O67" s="208">
        <f t="shared" si="15"/>
        <v>2032</v>
      </c>
      <c r="P67" s="208">
        <f t="shared" si="15"/>
        <v>2033</v>
      </c>
      <c r="Q67" s="208">
        <f t="shared" si="15"/>
        <v>2034</v>
      </c>
      <c r="R67" s="208">
        <f t="shared" si="15"/>
        <v>2035</v>
      </c>
      <c r="S67" s="208">
        <f t="shared" si="15"/>
        <v>2036</v>
      </c>
      <c r="T67" s="208">
        <f t="shared" si="15"/>
        <v>2037</v>
      </c>
      <c r="U67" s="208">
        <f t="shared" si="15"/>
        <v>2038</v>
      </c>
      <c r="V67" s="208">
        <f t="shared" si="15"/>
        <v>2039</v>
      </c>
      <c r="W67" s="208">
        <f t="shared" si="15"/>
        <v>2040</v>
      </c>
      <c r="X67" s="208">
        <f t="shared" si="15"/>
        <v>2041</v>
      </c>
      <c r="Y67" s="208">
        <f t="shared" si="15"/>
        <v>2042</v>
      </c>
      <c r="Z67" s="208">
        <f t="shared" ref="Z67" si="16">Y67+1</f>
        <v>2043</v>
      </c>
    </row>
    <row r="68" spans="1:26" x14ac:dyDescent="0.25">
      <c r="A68" s="10" t="s">
        <v>81</v>
      </c>
      <c r="C68" s="11">
        <f>IFERROR(SUMIF($A$2:$A$64,$A$68, C2:C64),"error")</f>
        <v>0</v>
      </c>
      <c r="D68" s="11">
        <f t="shared" ref="D68:Z68" si="17">IFERROR(SUMIF($A$2:$A$64,$A$68, D2:D64),"error")</f>
        <v>0</v>
      </c>
      <c r="E68" s="11">
        <f t="shared" si="17"/>
        <v>0</v>
      </c>
      <c r="F68" s="11">
        <f t="shared" si="17"/>
        <v>0</v>
      </c>
      <c r="G68" s="11">
        <f t="shared" si="17"/>
        <v>0</v>
      </c>
      <c r="H68" s="11">
        <f>IFERROR(SUMIF($A$2:$A$64,$A$68, H2:H64),"error")</f>
        <v>76224.164383561641</v>
      </c>
      <c r="I68" s="11">
        <f>IFERROR(SUMIF($A$2:$A$64,$A$68, I2:I64),"error")</f>
        <v>580274.35061643831</v>
      </c>
      <c r="J68" s="11">
        <f>IFERROR(SUMIF($A$2:$A$64,$A$68, J2:J64),"error")</f>
        <v>1810941.1273972602</v>
      </c>
      <c r="K68" s="11">
        <f t="shared" si="17"/>
        <v>5605369.0554109588</v>
      </c>
      <c r="L68" s="11">
        <f t="shared" si="17"/>
        <v>8671180.3650000002</v>
      </c>
      <c r="M68" s="11">
        <f t="shared" si="17"/>
        <v>11171180.365</v>
      </c>
      <c r="N68" s="11">
        <f t="shared" si="17"/>
        <v>13671180.365</v>
      </c>
      <c r="O68" s="11">
        <f t="shared" si="17"/>
        <v>16171180.365</v>
      </c>
      <c r="P68" s="11">
        <f t="shared" si="17"/>
        <v>17171180.365000002</v>
      </c>
      <c r="Q68" s="11">
        <f t="shared" si="17"/>
        <v>18171180.365000002</v>
      </c>
      <c r="R68" s="11">
        <f t="shared" si="17"/>
        <v>19171180.365000002</v>
      </c>
      <c r="S68" s="11">
        <f t="shared" si="17"/>
        <v>20171180.365000002</v>
      </c>
      <c r="T68" s="11">
        <f t="shared" si="17"/>
        <v>21171180.365000002</v>
      </c>
      <c r="U68" s="11">
        <f t="shared" si="17"/>
        <v>22171180.365000002</v>
      </c>
      <c r="V68" s="11">
        <f t="shared" si="17"/>
        <v>23171180.365000002</v>
      </c>
      <c r="W68" s="11">
        <f t="shared" si="17"/>
        <v>24171180.365000002</v>
      </c>
      <c r="X68" s="11">
        <f t="shared" si="17"/>
        <v>25171180.365000002</v>
      </c>
      <c r="Y68" s="11">
        <f t="shared" si="17"/>
        <v>26171180.365000002</v>
      </c>
      <c r="Z68" s="11">
        <f t="shared" si="17"/>
        <v>27171180.365000002</v>
      </c>
    </row>
    <row r="69" spans="1:26" x14ac:dyDescent="0.25">
      <c r="A69" s="10" t="s">
        <v>82</v>
      </c>
      <c r="C69" s="11">
        <f>IFERROR(SUMIF($A$2:$A$64,$A$69, C2:C64),"error")</f>
        <v>0</v>
      </c>
      <c r="D69" s="11">
        <f t="shared" ref="D69:Z69" si="18">IFERROR(SUMIF($A$2:$A$64,$A$69, D2:D64),"error")</f>
        <v>0</v>
      </c>
      <c r="E69" s="11">
        <f t="shared" si="18"/>
        <v>0</v>
      </c>
      <c r="F69" s="11">
        <f t="shared" si="18"/>
        <v>0</v>
      </c>
      <c r="G69" s="11">
        <f t="shared" si="18"/>
        <v>0</v>
      </c>
      <c r="H69" s="11">
        <f>IFERROR(SUMIF($A$2:$A$64,$A$69, H2:H64),"error")</f>
        <v>109095.89041095891</v>
      </c>
      <c r="I69" s="11">
        <f t="shared" si="18"/>
        <v>447421.76438356168</v>
      </c>
      <c r="J69" s="11">
        <f t="shared" si="18"/>
        <v>1993603.1123630137</v>
      </c>
      <c r="K69" s="11">
        <f t="shared" si="18"/>
        <v>5380352.4187190067</v>
      </c>
      <c r="L69" s="11">
        <f t="shared" si="18"/>
        <v>7544085.204954179</v>
      </c>
      <c r="M69" s="11">
        <f t="shared" si="18"/>
        <v>9007915.3079414032</v>
      </c>
      <c r="N69" s="11">
        <f t="shared" si="18"/>
        <v>9962875.7314016968</v>
      </c>
      <c r="O69" s="11">
        <f t="shared" si="18"/>
        <v>10913061.352744687</v>
      </c>
      <c r="P69" s="11">
        <f t="shared" si="18"/>
        <v>11608496.045980964</v>
      </c>
      <c r="Q69" s="11">
        <f t="shared" si="18"/>
        <v>12300453.565751061</v>
      </c>
      <c r="R69" s="11">
        <f t="shared" si="18"/>
        <v>12988951.297922304</v>
      </c>
      <c r="S69" s="11">
        <f t="shared" si="18"/>
        <v>13674006.541432692</v>
      </c>
      <c r="T69" s="11">
        <f t="shared" si="18"/>
        <v>14355636.508725531</v>
      </c>
      <c r="U69" s="11">
        <f t="shared" si="18"/>
        <v>15033858.326181903</v>
      </c>
      <c r="V69" s="11">
        <f t="shared" si="18"/>
        <v>15708689.034550995</v>
      </c>
      <c r="W69" s="11">
        <f t="shared" si="18"/>
        <v>16380145.58937824</v>
      </c>
      <c r="X69" s="11">
        <f t="shared" si="18"/>
        <v>17048244.861431345</v>
      </c>
      <c r="Y69" s="11">
        <f t="shared" si="18"/>
        <v>17713003.637124188</v>
      </c>
      <c r="Z69" s="11">
        <f t="shared" si="18"/>
        <v>18378188.618938569</v>
      </c>
    </row>
    <row r="70" spans="1:26" x14ac:dyDescent="0.25">
      <c r="A70" s="10" t="s">
        <v>77</v>
      </c>
      <c r="C70" s="11">
        <f>IFERROR(SUMIF($A$2:$A$64,$A$70, C2:C64),"error")</f>
        <v>0</v>
      </c>
      <c r="D70" s="11">
        <f t="shared" ref="D70:Z70" si="19">IFERROR(SUMIF($A$2:$A$64,$A$70, D2:D64),"error")</f>
        <v>0</v>
      </c>
      <c r="E70" s="11">
        <f t="shared" si="19"/>
        <v>0</v>
      </c>
      <c r="F70" s="11">
        <f t="shared" si="19"/>
        <v>0</v>
      </c>
      <c r="G70" s="11">
        <f t="shared" si="19"/>
        <v>0</v>
      </c>
      <c r="H70" s="11">
        <f t="shared" si="19"/>
        <v>817.89041095890411</v>
      </c>
      <c r="I70" s="11">
        <f t="shared" si="19"/>
        <v>13736.639520547946</v>
      </c>
      <c r="J70" s="11">
        <f t="shared" si="19"/>
        <v>51028.273775000009</v>
      </c>
      <c r="K70" s="11">
        <f t="shared" si="19"/>
        <v>241507.28066734999</v>
      </c>
      <c r="L70" s="11">
        <f t="shared" si="19"/>
        <v>325299.74426401325</v>
      </c>
      <c r="M70" s="11">
        <f t="shared" si="19"/>
        <v>408673.24554269318</v>
      </c>
      <c r="N70" s="11">
        <f t="shared" si="19"/>
        <v>491629.87931497971</v>
      </c>
      <c r="O70" s="11">
        <f t="shared" si="19"/>
        <v>574171.72991840483</v>
      </c>
      <c r="P70" s="11">
        <f t="shared" si="19"/>
        <v>656300.8712688128</v>
      </c>
      <c r="Q70" s="11">
        <f t="shared" si="19"/>
        <v>738019.36691246869</v>
      </c>
      <c r="R70" s="11">
        <f t="shared" si="19"/>
        <v>819329.27007790632</v>
      </c>
      <c r="S70" s="11">
        <f t="shared" si="19"/>
        <v>900232.62372751685</v>
      </c>
      <c r="T70" s="11">
        <f t="shared" si="19"/>
        <v>980731.46060887922</v>
      </c>
      <c r="U70" s="11">
        <f t="shared" si="19"/>
        <v>1060827.8033058348</v>
      </c>
      <c r="V70" s="11">
        <f t="shared" si="19"/>
        <v>1140523.6642893055</v>
      </c>
      <c r="W70" s="11">
        <f t="shared" si="19"/>
        <v>1219821.045967859</v>
      </c>
      <c r="X70" s="11">
        <f t="shared" si="19"/>
        <v>1298721.9407380198</v>
      </c>
      <c r="Y70" s="11">
        <f t="shared" si="19"/>
        <v>1377228.3310343295</v>
      </c>
      <c r="Z70" s="11">
        <f t="shared" si="19"/>
        <v>1455342.189379158</v>
      </c>
    </row>
    <row r="71" spans="1:26" x14ac:dyDescent="0.25">
      <c r="A71" s="12" t="s">
        <v>84</v>
      </c>
      <c r="C71" s="11">
        <f>SUM(C68:C70)</f>
        <v>0</v>
      </c>
      <c r="D71" s="11">
        <f t="shared" ref="D71" si="20">SUM(D68:D70)</f>
        <v>0</v>
      </c>
      <c r="E71" s="11">
        <f t="shared" ref="E71:Y71" si="21">SUM(E68:E70)</f>
        <v>0</v>
      </c>
      <c r="F71" s="11">
        <f t="shared" si="21"/>
        <v>0</v>
      </c>
      <c r="G71" s="11">
        <f t="shared" si="21"/>
        <v>0</v>
      </c>
      <c r="H71" s="11">
        <f t="shared" si="21"/>
        <v>186137.94520547945</v>
      </c>
      <c r="I71" s="11">
        <f t="shared" si="21"/>
        <v>1041432.7545205479</v>
      </c>
      <c r="J71" s="11">
        <f t="shared" si="21"/>
        <v>3855572.5135352742</v>
      </c>
      <c r="K71" s="11">
        <f t="shared" si="21"/>
        <v>11227228.754797315</v>
      </c>
      <c r="L71" s="11">
        <f t="shared" si="21"/>
        <v>16540565.314218193</v>
      </c>
      <c r="M71" s="11">
        <f t="shared" si="21"/>
        <v>20587768.918484095</v>
      </c>
      <c r="N71" s="11">
        <f t="shared" si="21"/>
        <v>24125685.97571668</v>
      </c>
      <c r="O71" s="11">
        <f t="shared" si="21"/>
        <v>27658413.447663091</v>
      </c>
      <c r="P71" s="11">
        <f t="shared" si="21"/>
        <v>29435977.282249779</v>
      </c>
      <c r="Q71" s="11">
        <f t="shared" si="21"/>
        <v>31209653.297663532</v>
      </c>
      <c r="R71" s="11">
        <f t="shared" si="21"/>
        <v>32979460.933000214</v>
      </c>
      <c r="S71" s="11">
        <f t="shared" si="21"/>
        <v>34745419.530160211</v>
      </c>
      <c r="T71" s="11">
        <f t="shared" si="21"/>
        <v>36507548.334334411</v>
      </c>
      <c r="U71" s="11">
        <f t="shared" si="21"/>
        <v>38265866.49448774</v>
      </c>
      <c r="V71" s="11">
        <f t="shared" si="21"/>
        <v>40020393.0638403</v>
      </c>
      <c r="W71" s="11">
        <f t="shared" si="21"/>
        <v>41771147.000346102</v>
      </c>
      <c r="X71" s="11">
        <f t="shared" si="21"/>
        <v>43518147.16716937</v>
      </c>
      <c r="Y71" s="11">
        <f t="shared" si="21"/>
        <v>45261412.333158523</v>
      </c>
      <c r="Z71" s="11">
        <f t="shared" ref="Z71" si="22">SUM(Z68:Z70)</f>
        <v>47004711.17331773</v>
      </c>
    </row>
    <row r="73" spans="1:26" ht="15.75" x14ac:dyDescent="0.25">
      <c r="A73" s="168" t="s">
        <v>85</v>
      </c>
      <c r="C73" s="208">
        <v>2020</v>
      </c>
      <c r="D73" s="208">
        <v>2021</v>
      </c>
      <c r="E73" s="208">
        <v>2022</v>
      </c>
      <c r="F73" s="208">
        <f>E73+1</f>
        <v>2023</v>
      </c>
      <c r="G73" s="208">
        <f t="shared" ref="G73" si="23">F73+1</f>
        <v>2024</v>
      </c>
      <c r="H73" s="208">
        <f t="shared" ref="H73" si="24">G73+1</f>
        <v>2025</v>
      </c>
      <c r="I73" s="208">
        <f t="shared" ref="I73" si="25">H73+1</f>
        <v>2026</v>
      </c>
      <c r="J73" s="208">
        <f t="shared" ref="J73" si="26">I73+1</f>
        <v>2027</v>
      </c>
      <c r="K73" s="208">
        <f t="shared" ref="K73" si="27">J73+1</f>
        <v>2028</v>
      </c>
      <c r="L73" s="208">
        <f t="shared" ref="L73" si="28">K73+1</f>
        <v>2029</v>
      </c>
      <c r="M73" s="208">
        <f t="shared" ref="M73" si="29">L73+1</f>
        <v>2030</v>
      </c>
      <c r="N73" s="208">
        <f t="shared" ref="N73" si="30">M73+1</f>
        <v>2031</v>
      </c>
      <c r="O73" s="208">
        <f t="shared" ref="O73" si="31">N73+1</f>
        <v>2032</v>
      </c>
      <c r="P73" s="208">
        <f t="shared" ref="P73" si="32">O73+1</f>
        <v>2033</v>
      </c>
      <c r="Q73" s="208">
        <f t="shared" ref="Q73" si="33">P73+1</f>
        <v>2034</v>
      </c>
      <c r="R73" s="208">
        <f t="shared" ref="R73" si="34">Q73+1</f>
        <v>2035</v>
      </c>
      <c r="S73" s="208">
        <f t="shared" ref="S73" si="35">R73+1</f>
        <v>2036</v>
      </c>
      <c r="T73" s="208">
        <f t="shared" ref="T73" si="36">S73+1</f>
        <v>2037</v>
      </c>
      <c r="U73" s="208">
        <f t="shared" ref="U73" si="37">T73+1</f>
        <v>2038</v>
      </c>
      <c r="V73" s="208">
        <f t="shared" ref="V73" si="38">U73+1</f>
        <v>2039</v>
      </c>
      <c r="W73" s="208">
        <f t="shared" ref="W73" si="39">V73+1</f>
        <v>2040</v>
      </c>
      <c r="X73" s="208">
        <f t="shared" ref="X73" si="40">W73+1</f>
        <v>2041</v>
      </c>
      <c r="Y73" s="208">
        <f t="shared" ref="Y73" si="41">X73+1</f>
        <v>2042</v>
      </c>
      <c r="Z73" s="208">
        <f t="shared" ref="Z73" si="42">Y73+1</f>
        <v>2043</v>
      </c>
    </row>
    <row r="74" spans="1:26" s="174" customFormat="1" x14ac:dyDescent="0.25">
      <c r="A74" s="279" t="s">
        <v>81</v>
      </c>
      <c r="C74" s="11">
        <f>SUMIFS(C2:C64,$A$2:$A$64,$A$74,$B$2:$B$64,"&lt;=2024")</f>
        <v>0</v>
      </c>
      <c r="D74" s="11">
        <f t="shared" ref="D74:Z74" si="43">SUMIFS(D2:D64,$A$2:$A$64,$A$74,$B$2:$B$64,"&lt;=2024")</f>
        <v>0</v>
      </c>
      <c r="E74" s="11">
        <f t="shared" si="43"/>
        <v>0</v>
      </c>
      <c r="F74" s="11">
        <f t="shared" si="43"/>
        <v>0</v>
      </c>
      <c r="G74" s="11">
        <f t="shared" si="43"/>
        <v>0</v>
      </c>
      <c r="H74" s="11">
        <f t="shared" si="43"/>
        <v>76224.164383561641</v>
      </c>
      <c r="I74" s="11">
        <f t="shared" si="43"/>
        <v>580274.35061643831</v>
      </c>
      <c r="J74" s="11">
        <f t="shared" si="43"/>
        <v>1810941.1273972602</v>
      </c>
      <c r="K74" s="11">
        <f t="shared" si="43"/>
        <v>3105369.0554109588</v>
      </c>
      <c r="L74" s="11">
        <f t="shared" si="43"/>
        <v>3671180.3649999998</v>
      </c>
      <c r="M74" s="11">
        <f t="shared" si="43"/>
        <v>3671180.3649999998</v>
      </c>
      <c r="N74" s="11">
        <f t="shared" si="43"/>
        <v>3671180.3649999998</v>
      </c>
      <c r="O74" s="11">
        <f t="shared" si="43"/>
        <v>3671180.3649999998</v>
      </c>
      <c r="P74" s="11">
        <f t="shared" si="43"/>
        <v>3671180.3649999998</v>
      </c>
      <c r="Q74" s="11">
        <f t="shared" si="43"/>
        <v>3671180.3649999998</v>
      </c>
      <c r="R74" s="11">
        <f t="shared" si="43"/>
        <v>3671180.3649999998</v>
      </c>
      <c r="S74" s="11">
        <f t="shared" si="43"/>
        <v>3671180.3649999998</v>
      </c>
      <c r="T74" s="11">
        <f t="shared" si="43"/>
        <v>3671180.3649999998</v>
      </c>
      <c r="U74" s="11">
        <f t="shared" si="43"/>
        <v>3671180.3649999998</v>
      </c>
      <c r="V74" s="11">
        <f t="shared" si="43"/>
        <v>3671180.3649999998</v>
      </c>
      <c r="W74" s="11">
        <f t="shared" si="43"/>
        <v>3671180.3649999998</v>
      </c>
      <c r="X74" s="11">
        <f t="shared" si="43"/>
        <v>3671180.3649999998</v>
      </c>
      <c r="Y74" s="11">
        <f t="shared" si="43"/>
        <v>3671180.3649999998</v>
      </c>
      <c r="Z74" s="11">
        <f t="shared" si="43"/>
        <v>3671180.3649999998</v>
      </c>
    </row>
    <row r="75" spans="1:26" x14ac:dyDescent="0.25">
      <c r="A75" s="10" t="s">
        <v>82</v>
      </c>
      <c r="C75" s="11">
        <f>SUMIFS(C2:C64,$A$2:$A$64,$A$75,$B$2:$B$64,"&lt;=2024")</f>
        <v>0</v>
      </c>
      <c r="D75" s="11">
        <f t="shared" ref="D75:Z75" si="44">SUMIFS(D2:D64,$A$2:$A$64,$A$75,$B$2:$B$64,"&lt;=2024")</f>
        <v>0</v>
      </c>
      <c r="E75" s="11">
        <f t="shared" si="44"/>
        <v>0</v>
      </c>
      <c r="F75" s="11">
        <f t="shared" si="44"/>
        <v>0</v>
      </c>
      <c r="G75" s="11">
        <f t="shared" si="44"/>
        <v>0</v>
      </c>
      <c r="H75" s="11">
        <f t="shared" si="44"/>
        <v>109095.89041095891</v>
      </c>
      <c r="I75" s="11">
        <f t="shared" si="44"/>
        <v>447421.76438356168</v>
      </c>
      <c r="J75" s="11">
        <f t="shared" si="44"/>
        <v>1993603.1123630137</v>
      </c>
      <c r="K75" s="11">
        <f t="shared" si="44"/>
        <v>4713686.4187190067</v>
      </c>
      <c r="L75" s="11">
        <f t="shared" si="44"/>
        <v>5380752.5349541791</v>
      </c>
      <c r="M75" s="11">
        <f t="shared" si="44"/>
        <v>5355399.3012914034</v>
      </c>
      <c r="N75" s="11">
        <f t="shared" si="44"/>
        <v>5328622.3047849461</v>
      </c>
      <c r="O75" s="11">
        <f t="shared" si="44"/>
        <v>5301979.1932610217</v>
      </c>
      <c r="P75" s="11">
        <f t="shared" si="44"/>
        <v>5275469.2972947173</v>
      </c>
      <c r="Q75" s="11">
        <f t="shared" si="44"/>
        <v>5249091.9508082438</v>
      </c>
      <c r="R75" s="11">
        <f t="shared" si="44"/>
        <v>5222846.4910542024</v>
      </c>
      <c r="S75" s="11">
        <f t="shared" si="44"/>
        <v>5196732.2585989311</v>
      </c>
      <c r="T75" s="11">
        <f t="shared" si="44"/>
        <v>5170748.5973059367</v>
      </c>
      <c r="U75" s="11">
        <f t="shared" si="44"/>
        <v>5144894.8543194067</v>
      </c>
      <c r="V75" s="11">
        <f t="shared" si="44"/>
        <v>5119170.3800478103</v>
      </c>
      <c r="W75" s="11">
        <f t="shared" si="44"/>
        <v>5093574.5281475708</v>
      </c>
      <c r="X75" s="11">
        <f t="shared" si="44"/>
        <v>5068106.6555068325</v>
      </c>
      <c r="Y75" s="11">
        <f t="shared" si="44"/>
        <v>5042766.1222292986</v>
      </c>
      <c r="Z75" s="11">
        <f t="shared" si="44"/>
        <v>5017552.2916181516</v>
      </c>
    </row>
    <row r="76" spans="1:26" x14ac:dyDescent="0.25">
      <c r="A76" s="10" t="s">
        <v>77</v>
      </c>
      <c r="C76" s="11">
        <f>SUMIFS(C4:C66,$A$2:$A$64,$A$76,$B$2:$B$64,"&lt;=2024")</f>
        <v>0</v>
      </c>
      <c r="D76" s="11">
        <f t="shared" ref="D76:G76" si="45">SUMIFS(D4:D66,$A$2:$A$64,$A$76,$B$2:$B$64,"&lt;=2024")</f>
        <v>0</v>
      </c>
      <c r="E76" s="11">
        <f t="shared" si="45"/>
        <v>0</v>
      </c>
      <c r="F76" s="11">
        <f t="shared" si="45"/>
        <v>0</v>
      </c>
      <c r="G76" s="11">
        <f t="shared" si="45"/>
        <v>0</v>
      </c>
      <c r="H76" s="11">
        <f>SUMIFS(H2:H64,$A$2:$A$64,$A$76,$B$2:$B$64,"&lt;=2024")</f>
        <v>817.89041095890411</v>
      </c>
      <c r="I76" s="11">
        <f t="shared" ref="I76:Z76" si="46">SUMIFS(I2:I64,$A$2:$A$64,$A$76,$B$2:$B$64,"&lt;=2024")</f>
        <v>13736.639520547946</v>
      </c>
      <c r="J76" s="11">
        <f t="shared" si="46"/>
        <v>51028.273775000009</v>
      </c>
      <c r="K76" s="11">
        <f t="shared" si="46"/>
        <v>156507.28066734999</v>
      </c>
      <c r="L76" s="11">
        <f t="shared" si="46"/>
        <v>155724.74426401325</v>
      </c>
      <c r="M76" s="11">
        <f t="shared" si="46"/>
        <v>154946.12054269318</v>
      </c>
      <c r="N76" s="11">
        <f t="shared" si="46"/>
        <v>154171.38993997971</v>
      </c>
      <c r="O76" s="11">
        <f t="shared" si="46"/>
        <v>153400.53299027981</v>
      </c>
      <c r="P76" s="11">
        <f t="shared" si="46"/>
        <v>152633.53032532841</v>
      </c>
      <c r="Q76" s="11">
        <f t="shared" si="46"/>
        <v>151870.36267370178</v>
      </c>
      <c r="R76" s="11">
        <f t="shared" si="46"/>
        <v>151111.01086033325</v>
      </c>
      <c r="S76" s="11">
        <f t="shared" si="46"/>
        <v>150355.45580603159</v>
      </c>
      <c r="T76" s="11">
        <f t="shared" si="46"/>
        <v>149603.67852700141</v>
      </c>
      <c r="U76" s="11">
        <f t="shared" si="46"/>
        <v>148855.66013436642</v>
      </c>
      <c r="V76" s="11">
        <f t="shared" si="46"/>
        <v>148111.38183369458</v>
      </c>
      <c r="W76" s="11">
        <f t="shared" si="46"/>
        <v>147370.8249245261</v>
      </c>
      <c r="X76" s="11">
        <f t="shared" si="46"/>
        <v>146633.9707999035</v>
      </c>
      <c r="Y76" s="11">
        <f t="shared" si="46"/>
        <v>145900.80094590396</v>
      </c>
      <c r="Z76" s="11">
        <f t="shared" si="46"/>
        <v>145171.29694117446</v>
      </c>
    </row>
    <row r="77" spans="1:26" x14ac:dyDescent="0.25">
      <c r="A77" s="12" t="s">
        <v>84</v>
      </c>
      <c r="C77" s="11">
        <f t="shared" ref="C77:Y77" si="47">SUM(C74:C76)</f>
        <v>0</v>
      </c>
      <c r="D77" s="11">
        <f t="shared" si="47"/>
        <v>0</v>
      </c>
      <c r="E77" s="11">
        <f t="shared" si="47"/>
        <v>0</v>
      </c>
      <c r="F77" s="11">
        <f t="shared" si="47"/>
        <v>0</v>
      </c>
      <c r="G77" s="11">
        <f t="shared" si="47"/>
        <v>0</v>
      </c>
      <c r="H77" s="11">
        <f t="shared" si="47"/>
        <v>186137.94520547945</v>
      </c>
      <c r="I77" s="11">
        <f t="shared" si="47"/>
        <v>1041432.7545205479</v>
      </c>
      <c r="J77" s="11">
        <f t="shared" si="47"/>
        <v>3855572.5135352742</v>
      </c>
      <c r="K77" s="11">
        <f t="shared" si="47"/>
        <v>7975562.7547973152</v>
      </c>
      <c r="L77" s="11">
        <f t="shared" si="47"/>
        <v>9207657.6442181934</v>
      </c>
      <c r="M77" s="11">
        <f t="shared" si="47"/>
        <v>9181525.7868340965</v>
      </c>
      <c r="N77" s="11">
        <f t="shared" si="47"/>
        <v>9153974.0597249269</v>
      </c>
      <c r="O77" s="11">
        <f t="shared" si="47"/>
        <v>9126560.0912513025</v>
      </c>
      <c r="P77" s="11">
        <f t="shared" si="47"/>
        <v>9099283.1926200464</v>
      </c>
      <c r="Q77" s="11">
        <f t="shared" si="47"/>
        <v>9072142.6784819458</v>
      </c>
      <c r="R77" s="11">
        <f t="shared" si="47"/>
        <v>9045137.8669145349</v>
      </c>
      <c r="S77" s="11">
        <f t="shared" si="47"/>
        <v>9018268.0794049632</v>
      </c>
      <c r="T77" s="11">
        <f t="shared" si="47"/>
        <v>8991532.6408329383</v>
      </c>
      <c r="U77" s="11">
        <f t="shared" si="47"/>
        <v>8964930.8794537727</v>
      </c>
      <c r="V77" s="11">
        <f t="shared" si="47"/>
        <v>8938462.1268815044</v>
      </c>
      <c r="W77" s="11">
        <f t="shared" si="47"/>
        <v>8912125.7180720977</v>
      </c>
      <c r="X77" s="11">
        <f t="shared" si="47"/>
        <v>8885920.9913067371</v>
      </c>
      <c r="Y77" s="11">
        <f t="shared" si="47"/>
        <v>8859847.2881752029</v>
      </c>
      <c r="Z77" s="11">
        <f t="shared" ref="Z77" si="48">SUM(Z74:Z76)</f>
        <v>8833903.953559326</v>
      </c>
    </row>
    <row r="78" spans="1:26" x14ac:dyDescent="0.25">
      <c r="P78" s="176"/>
    </row>
    <row r="79" spans="1:26" ht="15.75" x14ac:dyDescent="0.25">
      <c r="A79" s="1" t="s">
        <v>86</v>
      </c>
      <c r="C79" s="208">
        <v>2020</v>
      </c>
      <c r="D79" s="208">
        <v>2021</v>
      </c>
      <c r="E79" s="208">
        <v>2022</v>
      </c>
      <c r="F79" s="208">
        <f>E79+1</f>
        <v>2023</v>
      </c>
      <c r="G79" s="208">
        <f t="shared" ref="G79" si="49">F79+1</f>
        <v>2024</v>
      </c>
      <c r="H79" s="208">
        <f t="shared" ref="H79" si="50">G79+1</f>
        <v>2025</v>
      </c>
      <c r="I79" s="208">
        <f t="shared" ref="I79" si="51">H79+1</f>
        <v>2026</v>
      </c>
      <c r="J79" s="208">
        <f t="shared" ref="J79" si="52">I79+1</f>
        <v>2027</v>
      </c>
      <c r="K79" s="208">
        <f t="shared" ref="K79" si="53">J79+1</f>
        <v>2028</v>
      </c>
      <c r="L79" s="208">
        <f t="shared" ref="L79" si="54">K79+1</f>
        <v>2029</v>
      </c>
      <c r="M79" s="208">
        <f t="shared" ref="M79" si="55">L79+1</f>
        <v>2030</v>
      </c>
      <c r="N79" s="208">
        <f t="shared" ref="N79" si="56">M79+1</f>
        <v>2031</v>
      </c>
      <c r="O79" s="208">
        <f t="shared" ref="O79" si="57">N79+1</f>
        <v>2032</v>
      </c>
      <c r="P79" s="208">
        <f t="shared" ref="P79" si="58">O79+1</f>
        <v>2033</v>
      </c>
      <c r="Q79" s="208">
        <f t="shared" ref="Q79" si="59">P79+1</f>
        <v>2034</v>
      </c>
      <c r="R79" s="208">
        <f t="shared" ref="R79" si="60">Q79+1</f>
        <v>2035</v>
      </c>
      <c r="S79" s="208">
        <f t="shared" ref="S79" si="61">R79+1</f>
        <v>2036</v>
      </c>
      <c r="T79" s="208">
        <f t="shared" ref="T79" si="62">S79+1</f>
        <v>2037</v>
      </c>
      <c r="U79" s="208">
        <f t="shared" ref="U79" si="63">T79+1</f>
        <v>2038</v>
      </c>
      <c r="V79" s="208">
        <f t="shared" ref="V79" si="64">U79+1</f>
        <v>2039</v>
      </c>
      <c r="W79" s="208">
        <f t="shared" ref="W79" si="65">V79+1</f>
        <v>2040</v>
      </c>
      <c r="X79" s="208">
        <f t="shared" ref="X79" si="66">W79+1</f>
        <v>2041</v>
      </c>
      <c r="Y79" s="208">
        <f t="shared" ref="Y79" si="67">X79+1</f>
        <v>2042</v>
      </c>
      <c r="Z79" s="208">
        <f t="shared" ref="Z79" si="68">Y79+1</f>
        <v>2043</v>
      </c>
    </row>
    <row r="80" spans="1:26" s="174" customFormat="1" x14ac:dyDescent="0.25">
      <c r="A80" s="279" t="s">
        <v>81</v>
      </c>
      <c r="C80" s="280">
        <f>SUMIFS(C2:C64,$A$2:$A$64,$A$80,$B$2:$B$64,"&gt;2024")</f>
        <v>0</v>
      </c>
      <c r="D80" s="280">
        <f t="shared" ref="D80:Z80" si="69">SUMIFS(D2:D64,$A$2:$A$64,$A$80,$B$2:$B$64,"&gt;2024")</f>
        <v>0</v>
      </c>
      <c r="E80" s="280">
        <f t="shared" si="69"/>
        <v>0</v>
      </c>
      <c r="F80" s="280">
        <f t="shared" si="69"/>
        <v>0</v>
      </c>
      <c r="G80" s="280">
        <f t="shared" si="69"/>
        <v>0</v>
      </c>
      <c r="H80" s="280">
        <f t="shared" si="69"/>
        <v>0</v>
      </c>
      <c r="I80" s="280">
        <f t="shared" si="69"/>
        <v>0</v>
      </c>
      <c r="J80" s="280">
        <f t="shared" si="69"/>
        <v>0</v>
      </c>
      <c r="K80" s="280">
        <f t="shared" si="69"/>
        <v>2500000</v>
      </c>
      <c r="L80" s="280">
        <f t="shared" si="69"/>
        <v>5000000</v>
      </c>
      <c r="M80" s="280">
        <f t="shared" si="69"/>
        <v>7500000</v>
      </c>
      <c r="N80" s="280">
        <f t="shared" si="69"/>
        <v>10000000</v>
      </c>
      <c r="O80" s="280">
        <f t="shared" si="69"/>
        <v>12500000</v>
      </c>
      <c r="P80" s="280">
        <f t="shared" si="69"/>
        <v>13500000</v>
      </c>
      <c r="Q80" s="280">
        <f t="shared" si="69"/>
        <v>14500000</v>
      </c>
      <c r="R80" s="280">
        <f t="shared" si="69"/>
        <v>15500000</v>
      </c>
      <c r="S80" s="280">
        <f t="shared" si="69"/>
        <v>16500000</v>
      </c>
      <c r="T80" s="280">
        <f t="shared" si="69"/>
        <v>17500000</v>
      </c>
      <c r="U80" s="280">
        <f t="shared" si="69"/>
        <v>18500000</v>
      </c>
      <c r="V80" s="280">
        <f t="shared" si="69"/>
        <v>19500000</v>
      </c>
      <c r="W80" s="280">
        <f t="shared" si="69"/>
        <v>20500000</v>
      </c>
      <c r="X80" s="280">
        <f t="shared" si="69"/>
        <v>21500000</v>
      </c>
      <c r="Y80" s="280">
        <f t="shared" si="69"/>
        <v>22500000</v>
      </c>
      <c r="Z80" s="280">
        <f t="shared" si="69"/>
        <v>23500000</v>
      </c>
    </row>
    <row r="81" spans="1:26" s="174" customFormat="1" x14ac:dyDescent="0.25">
      <c r="A81" s="279" t="s">
        <v>82</v>
      </c>
      <c r="C81" s="280">
        <f>SUMIFS(C2:C64,$A$2:$A$64,$A$81,$B$2:$B$64,"&gt;2024")</f>
        <v>0</v>
      </c>
      <c r="D81" s="280">
        <f t="shared" ref="D81:Z81" si="70">SUMIFS(D2:D64,$A$2:$A$64,$A$81,$B$2:$B$64,"&gt;2024")</f>
        <v>0</v>
      </c>
      <c r="E81" s="280">
        <f t="shared" si="70"/>
        <v>0</v>
      </c>
      <c r="F81" s="280">
        <f t="shared" si="70"/>
        <v>0</v>
      </c>
      <c r="G81" s="280">
        <f t="shared" si="70"/>
        <v>0</v>
      </c>
      <c r="H81" s="280">
        <f t="shared" si="70"/>
        <v>0</v>
      </c>
      <c r="I81" s="280">
        <f t="shared" si="70"/>
        <v>0</v>
      </c>
      <c r="J81" s="280">
        <f t="shared" si="70"/>
        <v>0</v>
      </c>
      <c r="K81" s="280">
        <f t="shared" si="70"/>
        <v>666666</v>
      </c>
      <c r="L81" s="280">
        <f t="shared" si="70"/>
        <v>2163332.67</v>
      </c>
      <c r="M81" s="280">
        <f t="shared" si="70"/>
        <v>3652516.0066499999</v>
      </c>
      <c r="N81" s="280">
        <f t="shared" si="70"/>
        <v>4634253.4266167497</v>
      </c>
      <c r="O81" s="280">
        <f t="shared" si="70"/>
        <v>5611082.1594836656</v>
      </c>
      <c r="P81" s="280">
        <f t="shared" si="70"/>
        <v>6333026.7486862484</v>
      </c>
      <c r="Q81" s="280">
        <f t="shared" si="70"/>
        <v>7051361.614942817</v>
      </c>
      <c r="R81" s="280">
        <f t="shared" si="70"/>
        <v>7766104.8068681033</v>
      </c>
      <c r="S81" s="280">
        <f t="shared" si="70"/>
        <v>8477274.2828337625</v>
      </c>
      <c r="T81" s="280">
        <f t="shared" si="70"/>
        <v>9184887.9114195947</v>
      </c>
      <c r="U81" s="280">
        <f t="shared" si="70"/>
        <v>9888963.4718624949</v>
      </c>
      <c r="V81" s="280">
        <f t="shared" si="70"/>
        <v>10589518.654503183</v>
      </c>
      <c r="W81" s="280">
        <f t="shared" si="70"/>
        <v>11286571.061230667</v>
      </c>
      <c r="X81" s="280">
        <f t="shared" si="70"/>
        <v>11980138.205924515</v>
      </c>
      <c r="Y81" s="280">
        <f t="shared" si="70"/>
        <v>12670237.514894892</v>
      </c>
      <c r="Z81" s="280">
        <f t="shared" si="70"/>
        <v>13360636.327320417</v>
      </c>
    </row>
    <row r="82" spans="1:26" s="174" customFormat="1" x14ac:dyDescent="0.25">
      <c r="A82" s="279" t="s">
        <v>77</v>
      </c>
      <c r="C82" s="280">
        <f>SUMIFS(C2:C64,$A$2:$A$64,$A$82,$B$2:$B$64,"&gt;2024")</f>
        <v>0</v>
      </c>
      <c r="D82" s="280">
        <f t="shared" ref="D82:Z82" si="71">SUMIFS(D2:D64,$A$2:$A$64,$A$82,$B$2:$B$64,"&gt;2024")</f>
        <v>0</v>
      </c>
      <c r="E82" s="280">
        <f t="shared" si="71"/>
        <v>0</v>
      </c>
      <c r="F82" s="280">
        <f t="shared" si="71"/>
        <v>0</v>
      </c>
      <c r="G82" s="280">
        <f t="shared" si="71"/>
        <v>0</v>
      </c>
      <c r="H82" s="280">
        <f t="shared" si="71"/>
        <v>0</v>
      </c>
      <c r="I82" s="280">
        <f t="shared" si="71"/>
        <v>0</v>
      </c>
      <c r="J82" s="280">
        <f t="shared" si="71"/>
        <v>0</v>
      </c>
      <c r="K82" s="280">
        <f>SUMIFS(K2:K64,$A$2:$A$64,$A$82,$B$2:$B$64,"&gt;2024")</f>
        <v>85000</v>
      </c>
      <c r="L82" s="280">
        <f t="shared" si="71"/>
        <v>169575</v>
      </c>
      <c r="M82" s="280">
        <f t="shared" si="71"/>
        <v>253727.125</v>
      </c>
      <c r="N82" s="280">
        <f t="shared" si="71"/>
        <v>337458.489375</v>
      </c>
      <c r="O82" s="280">
        <f t="shared" si="71"/>
        <v>420771.19692812499</v>
      </c>
      <c r="P82" s="280">
        <f t="shared" si="71"/>
        <v>503667.34094348439</v>
      </c>
      <c r="Q82" s="280">
        <f t="shared" si="71"/>
        <v>586149.00423876697</v>
      </c>
      <c r="R82" s="280">
        <f t="shared" si="71"/>
        <v>668218.2592175731</v>
      </c>
      <c r="S82" s="280">
        <f t="shared" si="71"/>
        <v>749877.16792148526</v>
      </c>
      <c r="T82" s="280">
        <f t="shared" si="71"/>
        <v>831127.78208187781</v>
      </c>
      <c r="U82" s="280">
        <f t="shared" si="71"/>
        <v>911972.1431714684</v>
      </c>
      <c r="V82" s="280">
        <f t="shared" si="71"/>
        <v>992412.28245561104</v>
      </c>
      <c r="W82" s="280">
        <f t="shared" si="71"/>
        <v>1072450.2210433329</v>
      </c>
      <c r="X82" s="280">
        <f t="shared" si="71"/>
        <v>1152087.9699381161</v>
      </c>
      <c r="Y82" s="280">
        <f t="shared" si="71"/>
        <v>1231327.5300884256</v>
      </c>
      <c r="Z82" s="280">
        <f t="shared" si="71"/>
        <v>1310170.8924379835</v>
      </c>
    </row>
    <row r="83" spans="1:26" x14ac:dyDescent="0.25">
      <c r="A83" s="12" t="s">
        <v>84</v>
      </c>
      <c r="C83" s="163">
        <f>SUM(C80:C82)</f>
        <v>0</v>
      </c>
      <c r="D83" s="163">
        <f t="shared" ref="D83:Z83" si="72">SUM(D80:D82)</f>
        <v>0</v>
      </c>
      <c r="E83" s="163">
        <f t="shared" si="72"/>
        <v>0</v>
      </c>
      <c r="F83" s="163">
        <f t="shared" si="72"/>
        <v>0</v>
      </c>
      <c r="G83" s="163">
        <f t="shared" si="72"/>
        <v>0</v>
      </c>
      <c r="H83" s="163">
        <f t="shared" si="72"/>
        <v>0</v>
      </c>
      <c r="I83" s="163">
        <f t="shared" si="72"/>
        <v>0</v>
      </c>
      <c r="J83" s="163">
        <f t="shared" si="72"/>
        <v>0</v>
      </c>
      <c r="K83" s="163">
        <f t="shared" si="72"/>
        <v>3251666</v>
      </c>
      <c r="L83" s="163">
        <f t="shared" si="72"/>
        <v>7332907.6699999999</v>
      </c>
      <c r="M83" s="163">
        <f t="shared" si="72"/>
        <v>11406243.131650001</v>
      </c>
      <c r="N83" s="163">
        <f t="shared" si="72"/>
        <v>14971711.915991751</v>
      </c>
      <c r="O83" s="163">
        <f t="shared" si="72"/>
        <v>18531853.356411789</v>
      </c>
      <c r="P83" s="163">
        <f t="shared" si="72"/>
        <v>20336694.089629732</v>
      </c>
      <c r="Q83" s="163">
        <f t="shared" si="72"/>
        <v>22137510.619181585</v>
      </c>
      <c r="R83" s="163">
        <f t="shared" si="72"/>
        <v>23934323.066085674</v>
      </c>
      <c r="S83" s="163">
        <f t="shared" si="72"/>
        <v>25727151.450755246</v>
      </c>
      <c r="T83" s="163">
        <f t="shared" si="72"/>
        <v>27516015.693501472</v>
      </c>
      <c r="U83" s="163">
        <f t="shared" si="72"/>
        <v>29300935.615033962</v>
      </c>
      <c r="V83" s="163">
        <f t="shared" si="72"/>
        <v>31081930.936958794</v>
      </c>
      <c r="W83" s="163">
        <f t="shared" si="72"/>
        <v>32859021.282274</v>
      </c>
      <c r="X83" s="163">
        <f t="shared" si="72"/>
        <v>34632226.175862633</v>
      </c>
      <c r="Y83" s="163">
        <f t="shared" si="72"/>
        <v>36401565.044983312</v>
      </c>
      <c r="Z83" s="163">
        <f t="shared" si="72"/>
        <v>38170807.219758406</v>
      </c>
    </row>
    <row r="85" spans="1:26" x14ac:dyDescent="0.25">
      <c r="A85" s="340" t="s">
        <v>87</v>
      </c>
    </row>
    <row r="86" spans="1:26" x14ac:dyDescent="0.25">
      <c r="A86" s="340" t="s">
        <v>377</v>
      </c>
      <c r="P86" s="176"/>
      <c r="W86" s="88" t="e">
        <f>'Collections and ACP'!#REF!</f>
        <v>#REF!</v>
      </c>
    </row>
    <row r="87" spans="1:26" x14ac:dyDescent="0.25">
      <c r="P87" s="176"/>
      <c r="W87" s="88" t="e">
        <f>'Collections and ACP'!#REF!</f>
        <v>#REF!</v>
      </c>
    </row>
    <row r="88" spans="1:26" x14ac:dyDescent="0.25">
      <c r="P88" s="176"/>
      <c r="W88" s="88" t="str">
        <f>'Collections and ACP'!M27</f>
        <v>*lowered by estimated self-direct quantity</v>
      </c>
    </row>
    <row r="89" spans="1:26" ht="15.75" x14ac:dyDescent="0.25">
      <c r="B89" s="1"/>
      <c r="C89" s="1"/>
      <c r="D89" s="1"/>
      <c r="E89" s="168"/>
      <c r="F89" s="168"/>
      <c r="G89" s="168"/>
      <c r="H89" s="208">
        <f t="shared" ref="H89:Z89" si="73">H79</f>
        <v>2025</v>
      </c>
      <c r="I89" s="208">
        <f t="shared" si="73"/>
        <v>2026</v>
      </c>
      <c r="J89" s="208">
        <f t="shared" si="73"/>
        <v>2027</v>
      </c>
      <c r="K89" s="208">
        <f t="shared" si="73"/>
        <v>2028</v>
      </c>
      <c r="L89" s="208">
        <f t="shared" si="73"/>
        <v>2029</v>
      </c>
      <c r="M89" s="208">
        <f t="shared" si="73"/>
        <v>2030</v>
      </c>
      <c r="N89" s="208">
        <f t="shared" si="73"/>
        <v>2031</v>
      </c>
      <c r="O89" s="208">
        <f t="shared" si="73"/>
        <v>2032</v>
      </c>
      <c r="P89" s="208">
        <f t="shared" si="73"/>
        <v>2033</v>
      </c>
      <c r="Q89" s="208">
        <f t="shared" si="73"/>
        <v>2034</v>
      </c>
      <c r="R89" s="208">
        <f t="shared" si="73"/>
        <v>2035</v>
      </c>
      <c r="S89" s="208">
        <f t="shared" si="73"/>
        <v>2036</v>
      </c>
      <c r="T89" s="208">
        <f t="shared" si="73"/>
        <v>2037</v>
      </c>
      <c r="U89" s="208">
        <f t="shared" si="73"/>
        <v>2038</v>
      </c>
      <c r="V89" s="208">
        <f t="shared" si="73"/>
        <v>2039</v>
      </c>
      <c r="W89" s="208">
        <f t="shared" si="73"/>
        <v>2040</v>
      </c>
      <c r="X89" s="208">
        <f t="shared" si="73"/>
        <v>2041</v>
      </c>
      <c r="Y89" s="208">
        <f t="shared" si="73"/>
        <v>2042</v>
      </c>
      <c r="Z89" s="208">
        <f t="shared" si="73"/>
        <v>2043</v>
      </c>
    </row>
    <row r="90" spans="1:26" ht="15.75" x14ac:dyDescent="0.25">
      <c r="B90" s="1"/>
      <c r="C90" s="1"/>
      <c r="D90" s="1"/>
      <c r="E90" s="9">
        <v>2022</v>
      </c>
      <c r="F90" s="9">
        <v>2023</v>
      </c>
      <c r="G90" s="168" t="s">
        <v>367</v>
      </c>
      <c r="H90" s="26">
        <f t="shared" ref="H90:J91" si="74">SUMIF($B$2:$B$64,$E90,H$2:H$64)+SUMIF($B$2:$B$64,$F90,H$2:H$64)</f>
        <v>186137.94520547945</v>
      </c>
      <c r="I90" s="26">
        <f t="shared" si="74"/>
        <v>964103.76821917808</v>
      </c>
      <c r="J90" s="26">
        <f t="shared" si="74"/>
        <v>2368499.8016859591</v>
      </c>
      <c r="K90" s="26">
        <f t="shared" ref="K90:Z90" si="75">SUMIF($B$2:$B$64,$E90,K$2:K$64)+SUMIF($B$2:$B$64,$F90,K$2:K$64)</f>
        <v>4264217.2505007405</v>
      </c>
      <c r="L90" s="26">
        <f t="shared" si="75"/>
        <v>4552222.9516184423</v>
      </c>
      <c r="M90" s="26">
        <f t="shared" si="75"/>
        <v>4535133.9692973457</v>
      </c>
      <c r="N90" s="26">
        <f t="shared" si="75"/>
        <v>4516579.9028758593</v>
      </c>
      <c r="O90" s="26">
        <f t="shared" si="75"/>
        <v>4498118.6067864802</v>
      </c>
      <c r="P90" s="26">
        <f t="shared" si="75"/>
        <v>4479749.617177547</v>
      </c>
      <c r="Q90" s="26">
        <f t="shared" si="75"/>
        <v>4461472.4725166596</v>
      </c>
      <c r="R90" s="26">
        <f t="shared" si="75"/>
        <v>4443286.7135790763</v>
      </c>
      <c r="S90" s="26">
        <f t="shared" si="75"/>
        <v>4425191.8834361807</v>
      </c>
      <c r="T90" s="26">
        <f t="shared" si="75"/>
        <v>4407187.5274439994</v>
      </c>
      <c r="U90" s="26">
        <f t="shared" si="75"/>
        <v>4389273.1932317801</v>
      </c>
      <c r="V90" s="26">
        <f t="shared" si="75"/>
        <v>4371448.430690621</v>
      </c>
      <c r="W90" s="26">
        <f t="shared" si="75"/>
        <v>4353712.7919621672</v>
      </c>
      <c r="X90" s="26">
        <f t="shared" si="75"/>
        <v>4336065.8314273572</v>
      </c>
      <c r="Y90" s="26">
        <f t="shared" si="75"/>
        <v>4318507.1056952197</v>
      </c>
      <c r="Z90" s="26">
        <f t="shared" si="75"/>
        <v>4301036.1735917442</v>
      </c>
    </row>
    <row r="91" spans="1:26" ht="15.75" x14ac:dyDescent="0.25">
      <c r="B91" s="163"/>
      <c r="C91" s="163"/>
      <c r="D91" s="163"/>
      <c r="E91" s="9">
        <v>2024</v>
      </c>
      <c r="F91" s="9">
        <v>2025</v>
      </c>
      <c r="G91" s="168" t="s">
        <v>88</v>
      </c>
      <c r="H91" s="26">
        <f t="shared" si="74"/>
        <v>0</v>
      </c>
      <c r="I91" s="26">
        <f t="shared" si="74"/>
        <v>77328.986301369849</v>
      </c>
      <c r="J91" s="26">
        <f t="shared" si="74"/>
        <v>1487072.7118493149</v>
      </c>
      <c r="K91" s="26">
        <f t="shared" ref="I91:Z99" si="76">SUMIF($B$2:$B$64,$E91,K$2:K$64)+SUMIF($B$2:$B$64,$F91,K$2:K$64)</f>
        <v>6963011.5042965747</v>
      </c>
      <c r="L91" s="26">
        <f t="shared" si="76"/>
        <v>7903342.3625997491</v>
      </c>
      <c r="M91" s="26">
        <f t="shared" si="76"/>
        <v>7890559.9491867507</v>
      </c>
      <c r="N91" s="26">
        <f t="shared" si="76"/>
        <v>7877841.4478408163</v>
      </c>
      <c r="O91" s="26">
        <f t="shared" si="76"/>
        <v>7865186.539001612</v>
      </c>
      <c r="P91" s="26">
        <f t="shared" si="76"/>
        <v>7852594.9047066048</v>
      </c>
      <c r="Q91" s="26">
        <f t="shared" si="76"/>
        <v>7840066.2285830714</v>
      </c>
      <c r="R91" s="26">
        <f t="shared" si="76"/>
        <v>7827600.1958401557</v>
      </c>
      <c r="S91" s="26">
        <f t="shared" si="76"/>
        <v>7815196.4932609554</v>
      </c>
      <c r="T91" s="26">
        <f t="shared" si="76"/>
        <v>7802854.8091946514</v>
      </c>
      <c r="U91" s="26">
        <f t="shared" si="76"/>
        <v>7790574.8335486781</v>
      </c>
      <c r="V91" s="26">
        <f t="shared" si="76"/>
        <v>7778356.2577809356</v>
      </c>
      <c r="W91" s="26">
        <f t="shared" si="76"/>
        <v>7766198.7748920303</v>
      </c>
      <c r="X91" s="26">
        <f t="shared" si="76"/>
        <v>7754102.0794175696</v>
      </c>
      <c r="Y91" s="26">
        <f t="shared" si="76"/>
        <v>7742065.8674204815</v>
      </c>
      <c r="Z91" s="26">
        <f t="shared" si="76"/>
        <v>7730089.8364833789</v>
      </c>
    </row>
    <row r="92" spans="1:26" ht="15.75" x14ac:dyDescent="0.25">
      <c r="B92" s="189"/>
      <c r="C92" s="189"/>
      <c r="D92" s="189"/>
      <c r="E92" s="9">
        <v>2026</v>
      </c>
      <c r="F92" s="9">
        <v>2027</v>
      </c>
      <c r="G92" s="168" t="s">
        <v>89</v>
      </c>
      <c r="H92" s="26">
        <f t="shared" ref="H92:W99" si="77">SUMIF($B$2:$B$64,$E92,H$2:H$64)+SUMIF($B$2:$B$64,$F92,H$2:H$64)</f>
        <v>0</v>
      </c>
      <c r="I92" s="26">
        <f t="shared" si="77"/>
        <v>0</v>
      </c>
      <c r="J92" s="26">
        <f t="shared" si="77"/>
        <v>0</v>
      </c>
      <c r="K92" s="26">
        <f t="shared" si="77"/>
        <v>0</v>
      </c>
      <c r="L92" s="26">
        <f t="shared" si="77"/>
        <v>4085000</v>
      </c>
      <c r="M92" s="26">
        <f t="shared" si="77"/>
        <v>8162075</v>
      </c>
      <c r="N92" s="26">
        <f t="shared" si="77"/>
        <v>8146264.625</v>
      </c>
      <c r="O92" s="26">
        <f t="shared" si="77"/>
        <v>8130533.3018749999</v>
      </c>
      <c r="P92" s="26">
        <f t="shared" si="77"/>
        <v>8114880.6353656249</v>
      </c>
      <c r="Q92" s="26">
        <f t="shared" si="77"/>
        <v>8099306.2321887966</v>
      </c>
      <c r="R92" s="26">
        <f t="shared" si="77"/>
        <v>8083809.7010278534</v>
      </c>
      <c r="S92" s="26">
        <f t="shared" si="77"/>
        <v>8068390.6525227139</v>
      </c>
      <c r="T92" s="26">
        <f t="shared" si="77"/>
        <v>8053048.6992601007</v>
      </c>
      <c r="U92" s="26">
        <f t="shared" si="77"/>
        <v>8037783.4557638001</v>
      </c>
      <c r="V92" s="26">
        <f t="shared" si="77"/>
        <v>8022594.5384849813</v>
      </c>
      <c r="W92" s="26">
        <f t="shared" si="77"/>
        <v>8007481.5657925559</v>
      </c>
      <c r="X92" s="26">
        <f t="shared" si="76"/>
        <v>7992444.1579635935</v>
      </c>
      <c r="Y92" s="26">
        <f t="shared" si="76"/>
        <v>7977481.9371737754</v>
      </c>
      <c r="Z92" s="26">
        <f t="shared" si="76"/>
        <v>7962594.5274879057</v>
      </c>
    </row>
    <row r="93" spans="1:26" ht="15.75" x14ac:dyDescent="0.25">
      <c r="B93" s="189"/>
      <c r="C93" s="189"/>
      <c r="D93" s="189"/>
      <c r="E93" s="9">
        <v>2028</v>
      </c>
      <c r="F93" s="9">
        <v>2029</v>
      </c>
      <c r="G93" s="168" t="s">
        <v>90</v>
      </c>
      <c r="H93" s="26">
        <f t="shared" si="77"/>
        <v>0</v>
      </c>
      <c r="I93" s="26">
        <f t="shared" si="76"/>
        <v>0</v>
      </c>
      <c r="J93" s="26">
        <f t="shared" si="76"/>
        <v>0</v>
      </c>
      <c r="K93" s="26">
        <f t="shared" si="76"/>
        <v>0</v>
      </c>
      <c r="L93" s="26">
        <f t="shared" si="76"/>
        <v>0</v>
      </c>
      <c r="M93" s="26">
        <f t="shared" si="76"/>
        <v>0</v>
      </c>
      <c r="N93" s="26">
        <f t="shared" si="76"/>
        <v>3585000</v>
      </c>
      <c r="O93" s="26">
        <f t="shared" si="76"/>
        <v>7164575</v>
      </c>
      <c r="P93" s="26">
        <f t="shared" si="76"/>
        <v>7153752.125</v>
      </c>
      <c r="Q93" s="26">
        <f t="shared" si="76"/>
        <v>7142983.3643749999</v>
      </c>
      <c r="R93" s="26">
        <f t="shared" si="76"/>
        <v>7132268.4475531243</v>
      </c>
      <c r="S93" s="26">
        <f t="shared" si="76"/>
        <v>7121607.1053153593</v>
      </c>
      <c r="T93" s="26">
        <f t="shared" si="76"/>
        <v>7110999.0697887829</v>
      </c>
      <c r="U93" s="26">
        <f t="shared" si="76"/>
        <v>7100444.0744398385</v>
      </c>
      <c r="V93" s="26">
        <f t="shared" si="76"/>
        <v>7089941.8540676394</v>
      </c>
      <c r="W93" s="26">
        <f t="shared" si="76"/>
        <v>7079492.1447973009</v>
      </c>
      <c r="X93" s="26">
        <f t="shared" si="76"/>
        <v>7069094.6840733141</v>
      </c>
      <c r="Y93" s="26">
        <f t="shared" si="76"/>
        <v>7058749.2106529484</v>
      </c>
      <c r="Z93" s="26">
        <f t="shared" si="76"/>
        <v>7048455.4645996839</v>
      </c>
    </row>
    <row r="94" spans="1:26" ht="15.75" x14ac:dyDescent="0.25">
      <c r="B94" s="189"/>
      <c r="C94" s="189"/>
      <c r="D94" s="189"/>
      <c r="E94" s="9">
        <v>2030</v>
      </c>
      <c r="F94" s="9">
        <v>2031</v>
      </c>
      <c r="G94" s="168" t="s">
        <v>91</v>
      </c>
      <c r="H94" s="26">
        <f t="shared" si="77"/>
        <v>0</v>
      </c>
      <c r="I94" s="26">
        <f t="shared" si="76"/>
        <v>0</v>
      </c>
      <c r="J94" s="26">
        <f t="shared" si="76"/>
        <v>0</v>
      </c>
      <c r="K94" s="26">
        <f t="shared" si="76"/>
        <v>0</v>
      </c>
      <c r="L94" s="26">
        <f t="shared" si="76"/>
        <v>0</v>
      </c>
      <c r="M94" s="26">
        <f t="shared" si="76"/>
        <v>0</v>
      </c>
      <c r="N94" s="26">
        <f t="shared" si="76"/>
        <v>0</v>
      </c>
      <c r="O94" s="26">
        <f t="shared" si="76"/>
        <v>0</v>
      </c>
      <c r="P94" s="26">
        <f t="shared" si="76"/>
        <v>1835000</v>
      </c>
      <c r="Q94" s="26">
        <f t="shared" si="76"/>
        <v>3665825</v>
      </c>
      <c r="R94" s="26">
        <f t="shared" si="76"/>
        <v>3657495.875</v>
      </c>
      <c r="S94" s="26">
        <f t="shared" si="76"/>
        <v>3649208.3956249999</v>
      </c>
      <c r="T94" s="26">
        <f t="shared" si="76"/>
        <v>3640962.3536468749</v>
      </c>
      <c r="U94" s="26">
        <f t="shared" si="76"/>
        <v>3632757.5418786407</v>
      </c>
      <c r="V94" s="26">
        <f t="shared" si="76"/>
        <v>3624593.754169248</v>
      </c>
      <c r="W94" s="26">
        <f t="shared" si="76"/>
        <v>3616470.7853984013</v>
      </c>
      <c r="X94" s="26">
        <f t="shared" si="76"/>
        <v>3608388.4314714093</v>
      </c>
      <c r="Y94" s="26">
        <f t="shared" si="76"/>
        <v>3600346.4893140523</v>
      </c>
      <c r="Z94" s="26">
        <f t="shared" si="76"/>
        <v>3592344.7568674823</v>
      </c>
    </row>
    <row r="95" spans="1:26" ht="15.75" x14ac:dyDescent="0.25">
      <c r="B95" s="189"/>
      <c r="C95" s="189"/>
      <c r="D95" s="189"/>
      <c r="E95" s="9">
        <v>2032</v>
      </c>
      <c r="F95" s="9">
        <v>2033</v>
      </c>
      <c r="G95" s="168" t="s">
        <v>92</v>
      </c>
      <c r="H95" s="26">
        <f t="shared" si="77"/>
        <v>0</v>
      </c>
      <c r="I95" s="26">
        <f t="shared" si="76"/>
        <v>0</v>
      </c>
      <c r="J95" s="26">
        <f t="shared" si="76"/>
        <v>0</v>
      </c>
      <c r="K95" s="26">
        <f t="shared" si="76"/>
        <v>0</v>
      </c>
      <c r="L95" s="26">
        <f t="shared" si="76"/>
        <v>0</v>
      </c>
      <c r="M95" s="26">
        <f t="shared" si="76"/>
        <v>0</v>
      </c>
      <c r="N95" s="26">
        <f t="shared" si="76"/>
        <v>0</v>
      </c>
      <c r="O95" s="26">
        <f t="shared" si="76"/>
        <v>0</v>
      </c>
      <c r="P95" s="26">
        <f t="shared" si="76"/>
        <v>0</v>
      </c>
      <c r="Q95" s="26">
        <f t="shared" si="76"/>
        <v>0</v>
      </c>
      <c r="R95" s="26">
        <f t="shared" si="76"/>
        <v>1835000</v>
      </c>
      <c r="S95" s="26">
        <f t="shared" si="76"/>
        <v>3665825</v>
      </c>
      <c r="T95" s="26">
        <f t="shared" si="76"/>
        <v>3657495.875</v>
      </c>
      <c r="U95" s="26">
        <f t="shared" si="76"/>
        <v>3649208.3956249999</v>
      </c>
      <c r="V95" s="26">
        <f t="shared" si="76"/>
        <v>3640962.3536468749</v>
      </c>
      <c r="W95" s="26">
        <f t="shared" si="76"/>
        <v>3632757.5418786407</v>
      </c>
      <c r="X95" s="26">
        <f t="shared" si="76"/>
        <v>3624593.754169248</v>
      </c>
      <c r="Y95" s="26">
        <f t="shared" si="76"/>
        <v>3616470.7853984013</v>
      </c>
      <c r="Z95" s="26">
        <f t="shared" si="76"/>
        <v>3608388.4314714093</v>
      </c>
    </row>
    <row r="96" spans="1:26" ht="15.75" x14ac:dyDescent="0.25">
      <c r="B96" s="189"/>
      <c r="C96" s="189"/>
      <c r="D96" s="189"/>
      <c r="E96" s="9">
        <v>2034</v>
      </c>
      <c r="F96" s="9">
        <v>2035</v>
      </c>
      <c r="G96" s="168" t="s">
        <v>93</v>
      </c>
      <c r="H96" s="26">
        <f t="shared" si="77"/>
        <v>0</v>
      </c>
      <c r="I96" s="26">
        <f t="shared" si="76"/>
        <v>0</v>
      </c>
      <c r="J96" s="26">
        <f t="shared" si="76"/>
        <v>0</v>
      </c>
      <c r="K96" s="26">
        <f t="shared" si="76"/>
        <v>0</v>
      </c>
      <c r="L96" s="26">
        <f t="shared" si="76"/>
        <v>0</v>
      </c>
      <c r="M96" s="26">
        <f t="shared" si="76"/>
        <v>0</v>
      </c>
      <c r="N96" s="26">
        <f t="shared" si="76"/>
        <v>0</v>
      </c>
      <c r="O96" s="26">
        <f t="shared" si="76"/>
        <v>0</v>
      </c>
      <c r="P96" s="26">
        <f t="shared" si="76"/>
        <v>0</v>
      </c>
      <c r="Q96" s="26">
        <f t="shared" si="76"/>
        <v>0</v>
      </c>
      <c r="R96" s="26">
        <f t="shared" si="76"/>
        <v>0</v>
      </c>
      <c r="S96" s="26">
        <f t="shared" si="76"/>
        <v>0</v>
      </c>
      <c r="T96" s="26">
        <f t="shared" si="76"/>
        <v>1835000</v>
      </c>
      <c r="U96" s="26">
        <f t="shared" si="76"/>
        <v>3665825</v>
      </c>
      <c r="V96" s="26">
        <f t="shared" si="76"/>
        <v>3657495.875</v>
      </c>
      <c r="W96" s="26">
        <f t="shared" si="76"/>
        <v>3649208.3956249999</v>
      </c>
      <c r="X96" s="26">
        <f t="shared" si="76"/>
        <v>3640962.3536468749</v>
      </c>
      <c r="Y96" s="26">
        <f t="shared" si="76"/>
        <v>3632757.5418786407</v>
      </c>
      <c r="Z96" s="26">
        <f t="shared" si="76"/>
        <v>3624593.754169248</v>
      </c>
    </row>
    <row r="97" spans="2:26" ht="15.75" x14ac:dyDescent="0.25">
      <c r="B97" s="189"/>
      <c r="C97" s="189"/>
      <c r="D97" s="189"/>
      <c r="E97" s="9">
        <v>2036</v>
      </c>
      <c r="F97" s="9">
        <v>2037</v>
      </c>
      <c r="G97" s="168" t="s">
        <v>94</v>
      </c>
      <c r="H97" s="26">
        <f t="shared" si="77"/>
        <v>0</v>
      </c>
      <c r="I97" s="26">
        <f t="shared" si="76"/>
        <v>0</v>
      </c>
      <c r="J97" s="26">
        <f t="shared" si="76"/>
        <v>0</v>
      </c>
      <c r="K97" s="26">
        <f t="shared" si="76"/>
        <v>0</v>
      </c>
      <c r="L97" s="26">
        <f t="shared" si="76"/>
        <v>0</v>
      </c>
      <c r="M97" s="26">
        <f t="shared" si="76"/>
        <v>0</v>
      </c>
      <c r="N97" s="26">
        <f t="shared" si="76"/>
        <v>0</v>
      </c>
      <c r="O97" s="26">
        <f t="shared" si="76"/>
        <v>0</v>
      </c>
      <c r="P97" s="26">
        <f t="shared" si="76"/>
        <v>0</v>
      </c>
      <c r="Q97" s="26">
        <f t="shared" si="76"/>
        <v>0</v>
      </c>
      <c r="R97" s="26">
        <f t="shared" si="76"/>
        <v>0</v>
      </c>
      <c r="S97" s="26">
        <f t="shared" si="76"/>
        <v>0</v>
      </c>
      <c r="T97" s="26">
        <f t="shared" si="76"/>
        <v>0</v>
      </c>
      <c r="U97" s="26">
        <f t="shared" si="76"/>
        <v>0</v>
      </c>
      <c r="V97" s="26">
        <f t="shared" si="76"/>
        <v>1835000</v>
      </c>
      <c r="W97" s="26">
        <f t="shared" si="76"/>
        <v>3665825</v>
      </c>
      <c r="X97" s="26">
        <f t="shared" si="76"/>
        <v>3657495.875</v>
      </c>
      <c r="Y97" s="26">
        <f t="shared" si="76"/>
        <v>3649208.3956249999</v>
      </c>
      <c r="Z97" s="26">
        <f t="shared" si="76"/>
        <v>3640962.3536468749</v>
      </c>
    </row>
    <row r="98" spans="2:26" ht="15.75" x14ac:dyDescent="0.25">
      <c r="B98" s="189"/>
      <c r="C98" s="189"/>
      <c r="D98" s="189"/>
      <c r="E98" s="9">
        <v>2038</v>
      </c>
      <c r="F98" s="9">
        <v>2039</v>
      </c>
      <c r="G98" s="168" t="s">
        <v>95</v>
      </c>
      <c r="H98" s="26">
        <f t="shared" si="77"/>
        <v>0</v>
      </c>
      <c r="I98" s="26">
        <f t="shared" si="76"/>
        <v>0</v>
      </c>
      <c r="J98" s="26">
        <f t="shared" si="76"/>
        <v>0</v>
      </c>
      <c r="K98" s="26">
        <f t="shared" si="76"/>
        <v>0</v>
      </c>
      <c r="L98" s="26">
        <f t="shared" si="76"/>
        <v>0</v>
      </c>
      <c r="M98" s="26">
        <f t="shared" si="76"/>
        <v>0</v>
      </c>
      <c r="N98" s="26">
        <f t="shared" si="76"/>
        <v>0</v>
      </c>
      <c r="O98" s="26">
        <f t="shared" si="76"/>
        <v>0</v>
      </c>
      <c r="P98" s="26">
        <f t="shared" si="76"/>
        <v>0</v>
      </c>
      <c r="Q98" s="26">
        <f t="shared" si="76"/>
        <v>0</v>
      </c>
      <c r="R98" s="26">
        <f t="shared" si="76"/>
        <v>0</v>
      </c>
      <c r="S98" s="26">
        <f t="shared" si="76"/>
        <v>0</v>
      </c>
      <c r="T98" s="26">
        <f t="shared" si="76"/>
        <v>0</v>
      </c>
      <c r="U98" s="26">
        <f t="shared" si="76"/>
        <v>0</v>
      </c>
      <c r="V98" s="26">
        <f t="shared" si="76"/>
        <v>0</v>
      </c>
      <c r="W98" s="26">
        <f t="shared" si="76"/>
        <v>0</v>
      </c>
      <c r="X98" s="26">
        <f t="shared" si="76"/>
        <v>1835000</v>
      </c>
      <c r="Y98" s="26">
        <f t="shared" si="76"/>
        <v>3665825</v>
      </c>
      <c r="Z98" s="26">
        <f t="shared" si="76"/>
        <v>3661245.875</v>
      </c>
    </row>
    <row r="99" spans="2:26" ht="15.75" x14ac:dyDescent="0.25">
      <c r="B99" s="189"/>
      <c r="C99" s="189"/>
      <c r="D99" s="189"/>
      <c r="E99" s="9">
        <v>2040</v>
      </c>
      <c r="F99" s="9">
        <v>2041</v>
      </c>
      <c r="G99" s="168" t="s">
        <v>96</v>
      </c>
      <c r="H99" s="26">
        <f t="shared" si="77"/>
        <v>0</v>
      </c>
      <c r="I99" s="26">
        <f t="shared" si="76"/>
        <v>0</v>
      </c>
      <c r="J99" s="26">
        <f t="shared" si="76"/>
        <v>0</v>
      </c>
      <c r="K99" s="26">
        <f t="shared" si="76"/>
        <v>0</v>
      </c>
      <c r="L99" s="26">
        <f t="shared" si="76"/>
        <v>0</v>
      </c>
      <c r="M99" s="26">
        <f t="shared" si="76"/>
        <v>0</v>
      </c>
      <c r="N99" s="26">
        <f t="shared" si="76"/>
        <v>0</v>
      </c>
      <c r="O99" s="26">
        <f t="shared" si="76"/>
        <v>0</v>
      </c>
      <c r="P99" s="26">
        <f t="shared" si="76"/>
        <v>0</v>
      </c>
      <c r="Q99" s="26">
        <f t="shared" si="76"/>
        <v>0</v>
      </c>
      <c r="R99" s="26">
        <f t="shared" si="76"/>
        <v>0</v>
      </c>
      <c r="S99" s="26">
        <f t="shared" si="76"/>
        <v>0</v>
      </c>
      <c r="T99" s="26">
        <f t="shared" si="76"/>
        <v>0</v>
      </c>
      <c r="U99" s="26">
        <f t="shared" si="76"/>
        <v>0</v>
      </c>
      <c r="V99" s="26">
        <f t="shared" si="76"/>
        <v>0</v>
      </c>
      <c r="W99" s="26">
        <f t="shared" si="76"/>
        <v>0</v>
      </c>
      <c r="X99" s="26">
        <f t="shared" si="76"/>
        <v>0</v>
      </c>
      <c r="Y99" s="26">
        <f t="shared" si="76"/>
        <v>0</v>
      </c>
      <c r="Z99" s="26">
        <f t="shared" si="76"/>
        <v>1835000</v>
      </c>
    </row>
  </sheetData>
  <dataConsolidate/>
  <dataValidations count="1">
    <dataValidation type="list" allowBlank="1" showInputMessage="1" showErrorMessage="1" sqref="A86" xr:uid="{737C3D83-33B6-437A-8262-F3C205D96D2F}">
      <formula1>"Yes, No"</formula1>
    </dataValidation>
  </dataValidations>
  <pageMargins left="0.7" right="0.7" top="0.75" bottom="0.75" header="0.3" footer="0.3"/>
  <pageSetup scale="27" fitToHeight="3" orientation="portrait" r:id="rId1"/>
  <customProperties>
    <customPr name="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9C4E6-F6F4-4A6B-81EC-323BF3DB61BD}">
  <sheetPr>
    <tabColor theme="5" tint="0.59999389629810485"/>
    <pageSetUpPr fitToPage="1"/>
  </sheetPr>
  <dimension ref="A1:AH156"/>
  <sheetViews>
    <sheetView zoomScaleNormal="100" workbookViewId="0">
      <selection activeCell="K124" sqref="K124"/>
    </sheetView>
  </sheetViews>
  <sheetFormatPr defaultRowHeight="15" x14ac:dyDescent="0.25"/>
  <cols>
    <col min="1" max="1" width="25.5703125" style="1" bestFit="1" customWidth="1"/>
    <col min="2" max="2" width="7.5703125" bestFit="1" customWidth="1"/>
    <col min="3" max="3" width="5.42578125" bestFit="1" customWidth="1"/>
    <col min="4" max="4" width="13.42578125" bestFit="1" customWidth="1"/>
    <col min="5" max="5" width="12.42578125" bestFit="1" customWidth="1"/>
    <col min="6" max="6" width="14.42578125" bestFit="1" customWidth="1"/>
    <col min="7" max="7" width="12.42578125" bestFit="1" customWidth="1"/>
    <col min="8" max="9" width="16" bestFit="1" customWidth="1"/>
    <col min="10" max="22" width="15.42578125" bestFit="1" customWidth="1"/>
    <col min="23" max="23" width="14.42578125" bestFit="1" customWidth="1"/>
    <col min="24" max="24" width="12.140625" bestFit="1" customWidth="1"/>
  </cols>
  <sheetData>
    <row r="1" spans="1:24" ht="15.75" x14ac:dyDescent="0.25">
      <c r="A1" s="168" t="s">
        <v>79</v>
      </c>
      <c r="B1" s="168" t="s">
        <v>80</v>
      </c>
      <c r="C1" s="208">
        <v>2022</v>
      </c>
      <c r="D1" s="208">
        <f t="shared" ref="D1:W1" si="0">C1+1</f>
        <v>2023</v>
      </c>
      <c r="E1" s="208">
        <f t="shared" si="0"/>
        <v>2024</v>
      </c>
      <c r="F1" s="208">
        <f t="shared" si="0"/>
        <v>2025</v>
      </c>
      <c r="G1" s="208">
        <f t="shared" si="0"/>
        <v>2026</v>
      </c>
      <c r="H1" s="208">
        <f t="shared" si="0"/>
        <v>2027</v>
      </c>
      <c r="I1" s="208">
        <f t="shared" si="0"/>
        <v>2028</v>
      </c>
      <c r="J1" s="208">
        <f t="shared" si="0"/>
        <v>2029</v>
      </c>
      <c r="K1" s="208">
        <f t="shared" si="0"/>
        <v>2030</v>
      </c>
      <c r="L1" s="208">
        <f t="shared" si="0"/>
        <v>2031</v>
      </c>
      <c r="M1" s="208">
        <f t="shared" si="0"/>
        <v>2032</v>
      </c>
      <c r="N1" s="208">
        <f t="shared" si="0"/>
        <v>2033</v>
      </c>
      <c r="O1" s="208">
        <f t="shared" si="0"/>
        <v>2034</v>
      </c>
      <c r="P1" s="208">
        <f t="shared" si="0"/>
        <v>2035</v>
      </c>
      <c r="Q1" s="208">
        <f t="shared" si="0"/>
        <v>2036</v>
      </c>
      <c r="R1" s="208">
        <f t="shared" si="0"/>
        <v>2037</v>
      </c>
      <c r="S1" s="208">
        <f t="shared" si="0"/>
        <v>2038</v>
      </c>
      <c r="T1" s="208">
        <f t="shared" si="0"/>
        <v>2039</v>
      </c>
      <c r="U1" s="208">
        <f t="shared" si="0"/>
        <v>2040</v>
      </c>
      <c r="V1" s="208">
        <f t="shared" si="0"/>
        <v>2041</v>
      </c>
      <c r="W1" s="208">
        <f t="shared" si="0"/>
        <v>2042</v>
      </c>
      <c r="X1" s="208">
        <v>2043</v>
      </c>
    </row>
    <row r="2" spans="1:24" ht="15.75" x14ac:dyDescent="0.25">
      <c r="A2" s="168" t="s">
        <v>81</v>
      </c>
      <c r="B2" s="9">
        <v>2022</v>
      </c>
      <c r="C2" s="209"/>
      <c r="D2" s="209"/>
      <c r="E2" s="209"/>
      <c r="F2" s="66">
        <f>'Indexed REC Activities'!H2*'Indexed REC Calculator'!F9</f>
        <v>0</v>
      </c>
      <c r="G2" s="172">
        <f>'Indexed REC Activities'!I2*'Indexed REC Calculator'!G9</f>
        <v>0</v>
      </c>
      <c r="H2" s="172">
        <f>'Indexed REC Activities'!J2*'Indexed REC Calculator'!H9</f>
        <v>0</v>
      </c>
      <c r="I2" s="172">
        <f>'Indexed REC Activities'!K2*'Indexed REC Calculator'!I9</f>
        <v>0</v>
      </c>
      <c r="J2" s="172">
        <f>'Indexed REC Activities'!L2*'Indexed REC Calculator'!J9</f>
        <v>0</v>
      </c>
      <c r="K2" s="172">
        <f>'Indexed REC Activities'!M2*'Indexed REC Calculator'!K9</f>
        <v>0</v>
      </c>
      <c r="L2" s="172">
        <f>'Indexed REC Activities'!N2*'Indexed REC Calculator'!L9</f>
        <v>0</v>
      </c>
      <c r="M2" s="172">
        <f>'Indexed REC Activities'!O2*'Indexed REC Calculator'!M9</f>
        <v>0</v>
      </c>
      <c r="N2" s="172">
        <f>'Indexed REC Activities'!P2*'Indexed REC Calculator'!N9</f>
        <v>0</v>
      </c>
      <c r="O2" s="172">
        <f>'Indexed REC Activities'!Q2*'Indexed REC Calculator'!O9</f>
        <v>0</v>
      </c>
      <c r="P2" s="172">
        <f>'Indexed REC Activities'!R2*'Indexed REC Calculator'!P9</f>
        <v>0</v>
      </c>
      <c r="Q2" s="172">
        <f>'Indexed REC Activities'!S2*'Indexed REC Calculator'!Q9</f>
        <v>0</v>
      </c>
      <c r="R2" s="172">
        <f>'Indexed REC Activities'!T2*'Indexed REC Calculator'!R9</f>
        <v>0</v>
      </c>
      <c r="S2" s="172">
        <f>'Indexed REC Activities'!U2*'Indexed REC Calculator'!S9</f>
        <v>0</v>
      </c>
      <c r="T2" s="172">
        <f>'Indexed REC Activities'!V2*'Indexed REC Calculator'!T9</f>
        <v>0</v>
      </c>
      <c r="U2" s="172">
        <f>'Indexed REC Activities'!W2*'Indexed REC Calculator'!U9</f>
        <v>0</v>
      </c>
      <c r="V2" s="172">
        <f>'Indexed REC Activities'!X2*'Indexed REC Calculator'!V9</f>
        <v>0</v>
      </c>
      <c r="W2" s="172">
        <f>'Indexed REC Activities'!Y2*'Indexed REC Calculator'!W9</f>
        <v>0</v>
      </c>
      <c r="X2" s="172">
        <f>'Indexed REC Activities'!Z2*'Indexed REC Calculator'!X9</f>
        <v>0</v>
      </c>
    </row>
    <row r="3" spans="1:24" ht="15.75" x14ac:dyDescent="0.25">
      <c r="A3" s="168" t="s">
        <v>81</v>
      </c>
      <c r="B3" s="9">
        <f>B2+1</f>
        <v>2023</v>
      </c>
      <c r="C3" s="172">
        <f>'Indexed REC Activities'!E3*'Indexed REC Calculator'!C10</f>
        <v>0</v>
      </c>
      <c r="D3" s="172">
        <f>'Indexed REC Activities'!F3*'Indexed REC Calculator'!D10</f>
        <v>0</v>
      </c>
      <c r="E3" s="172">
        <f>'Indexed REC Activities'!G3*'Indexed REC Calculator'!E10</f>
        <v>0</v>
      </c>
      <c r="F3" s="172">
        <f>'Indexed REC Activities'!H3*'Indexed REC Calculator'!F10</f>
        <v>0</v>
      </c>
      <c r="G3" s="172">
        <f>'Indexed REC Activities'!I3*'Indexed REC Calculator'!G10</f>
        <v>14799545.82001145</v>
      </c>
      <c r="H3" s="172">
        <f>'Indexed REC Activities'!J3*'Indexed REC Calculator'!H10</f>
        <v>20751488.177555948</v>
      </c>
      <c r="I3" s="172">
        <f>'Indexed REC Activities'!K3*'Indexed REC Calculator'!I10</f>
        <v>19158594.764992893</v>
      </c>
      <c r="J3" s="172">
        <f>'Indexed REC Activities'!L3*'Indexed REC Calculator'!J10</f>
        <v>18969115.496426936</v>
      </c>
      <c r="K3" s="172">
        <f>'Indexed REC Activities'!M3*'Indexed REC Calculator'!K10</f>
        <v>19574435.110550933</v>
      </c>
      <c r="L3" s="172">
        <f>'Indexed REC Activities'!N3*'Indexed REC Calculator'!L10</f>
        <v>19630338.445894785</v>
      </c>
      <c r="M3" s="172">
        <f>'Indexed REC Activities'!O3*'Indexed REC Calculator'!M10</f>
        <v>20329113.782123759</v>
      </c>
      <c r="N3" s="172">
        <f>'Indexed REC Activities'!P3*'Indexed REC Calculator'!N10</f>
        <v>20428825.509427384</v>
      </c>
      <c r="O3" s="172">
        <f>'Indexed REC Activities'!Q3*'Indexed REC Calculator'!O10</f>
        <v>19159984.988370389</v>
      </c>
      <c r="P3" s="172">
        <f>'Indexed REC Activities'!R3*'Indexed REC Calculator'!P10</f>
        <v>17904367.944968607</v>
      </c>
      <c r="Q3" s="172">
        <f>'Indexed REC Activities'!S3*'Indexed REC Calculator'!Q10</f>
        <v>20369749.193669047</v>
      </c>
      <c r="R3" s="172">
        <f>'Indexed REC Activities'!T3*'Indexed REC Calculator'!R10</f>
        <v>21465858.548966415</v>
      </c>
      <c r="S3" s="172">
        <f>'Indexed REC Activities'!U3*'Indexed REC Calculator'!S10</f>
        <v>21767831.422124248</v>
      </c>
      <c r="T3" s="172">
        <f>'Indexed REC Activities'!V3*'Indexed REC Calculator'!T10</f>
        <v>22569851.288592555</v>
      </c>
      <c r="U3" s="172">
        <f>'Indexed REC Activities'!W3*'Indexed REC Calculator'!U10</f>
        <v>23305671.988939084</v>
      </c>
      <c r="V3" s="172">
        <f>'Indexed REC Activities'!X3*'Indexed REC Calculator'!V10</f>
        <v>23592066.182484571</v>
      </c>
      <c r="W3" s="172">
        <f>'Indexed REC Activities'!Y3*'Indexed REC Calculator'!W10</f>
        <v>24056057.323610861</v>
      </c>
      <c r="X3" s="172">
        <f>'Indexed REC Activities'!Z3*'Indexed REC Calculator'!X10</f>
        <v>24682459.266365122</v>
      </c>
    </row>
    <row r="4" spans="1:24" ht="15.75" x14ac:dyDescent="0.25">
      <c r="A4" s="168" t="s">
        <v>81</v>
      </c>
      <c r="B4" s="9">
        <f t="shared" ref="B4:B22" si="1">B3+1</f>
        <v>2024</v>
      </c>
      <c r="C4" s="172">
        <f>'Indexed REC Activities'!E4*'Indexed REC Calculator'!C11</f>
        <v>0</v>
      </c>
      <c r="D4" s="172">
        <f>'Indexed REC Activities'!F4*'Indexed REC Calculator'!D11</f>
        <v>0</v>
      </c>
      <c r="E4" s="172">
        <f>'Indexed REC Activities'!G4*'Indexed REC Calculator'!E11</f>
        <v>0</v>
      </c>
      <c r="F4" s="172">
        <f>'Indexed REC Activities'!H4*'Indexed REC Calculator'!F11</f>
        <v>0</v>
      </c>
      <c r="G4" s="172">
        <f>'Indexed REC Activities'!I4*'Indexed REC Calculator'!G11</f>
        <v>2049588.2505560985</v>
      </c>
      <c r="H4" s="172">
        <f>'Indexed REC Activities'!J4*'Indexed REC Calculator'!H11</f>
        <v>31141734.625752941</v>
      </c>
      <c r="I4" s="172">
        <f>'Indexed REC Activities'!K4*'Indexed REC Calculator'!I11</f>
        <v>67591287.592008799</v>
      </c>
      <c r="J4" s="172">
        <f>'Indexed REC Activities'!L4*'Indexed REC Calculator'!J11</f>
        <v>83702842.997966662</v>
      </c>
      <c r="K4" s="172">
        <f>'Indexed REC Activities'!M4*'Indexed REC Calculator'!K11</f>
        <v>85793364.362188846</v>
      </c>
      <c r="L4" s="172">
        <f>'Indexed REC Activities'!N4*'Indexed REC Calculator'!L11</f>
        <v>85986431.155566633</v>
      </c>
      <c r="M4" s="172">
        <f>'Indexed REC Activities'!O4*'Indexed REC Calculator'!M11</f>
        <v>88399709.587477773</v>
      </c>
      <c r="N4" s="172">
        <f>'Indexed REC Activities'!P4*'Indexed REC Calculator'!N11</f>
        <v>88744072.286666662</v>
      </c>
      <c r="O4" s="172">
        <f>'Indexed REC Activities'!Q4*'Indexed REC Calculator'!O11</f>
        <v>84362026.578633323</v>
      </c>
      <c r="P4" s="172">
        <f>'Indexed REC Activities'!R4*'Indexed REC Calculator'!P11</f>
        <v>80025649.244633332</v>
      </c>
      <c r="Q4" s="172">
        <f>'Indexed REC Activities'!S4*'Indexed REC Calculator'!Q11</f>
        <v>88540047.342933312</v>
      </c>
      <c r="R4" s="172">
        <f>'Indexed REC Activities'!T4*'Indexed REC Calculator'!R11</f>
        <v>92325551.6803222</v>
      </c>
      <c r="S4" s="172">
        <f>'Indexed REC Activities'!U4*'Indexed REC Calculator'!S11</f>
        <v>93368439.97936663</v>
      </c>
      <c r="T4" s="172">
        <f>'Indexed REC Activities'!V4*'Indexed REC Calculator'!T11</f>
        <v>96138281.93766664</v>
      </c>
      <c r="U4" s="172">
        <f>'Indexed REC Activities'!W4*'Indexed REC Calculator'!U11</f>
        <v>98679499.599244416</v>
      </c>
      <c r="V4" s="172">
        <f>'Indexed REC Activities'!X4*'Indexed REC Calculator'!V11</f>
        <v>99668585.639455527</v>
      </c>
      <c r="W4" s="172">
        <f>'Indexed REC Activities'!Y4*'Indexed REC Calculator'!W11</f>
        <v>101271017.43036665</v>
      </c>
      <c r="X4" s="172">
        <f>'Indexed REC Activities'!Z4*'Indexed REC Calculator'!X11</f>
        <v>103434348.36061107</v>
      </c>
    </row>
    <row r="5" spans="1:24" ht="15.75" x14ac:dyDescent="0.25">
      <c r="A5" s="168" t="s">
        <v>81</v>
      </c>
      <c r="B5" s="9">
        <f t="shared" si="1"/>
        <v>2025</v>
      </c>
      <c r="C5" s="172">
        <f>'Indexed REC Activities'!E5*'Indexed REC Calculator'!C12</f>
        <v>0</v>
      </c>
      <c r="D5" s="172">
        <f>'Indexed REC Activities'!F5*'Indexed REC Calculator'!D12</f>
        <v>0</v>
      </c>
      <c r="E5" s="172">
        <f>'Indexed REC Activities'!G5*'Indexed REC Calculator'!E12</f>
        <v>0</v>
      </c>
      <c r="F5" s="172">
        <f>'Indexed REC Activities'!H5*'Indexed REC Calculator'!F12</f>
        <v>0</v>
      </c>
      <c r="G5" s="172">
        <f>'Indexed REC Activities'!I5*'Indexed REC Calculator'!G12</f>
        <v>0</v>
      </c>
      <c r="H5" s="172">
        <f>'Indexed REC Activities'!J5*'Indexed REC Calculator'!H12</f>
        <v>0</v>
      </c>
      <c r="I5" s="172">
        <f>'Indexed REC Activities'!K5*'Indexed REC Calculator'!I12</f>
        <v>78910119.04761903</v>
      </c>
      <c r="J5" s="172">
        <f>'Indexed REC Activities'!L5*'Indexed REC Calculator'!J12</f>
        <v>74079191.468253925</v>
      </c>
      <c r="K5" s="172">
        <f>'Indexed REC Activities'!M5*'Indexed REC Calculator'!K12</f>
        <v>73504538.690476194</v>
      </c>
      <c r="L5" s="172">
        <f>'Indexed REC Activities'!N5*'Indexed REC Calculator'!L12</f>
        <v>75340352.182539657</v>
      </c>
      <c r="M5" s="172">
        <f>'Indexed REC Activities'!O5*'Indexed REC Calculator'!M12</f>
        <v>75509895.833333313</v>
      </c>
      <c r="N5" s="172">
        <f>'Indexed REC Activities'!P5*'Indexed REC Calculator'!N12</f>
        <v>77629141.865079358</v>
      </c>
      <c r="O5" s="172">
        <f>'Indexed REC Activities'!Q5*'Indexed REC Calculator'!O12</f>
        <v>77931547.619047627</v>
      </c>
      <c r="P5" s="172">
        <f>'Indexed REC Activities'!R5*'Indexed REC Calculator'!P12</f>
        <v>74083407.738095239</v>
      </c>
      <c r="Q5" s="172">
        <f>'Indexed REC Activities'!S5*'Indexed REC Calculator'!Q12</f>
        <v>70275372.023809537</v>
      </c>
      <c r="R5" s="172">
        <f>'Indexed REC Activities'!T5*'Indexed REC Calculator'!R12</f>
        <v>77752380.95238094</v>
      </c>
      <c r="S5" s="172">
        <f>'Indexed REC Activities'!U5*'Indexed REC Calculator'!S12</f>
        <v>81076661.706349194</v>
      </c>
      <c r="T5" s="172">
        <f>'Indexed REC Activities'!V5*'Indexed REC Calculator'!T12</f>
        <v>81992485.119047597</v>
      </c>
      <c r="U5" s="172">
        <f>'Indexed REC Activities'!W5*'Indexed REC Calculator'!U12</f>
        <v>84424851.190476179</v>
      </c>
      <c r="V5" s="172">
        <f>'Indexed REC Activities'!X5*'Indexed REC Calculator'!V12</f>
        <v>86656448.412698403</v>
      </c>
      <c r="W5" s="172">
        <f>'Indexed REC Activities'!Y5*'Indexed REC Calculator'!W12</f>
        <v>87525024.801587284</v>
      </c>
      <c r="X5" s="172">
        <f>'Indexed REC Activities'!Z5*'Indexed REC Calculator'!X12</f>
        <v>88932217.261904746</v>
      </c>
    </row>
    <row r="6" spans="1:24" ht="15.75" x14ac:dyDescent="0.25">
      <c r="A6" s="168" t="s">
        <v>81</v>
      </c>
      <c r="B6" s="9">
        <f t="shared" si="1"/>
        <v>2026</v>
      </c>
      <c r="C6" s="172">
        <f>'Indexed REC Activities'!E6*'Indexed REC Calculator'!C13</f>
        <v>0</v>
      </c>
      <c r="D6" s="172">
        <f>'Indexed REC Activities'!F6*'Indexed REC Calculator'!D13</f>
        <v>0</v>
      </c>
      <c r="E6" s="172">
        <f>'Indexed REC Activities'!G6*'Indexed REC Calculator'!E13</f>
        <v>0</v>
      </c>
      <c r="F6" s="172">
        <f>'Indexed REC Activities'!H6*'Indexed REC Calculator'!F13</f>
        <v>0</v>
      </c>
      <c r="G6" s="172">
        <f>'Indexed REC Activities'!I6*'Indexed REC Calculator'!G13</f>
        <v>0</v>
      </c>
      <c r="H6" s="172">
        <f>'Indexed REC Activities'!J6*'Indexed REC Calculator'!H13</f>
        <v>0</v>
      </c>
      <c r="I6" s="172">
        <f>'Indexed REC Activities'!K6*'Indexed REC Calculator'!I13</f>
        <v>0</v>
      </c>
      <c r="J6" s="172">
        <f>'Indexed REC Activities'!L6*'Indexed REC Calculator'!J13</f>
        <v>74079191.468253925</v>
      </c>
      <c r="K6" s="172">
        <f>'Indexed REC Activities'!M6*'Indexed REC Calculator'!K13</f>
        <v>73504538.690476194</v>
      </c>
      <c r="L6" s="172">
        <f>'Indexed REC Activities'!N6*'Indexed REC Calculator'!L13</f>
        <v>75340352.182539657</v>
      </c>
      <c r="M6" s="172">
        <f>'Indexed REC Activities'!O6*'Indexed REC Calculator'!M13</f>
        <v>75509895.833333313</v>
      </c>
      <c r="N6" s="172">
        <f>'Indexed REC Activities'!P6*'Indexed REC Calculator'!N13</f>
        <v>77629141.865079358</v>
      </c>
      <c r="O6" s="172">
        <f>'Indexed REC Activities'!Q6*'Indexed REC Calculator'!O13</f>
        <v>77931547.619047627</v>
      </c>
      <c r="P6" s="172">
        <f>'Indexed REC Activities'!R6*'Indexed REC Calculator'!P13</f>
        <v>74083407.738095239</v>
      </c>
      <c r="Q6" s="172">
        <f>'Indexed REC Activities'!S6*'Indexed REC Calculator'!Q13</f>
        <v>70275372.023809537</v>
      </c>
      <c r="R6" s="172">
        <f>'Indexed REC Activities'!T6*'Indexed REC Calculator'!R13</f>
        <v>77752380.95238094</v>
      </c>
      <c r="S6" s="172">
        <f>'Indexed REC Activities'!U6*'Indexed REC Calculator'!S13</f>
        <v>81076661.706349194</v>
      </c>
      <c r="T6" s="172">
        <f>'Indexed REC Activities'!V6*'Indexed REC Calculator'!T13</f>
        <v>81992485.119047597</v>
      </c>
      <c r="U6" s="172">
        <f>'Indexed REC Activities'!W6*'Indexed REC Calculator'!U13</f>
        <v>84424851.190476179</v>
      </c>
      <c r="V6" s="172">
        <f>'Indexed REC Activities'!X6*'Indexed REC Calculator'!V13</f>
        <v>86656448.412698403</v>
      </c>
      <c r="W6" s="172">
        <f>'Indexed REC Activities'!Y6*'Indexed REC Calculator'!W13</f>
        <v>87525024.801587284</v>
      </c>
      <c r="X6" s="172">
        <f>'Indexed REC Activities'!Z6*'Indexed REC Calculator'!X13</f>
        <v>88932217.261904746</v>
      </c>
    </row>
    <row r="7" spans="1:24" ht="15.75" x14ac:dyDescent="0.25">
      <c r="A7" s="168" t="s">
        <v>81</v>
      </c>
      <c r="B7" s="9">
        <f t="shared" si="1"/>
        <v>2027</v>
      </c>
      <c r="C7" s="172">
        <f>'Indexed REC Activities'!E7*'Indexed REC Calculator'!C14</f>
        <v>0</v>
      </c>
      <c r="D7" s="172">
        <f>'Indexed REC Activities'!F7*'Indexed REC Calculator'!D14</f>
        <v>0</v>
      </c>
      <c r="E7" s="172">
        <f>'Indexed REC Activities'!G7*'Indexed REC Calculator'!E14</f>
        <v>0</v>
      </c>
      <c r="F7" s="172">
        <f>'Indexed REC Activities'!H7*'Indexed REC Calculator'!F14</f>
        <v>0</v>
      </c>
      <c r="G7" s="172">
        <f>'Indexed REC Activities'!I7*'Indexed REC Calculator'!G14</f>
        <v>0</v>
      </c>
      <c r="H7" s="172">
        <f>'Indexed REC Activities'!J7*'Indexed REC Calculator'!H14</f>
        <v>0</v>
      </c>
      <c r="I7" s="172">
        <f>'Indexed REC Activities'!K7*'Indexed REC Calculator'!I14</f>
        <v>0</v>
      </c>
      <c r="J7" s="172">
        <f>'Indexed REC Activities'!L7*'Indexed REC Calculator'!J14</f>
        <v>0</v>
      </c>
      <c r="K7" s="172">
        <f>'Indexed REC Activities'!M7*'Indexed REC Calculator'!K14</f>
        <v>73504538.690476194</v>
      </c>
      <c r="L7" s="172">
        <f>'Indexed REC Activities'!N7*'Indexed REC Calculator'!L14</f>
        <v>75340352.182539657</v>
      </c>
      <c r="M7" s="172">
        <f>'Indexed REC Activities'!O7*'Indexed REC Calculator'!M14</f>
        <v>75509895.833333313</v>
      </c>
      <c r="N7" s="172">
        <f>'Indexed REC Activities'!P7*'Indexed REC Calculator'!N14</f>
        <v>77629141.865079358</v>
      </c>
      <c r="O7" s="172">
        <f>'Indexed REC Activities'!Q7*'Indexed REC Calculator'!O14</f>
        <v>77931547.619047627</v>
      </c>
      <c r="P7" s="172">
        <f>'Indexed REC Activities'!R7*'Indexed REC Calculator'!P14</f>
        <v>74083407.738095239</v>
      </c>
      <c r="Q7" s="172">
        <f>'Indexed REC Activities'!S7*'Indexed REC Calculator'!Q14</f>
        <v>70275372.023809537</v>
      </c>
      <c r="R7" s="172">
        <f>'Indexed REC Activities'!T7*'Indexed REC Calculator'!R14</f>
        <v>77752380.95238094</v>
      </c>
      <c r="S7" s="172">
        <f>'Indexed REC Activities'!U7*'Indexed REC Calculator'!S14</f>
        <v>81076661.706349194</v>
      </c>
      <c r="T7" s="172">
        <f>'Indexed REC Activities'!V7*'Indexed REC Calculator'!T14</f>
        <v>81992485.119047597</v>
      </c>
      <c r="U7" s="172">
        <f>'Indexed REC Activities'!W7*'Indexed REC Calculator'!U14</f>
        <v>84424851.190476179</v>
      </c>
      <c r="V7" s="172">
        <f>'Indexed REC Activities'!X7*'Indexed REC Calculator'!V14</f>
        <v>86656448.412698403</v>
      </c>
      <c r="W7" s="172">
        <f>'Indexed REC Activities'!Y7*'Indexed REC Calculator'!W14</f>
        <v>87525024.801587284</v>
      </c>
      <c r="X7" s="172">
        <f>'Indexed REC Activities'!Z7*'Indexed REC Calculator'!X14</f>
        <v>88932217.261904746</v>
      </c>
    </row>
    <row r="8" spans="1:24" ht="15.75" x14ac:dyDescent="0.25">
      <c r="A8" s="168" t="s">
        <v>81</v>
      </c>
      <c r="B8" s="9">
        <f t="shared" si="1"/>
        <v>2028</v>
      </c>
      <c r="C8" s="172">
        <f>'Indexed REC Activities'!E8*'Indexed REC Calculator'!C15</f>
        <v>0</v>
      </c>
      <c r="D8" s="172">
        <f>'Indexed REC Activities'!F8*'Indexed REC Calculator'!D15</f>
        <v>0</v>
      </c>
      <c r="E8" s="172">
        <f>'Indexed REC Activities'!G8*'Indexed REC Calculator'!E15</f>
        <v>0</v>
      </c>
      <c r="F8" s="172">
        <f>'Indexed REC Activities'!H8*'Indexed REC Calculator'!F15</f>
        <v>0</v>
      </c>
      <c r="G8" s="172">
        <f>'Indexed REC Activities'!I8*'Indexed REC Calculator'!G15</f>
        <v>0</v>
      </c>
      <c r="H8" s="172">
        <f>'Indexed REC Activities'!J8*'Indexed REC Calculator'!H15</f>
        <v>0</v>
      </c>
      <c r="I8" s="172">
        <f>'Indexed REC Activities'!K8*'Indexed REC Calculator'!I15</f>
        <v>0</v>
      </c>
      <c r="J8" s="172">
        <f>'Indexed REC Activities'!L8*'Indexed REC Calculator'!J15</f>
        <v>0</v>
      </c>
      <c r="K8" s="172">
        <f>'Indexed REC Activities'!M8*'Indexed REC Calculator'!K15</f>
        <v>0</v>
      </c>
      <c r="L8" s="172">
        <f>'Indexed REC Activities'!N8*'Indexed REC Calculator'!L15</f>
        <v>75340352.182539657</v>
      </c>
      <c r="M8" s="172">
        <f>'Indexed REC Activities'!O8*'Indexed REC Calculator'!M15</f>
        <v>75509895.833333313</v>
      </c>
      <c r="N8" s="172">
        <f>'Indexed REC Activities'!P8*'Indexed REC Calculator'!N15</f>
        <v>77629141.865079358</v>
      </c>
      <c r="O8" s="172">
        <f>'Indexed REC Activities'!Q8*'Indexed REC Calculator'!O15</f>
        <v>77931547.619047627</v>
      </c>
      <c r="P8" s="172">
        <f>'Indexed REC Activities'!R8*'Indexed REC Calculator'!P15</f>
        <v>74083407.738095239</v>
      </c>
      <c r="Q8" s="172">
        <f>'Indexed REC Activities'!S8*'Indexed REC Calculator'!Q15</f>
        <v>70275372.023809537</v>
      </c>
      <c r="R8" s="172">
        <f>'Indexed REC Activities'!T8*'Indexed REC Calculator'!R15</f>
        <v>77752380.95238094</v>
      </c>
      <c r="S8" s="172">
        <f>'Indexed REC Activities'!U8*'Indexed REC Calculator'!S15</f>
        <v>81076661.706349194</v>
      </c>
      <c r="T8" s="172">
        <f>'Indexed REC Activities'!V8*'Indexed REC Calculator'!T15</f>
        <v>81992485.119047597</v>
      </c>
      <c r="U8" s="172">
        <f>'Indexed REC Activities'!W8*'Indexed REC Calculator'!U15</f>
        <v>84424851.190476179</v>
      </c>
      <c r="V8" s="172">
        <f>'Indexed REC Activities'!X8*'Indexed REC Calculator'!V15</f>
        <v>86656448.412698403</v>
      </c>
      <c r="W8" s="172">
        <f>'Indexed REC Activities'!Y8*'Indexed REC Calculator'!W15</f>
        <v>87525024.801587284</v>
      </c>
      <c r="X8" s="172">
        <f>'Indexed REC Activities'!Z8*'Indexed REC Calculator'!X15</f>
        <v>88932217.261904746</v>
      </c>
    </row>
    <row r="9" spans="1:24" ht="15.75" x14ac:dyDescent="0.25">
      <c r="A9" s="168" t="s">
        <v>81</v>
      </c>
      <c r="B9" s="9">
        <f t="shared" si="1"/>
        <v>2029</v>
      </c>
      <c r="C9" s="172">
        <f>'Indexed REC Activities'!E9*'Indexed REC Calculator'!C16</f>
        <v>0</v>
      </c>
      <c r="D9" s="172">
        <f>'Indexed REC Activities'!F9*'Indexed REC Calculator'!D16</f>
        <v>0</v>
      </c>
      <c r="E9" s="172">
        <f>'Indexed REC Activities'!G9*'Indexed REC Calculator'!E16</f>
        <v>0</v>
      </c>
      <c r="F9" s="172">
        <f>'Indexed REC Activities'!H9*'Indexed REC Calculator'!F16</f>
        <v>0</v>
      </c>
      <c r="G9" s="172">
        <f>'Indexed REC Activities'!I9*'Indexed REC Calculator'!G16</f>
        <v>0</v>
      </c>
      <c r="H9" s="172">
        <f>'Indexed REC Activities'!J9*'Indexed REC Calculator'!H16</f>
        <v>0</v>
      </c>
      <c r="I9" s="172">
        <f>'Indexed REC Activities'!K9*'Indexed REC Calculator'!I16</f>
        <v>0</v>
      </c>
      <c r="J9" s="172">
        <f>'Indexed REC Activities'!L9*'Indexed REC Calculator'!J16</f>
        <v>0</v>
      </c>
      <c r="K9" s="172">
        <f>'Indexed REC Activities'!M9*'Indexed REC Calculator'!K16</f>
        <v>0</v>
      </c>
      <c r="L9" s="172">
        <f>'Indexed REC Activities'!N9*'Indexed REC Calculator'!L16</f>
        <v>0</v>
      </c>
      <c r="M9" s="172">
        <f>'Indexed REC Activities'!O9*'Indexed REC Calculator'!M16</f>
        <v>75509895.833333313</v>
      </c>
      <c r="N9" s="172">
        <f>'Indexed REC Activities'!P9*'Indexed REC Calculator'!N16</f>
        <v>77629141.865079358</v>
      </c>
      <c r="O9" s="172">
        <f>'Indexed REC Activities'!Q9*'Indexed REC Calculator'!O16</f>
        <v>77931547.619047627</v>
      </c>
      <c r="P9" s="172">
        <f>'Indexed REC Activities'!R9*'Indexed REC Calculator'!P16</f>
        <v>74083407.738095239</v>
      </c>
      <c r="Q9" s="172">
        <f>'Indexed REC Activities'!S9*'Indexed REC Calculator'!Q16</f>
        <v>70275372.023809537</v>
      </c>
      <c r="R9" s="172">
        <f>'Indexed REC Activities'!T9*'Indexed REC Calculator'!R16</f>
        <v>77752380.95238094</v>
      </c>
      <c r="S9" s="172">
        <f>'Indexed REC Activities'!U9*'Indexed REC Calculator'!S16</f>
        <v>81076661.706349194</v>
      </c>
      <c r="T9" s="172">
        <f>'Indexed REC Activities'!V9*'Indexed REC Calculator'!T16</f>
        <v>81992485.119047597</v>
      </c>
      <c r="U9" s="172">
        <f>'Indexed REC Activities'!W9*'Indexed REC Calculator'!U16</f>
        <v>84424851.190476179</v>
      </c>
      <c r="V9" s="172">
        <f>'Indexed REC Activities'!X9*'Indexed REC Calculator'!V16</f>
        <v>86656448.412698403</v>
      </c>
      <c r="W9" s="172">
        <f>'Indexed REC Activities'!Y9*'Indexed REC Calculator'!W16</f>
        <v>87525024.801587284</v>
      </c>
      <c r="X9" s="172">
        <f>'Indexed REC Activities'!Z9*'Indexed REC Calculator'!X16</f>
        <v>88932217.261904746</v>
      </c>
    </row>
    <row r="10" spans="1:24" ht="15.75" x14ac:dyDescent="0.25">
      <c r="A10" s="168" t="s">
        <v>81</v>
      </c>
      <c r="B10" s="9">
        <f t="shared" si="1"/>
        <v>2030</v>
      </c>
      <c r="C10" s="172">
        <f>'Indexed REC Activities'!E10*'Indexed REC Calculator'!C17</f>
        <v>0</v>
      </c>
      <c r="D10" s="172">
        <f>'Indexed REC Activities'!F10*'Indexed REC Calculator'!D17</f>
        <v>0</v>
      </c>
      <c r="E10" s="172">
        <f>'Indexed REC Activities'!G10*'Indexed REC Calculator'!E17</f>
        <v>0</v>
      </c>
      <c r="F10" s="172">
        <f>'Indexed REC Activities'!H10*'Indexed REC Calculator'!F17</f>
        <v>0</v>
      </c>
      <c r="G10" s="172">
        <f>'Indexed REC Activities'!I10*'Indexed REC Calculator'!G17</f>
        <v>0</v>
      </c>
      <c r="H10" s="172">
        <f>'Indexed REC Activities'!J10*'Indexed REC Calculator'!H17</f>
        <v>0</v>
      </c>
      <c r="I10" s="172">
        <f>'Indexed REC Activities'!K10*'Indexed REC Calculator'!I17</f>
        <v>0</v>
      </c>
      <c r="J10" s="172">
        <f>'Indexed REC Activities'!L10*'Indexed REC Calculator'!J17</f>
        <v>0</v>
      </c>
      <c r="K10" s="172">
        <f>'Indexed REC Activities'!M10*'Indexed REC Calculator'!K17</f>
        <v>0</v>
      </c>
      <c r="L10" s="172">
        <f>'Indexed REC Activities'!N10*'Indexed REC Calculator'!L17</f>
        <v>0</v>
      </c>
      <c r="M10" s="172">
        <f>'Indexed REC Activities'!O10*'Indexed REC Calculator'!M17</f>
        <v>0</v>
      </c>
      <c r="N10" s="172">
        <f>'Indexed REC Activities'!P10*'Indexed REC Calculator'!N17</f>
        <v>31051656.746031746</v>
      </c>
      <c r="O10" s="172">
        <f>'Indexed REC Activities'!Q10*'Indexed REC Calculator'!O17</f>
        <v>31172619.047619052</v>
      </c>
      <c r="P10" s="172">
        <f>'Indexed REC Activities'!R10*'Indexed REC Calculator'!P17</f>
        <v>29633363.095238097</v>
      </c>
      <c r="Q10" s="172">
        <f>'Indexed REC Activities'!S10*'Indexed REC Calculator'!Q17</f>
        <v>28110148.809523813</v>
      </c>
      <c r="R10" s="172">
        <f>'Indexed REC Activities'!T10*'Indexed REC Calculator'!R17</f>
        <v>31100952.380952377</v>
      </c>
      <c r="S10" s="172">
        <f>'Indexed REC Activities'!U10*'Indexed REC Calculator'!S17</f>
        <v>32430664.682539679</v>
      </c>
      <c r="T10" s="172">
        <f>'Indexed REC Activities'!V10*'Indexed REC Calculator'!T17</f>
        <v>32796994.047619037</v>
      </c>
      <c r="U10" s="172">
        <f>'Indexed REC Activities'!W10*'Indexed REC Calculator'!U17</f>
        <v>33769940.47619047</v>
      </c>
      <c r="V10" s="172">
        <f>'Indexed REC Activities'!X10*'Indexed REC Calculator'!V17</f>
        <v>34662579.365079358</v>
      </c>
      <c r="W10" s="172">
        <f>'Indexed REC Activities'!Y10*'Indexed REC Calculator'!W17</f>
        <v>35010009.920634918</v>
      </c>
      <c r="X10" s="172">
        <f>'Indexed REC Activities'!Z10*'Indexed REC Calculator'!X17</f>
        <v>35572886.904761903</v>
      </c>
    </row>
    <row r="11" spans="1:24" ht="15.75" x14ac:dyDescent="0.25">
      <c r="A11" s="168" t="s">
        <v>81</v>
      </c>
      <c r="B11" s="9">
        <f t="shared" si="1"/>
        <v>2031</v>
      </c>
      <c r="C11" s="172">
        <f>'Indexed REC Activities'!E11*'Indexed REC Calculator'!C18</f>
        <v>0</v>
      </c>
      <c r="D11" s="172">
        <f>'Indexed REC Activities'!F11*'Indexed REC Calculator'!D18</f>
        <v>0</v>
      </c>
      <c r="E11" s="172">
        <f>'Indexed REC Activities'!G11*'Indexed REC Calculator'!E18</f>
        <v>0</v>
      </c>
      <c r="F11" s="172">
        <f>'Indexed REC Activities'!H11*'Indexed REC Calculator'!F18</f>
        <v>0</v>
      </c>
      <c r="G11" s="172">
        <f>'Indexed REC Activities'!I11*'Indexed REC Calculator'!G18</f>
        <v>0</v>
      </c>
      <c r="H11" s="172">
        <f>'Indexed REC Activities'!J11*'Indexed REC Calculator'!H18</f>
        <v>0</v>
      </c>
      <c r="I11" s="172">
        <f>'Indexed REC Activities'!K11*'Indexed REC Calculator'!I18</f>
        <v>0</v>
      </c>
      <c r="J11" s="172">
        <f>'Indexed REC Activities'!L11*'Indexed REC Calculator'!J18</f>
        <v>0</v>
      </c>
      <c r="K11" s="172">
        <f>'Indexed REC Activities'!M11*'Indexed REC Calculator'!K18</f>
        <v>0</v>
      </c>
      <c r="L11" s="172">
        <f>'Indexed REC Activities'!N11*'Indexed REC Calculator'!L18</f>
        <v>0</v>
      </c>
      <c r="M11" s="172">
        <f>'Indexed REC Activities'!O11*'Indexed REC Calculator'!M18</f>
        <v>0</v>
      </c>
      <c r="N11" s="172">
        <f>'Indexed REC Activities'!P11*'Indexed REC Calculator'!N18</f>
        <v>0</v>
      </c>
      <c r="O11" s="172">
        <f>'Indexed REC Activities'!Q11*'Indexed REC Calculator'!O18</f>
        <v>31172619.047619052</v>
      </c>
      <c r="P11" s="172">
        <f>'Indexed REC Activities'!R11*'Indexed REC Calculator'!P18</f>
        <v>29633363.095238097</v>
      </c>
      <c r="Q11" s="172">
        <f>'Indexed REC Activities'!S11*'Indexed REC Calculator'!Q18</f>
        <v>28110148.809523813</v>
      </c>
      <c r="R11" s="172">
        <f>'Indexed REC Activities'!T11*'Indexed REC Calculator'!R18</f>
        <v>31100952.380952377</v>
      </c>
      <c r="S11" s="172">
        <f>'Indexed REC Activities'!U11*'Indexed REC Calculator'!S18</f>
        <v>32430664.682539679</v>
      </c>
      <c r="T11" s="172">
        <f>'Indexed REC Activities'!V11*'Indexed REC Calculator'!T18</f>
        <v>32796994.047619037</v>
      </c>
      <c r="U11" s="172">
        <f>'Indexed REC Activities'!W11*'Indexed REC Calculator'!U18</f>
        <v>33769940.47619047</v>
      </c>
      <c r="V11" s="172">
        <f>'Indexed REC Activities'!X11*'Indexed REC Calculator'!V18</f>
        <v>34662579.365079358</v>
      </c>
      <c r="W11" s="172">
        <f>'Indexed REC Activities'!Y11*'Indexed REC Calculator'!W18</f>
        <v>35010009.920634918</v>
      </c>
      <c r="X11" s="172">
        <f>'Indexed REC Activities'!Z11*'Indexed REC Calculator'!X18</f>
        <v>35572886.904761903</v>
      </c>
    </row>
    <row r="12" spans="1:24" ht="15.75" x14ac:dyDescent="0.25">
      <c r="A12" s="168" t="s">
        <v>81</v>
      </c>
      <c r="B12" s="9">
        <f t="shared" si="1"/>
        <v>2032</v>
      </c>
      <c r="C12" s="172">
        <f>'Indexed REC Activities'!E12*'Indexed REC Calculator'!C19</f>
        <v>0</v>
      </c>
      <c r="D12" s="172">
        <f>'Indexed REC Activities'!F12*'Indexed REC Calculator'!D19</f>
        <v>0</v>
      </c>
      <c r="E12" s="172">
        <f>'Indexed REC Activities'!G12*'Indexed REC Calculator'!E19</f>
        <v>0</v>
      </c>
      <c r="F12" s="172">
        <f>'Indexed REC Activities'!H12*'Indexed REC Calculator'!F19</f>
        <v>0</v>
      </c>
      <c r="G12" s="172">
        <f>'Indexed REC Activities'!I12*'Indexed REC Calculator'!G19</f>
        <v>0</v>
      </c>
      <c r="H12" s="172">
        <f>'Indexed REC Activities'!J12*'Indexed REC Calculator'!H19</f>
        <v>0</v>
      </c>
      <c r="I12" s="172">
        <f>'Indexed REC Activities'!K12*'Indexed REC Calculator'!I19</f>
        <v>0</v>
      </c>
      <c r="J12" s="172">
        <f>'Indexed REC Activities'!L12*'Indexed REC Calculator'!J19</f>
        <v>0</v>
      </c>
      <c r="K12" s="172">
        <f>'Indexed REC Activities'!M12*'Indexed REC Calculator'!K19</f>
        <v>0</v>
      </c>
      <c r="L12" s="172">
        <f>'Indexed REC Activities'!N12*'Indexed REC Calculator'!L19</f>
        <v>0</v>
      </c>
      <c r="M12" s="172">
        <f>'Indexed REC Activities'!O12*'Indexed REC Calculator'!M19</f>
        <v>0</v>
      </c>
      <c r="N12" s="172">
        <f>'Indexed REC Activities'!P12*'Indexed REC Calculator'!N19</f>
        <v>0</v>
      </c>
      <c r="O12" s="172">
        <f>'Indexed REC Activities'!Q12*'Indexed REC Calculator'!O19</f>
        <v>0</v>
      </c>
      <c r="P12" s="172">
        <f>'Indexed REC Activities'!R12*'Indexed REC Calculator'!P19</f>
        <v>29633363.095238097</v>
      </c>
      <c r="Q12" s="172">
        <f>'Indexed REC Activities'!S12*'Indexed REC Calculator'!Q19</f>
        <v>28110148.809523813</v>
      </c>
      <c r="R12" s="172">
        <f>'Indexed REC Activities'!T12*'Indexed REC Calculator'!R19</f>
        <v>31100952.380952377</v>
      </c>
      <c r="S12" s="172">
        <f>'Indexed REC Activities'!U12*'Indexed REC Calculator'!S19</f>
        <v>32430664.682539679</v>
      </c>
      <c r="T12" s="172">
        <f>'Indexed REC Activities'!V12*'Indexed REC Calculator'!T19</f>
        <v>32796994.047619037</v>
      </c>
      <c r="U12" s="172">
        <f>'Indexed REC Activities'!W12*'Indexed REC Calculator'!U19</f>
        <v>33769940.47619047</v>
      </c>
      <c r="V12" s="172">
        <f>'Indexed REC Activities'!X12*'Indexed REC Calculator'!V19</f>
        <v>34662579.365079358</v>
      </c>
      <c r="W12" s="172">
        <f>'Indexed REC Activities'!Y12*'Indexed REC Calculator'!W19</f>
        <v>35010009.920634918</v>
      </c>
      <c r="X12" s="172">
        <f>'Indexed REC Activities'!Z12*'Indexed REC Calculator'!X19</f>
        <v>35572886.904761903</v>
      </c>
    </row>
    <row r="13" spans="1:24" ht="15.75" x14ac:dyDescent="0.25">
      <c r="A13" s="168" t="s">
        <v>81</v>
      </c>
      <c r="B13" s="9">
        <f t="shared" si="1"/>
        <v>2033</v>
      </c>
      <c r="C13" s="172">
        <f>'Indexed REC Activities'!E13*'Indexed REC Calculator'!C20</f>
        <v>0</v>
      </c>
      <c r="D13" s="172">
        <f>'Indexed REC Activities'!F13*'Indexed REC Calculator'!D20</f>
        <v>0</v>
      </c>
      <c r="E13" s="172">
        <f>'Indexed REC Activities'!G13*'Indexed REC Calculator'!E20</f>
        <v>0</v>
      </c>
      <c r="F13" s="172">
        <f>'Indexed REC Activities'!H13*'Indexed REC Calculator'!F20</f>
        <v>0</v>
      </c>
      <c r="G13" s="172">
        <f>'Indexed REC Activities'!I13*'Indexed REC Calculator'!G20</f>
        <v>0</v>
      </c>
      <c r="H13" s="172">
        <f>'Indexed REC Activities'!J13*'Indexed REC Calculator'!H20</f>
        <v>0</v>
      </c>
      <c r="I13" s="172">
        <f>'Indexed REC Activities'!K13*'Indexed REC Calculator'!I20</f>
        <v>0</v>
      </c>
      <c r="J13" s="172">
        <f>'Indexed REC Activities'!L13*'Indexed REC Calculator'!J20</f>
        <v>0</v>
      </c>
      <c r="K13" s="172">
        <f>'Indexed REC Activities'!M13*'Indexed REC Calculator'!K20</f>
        <v>0</v>
      </c>
      <c r="L13" s="172">
        <f>'Indexed REC Activities'!N13*'Indexed REC Calculator'!L20</f>
        <v>0</v>
      </c>
      <c r="M13" s="172">
        <f>'Indexed REC Activities'!O13*'Indexed REC Calculator'!M20</f>
        <v>0</v>
      </c>
      <c r="N13" s="172">
        <f>'Indexed REC Activities'!P13*'Indexed REC Calculator'!N20</f>
        <v>0</v>
      </c>
      <c r="O13" s="172">
        <f>'Indexed REC Activities'!Q13*'Indexed REC Calculator'!O20</f>
        <v>0</v>
      </c>
      <c r="P13" s="172">
        <f>'Indexed REC Activities'!R13*'Indexed REC Calculator'!P20</f>
        <v>0</v>
      </c>
      <c r="Q13" s="172">
        <f>'Indexed REC Activities'!S13*'Indexed REC Calculator'!Q20</f>
        <v>28110148.809523813</v>
      </c>
      <c r="R13" s="172">
        <f>'Indexed REC Activities'!T13*'Indexed REC Calculator'!R20</f>
        <v>31100952.380952377</v>
      </c>
      <c r="S13" s="172">
        <f>'Indexed REC Activities'!U13*'Indexed REC Calculator'!S20</f>
        <v>32430664.682539679</v>
      </c>
      <c r="T13" s="172">
        <f>'Indexed REC Activities'!V13*'Indexed REC Calculator'!T20</f>
        <v>32796994.047619037</v>
      </c>
      <c r="U13" s="172">
        <f>'Indexed REC Activities'!W13*'Indexed REC Calculator'!U20</f>
        <v>33769940.47619047</v>
      </c>
      <c r="V13" s="172">
        <f>'Indexed REC Activities'!X13*'Indexed REC Calculator'!V20</f>
        <v>34662579.365079358</v>
      </c>
      <c r="W13" s="172">
        <f>'Indexed REC Activities'!Y13*'Indexed REC Calculator'!W20</f>
        <v>35010009.920634918</v>
      </c>
      <c r="X13" s="172">
        <f>'Indexed REC Activities'!Z13*'Indexed REC Calculator'!X20</f>
        <v>35572886.904761903</v>
      </c>
    </row>
    <row r="14" spans="1:24" ht="15.75" x14ac:dyDescent="0.25">
      <c r="A14" s="168" t="s">
        <v>81</v>
      </c>
      <c r="B14" s="9">
        <f t="shared" si="1"/>
        <v>2034</v>
      </c>
      <c r="C14" s="172">
        <f>'Indexed REC Activities'!E14*'Indexed REC Calculator'!C21</f>
        <v>0</v>
      </c>
      <c r="D14" s="172">
        <f>'Indexed REC Activities'!F14*'Indexed REC Calculator'!D21</f>
        <v>0</v>
      </c>
      <c r="E14" s="172">
        <f>'Indexed REC Activities'!G14*'Indexed REC Calculator'!E21</f>
        <v>0</v>
      </c>
      <c r="F14" s="172">
        <f>'Indexed REC Activities'!H14*'Indexed REC Calculator'!F21</f>
        <v>0</v>
      </c>
      <c r="G14" s="172">
        <f>'Indexed REC Activities'!I14*'Indexed REC Calculator'!G21</f>
        <v>0</v>
      </c>
      <c r="H14" s="172">
        <f>'Indexed REC Activities'!J14*'Indexed REC Calculator'!H21</f>
        <v>0</v>
      </c>
      <c r="I14" s="172">
        <f>'Indexed REC Activities'!K14*'Indexed REC Calculator'!I21</f>
        <v>0</v>
      </c>
      <c r="J14" s="172">
        <f>'Indexed REC Activities'!L14*'Indexed REC Calculator'!J21</f>
        <v>0</v>
      </c>
      <c r="K14" s="172">
        <f>'Indexed REC Activities'!M14*'Indexed REC Calculator'!K21</f>
        <v>0</v>
      </c>
      <c r="L14" s="172">
        <f>'Indexed REC Activities'!N14*'Indexed REC Calculator'!L21</f>
        <v>0</v>
      </c>
      <c r="M14" s="172">
        <f>'Indexed REC Activities'!O14*'Indexed REC Calculator'!M21</f>
        <v>0</v>
      </c>
      <c r="N14" s="172">
        <f>'Indexed REC Activities'!P14*'Indexed REC Calculator'!N21</f>
        <v>0</v>
      </c>
      <c r="O14" s="172">
        <f>'Indexed REC Activities'!Q14*'Indexed REC Calculator'!O21</f>
        <v>0</v>
      </c>
      <c r="P14" s="172">
        <f>'Indexed REC Activities'!R14*'Indexed REC Calculator'!P21</f>
        <v>0</v>
      </c>
      <c r="Q14" s="172">
        <f>'Indexed REC Activities'!S14*'Indexed REC Calculator'!Q21</f>
        <v>0</v>
      </c>
      <c r="R14" s="172">
        <f>'Indexed REC Activities'!T14*'Indexed REC Calculator'!R21</f>
        <v>31100952.380952377</v>
      </c>
      <c r="S14" s="172">
        <f>'Indexed REC Activities'!U14*'Indexed REC Calculator'!S21</f>
        <v>32430664.682539679</v>
      </c>
      <c r="T14" s="172">
        <f>'Indexed REC Activities'!V14*'Indexed REC Calculator'!T21</f>
        <v>32796994.047619037</v>
      </c>
      <c r="U14" s="172">
        <f>'Indexed REC Activities'!W14*'Indexed REC Calculator'!U21</f>
        <v>33769940.47619047</v>
      </c>
      <c r="V14" s="172">
        <f>'Indexed REC Activities'!X14*'Indexed REC Calculator'!V21</f>
        <v>34662579.365079358</v>
      </c>
      <c r="W14" s="172">
        <f>'Indexed REC Activities'!Y14*'Indexed REC Calculator'!W21</f>
        <v>35010009.920634918</v>
      </c>
      <c r="X14" s="172">
        <f>'Indexed REC Activities'!Z14*'Indexed REC Calculator'!X21</f>
        <v>35572886.904761903</v>
      </c>
    </row>
    <row r="15" spans="1:24" ht="15.75" x14ac:dyDescent="0.25">
      <c r="A15" s="168" t="s">
        <v>81</v>
      </c>
      <c r="B15" s="9">
        <f t="shared" si="1"/>
        <v>2035</v>
      </c>
      <c r="C15" s="172">
        <f>'Indexed REC Activities'!E15*'Indexed REC Calculator'!C22</f>
        <v>0</v>
      </c>
      <c r="D15" s="172">
        <f>'Indexed REC Activities'!F15*'Indexed REC Calculator'!D22</f>
        <v>0</v>
      </c>
      <c r="E15" s="172">
        <f>'Indexed REC Activities'!G15*'Indexed REC Calculator'!E22</f>
        <v>0</v>
      </c>
      <c r="F15" s="172">
        <f>'Indexed REC Activities'!H15*'Indexed REC Calculator'!F22</f>
        <v>0</v>
      </c>
      <c r="G15" s="172">
        <f>'Indexed REC Activities'!I15*'Indexed REC Calculator'!G22</f>
        <v>0</v>
      </c>
      <c r="H15" s="172">
        <f>'Indexed REC Activities'!J15*'Indexed REC Calculator'!H22</f>
        <v>0</v>
      </c>
      <c r="I15" s="172">
        <f>'Indexed REC Activities'!K15*'Indexed REC Calculator'!I22</f>
        <v>0</v>
      </c>
      <c r="J15" s="172">
        <f>'Indexed REC Activities'!L15*'Indexed REC Calculator'!J22</f>
        <v>0</v>
      </c>
      <c r="K15" s="172">
        <f>'Indexed REC Activities'!M15*'Indexed REC Calculator'!K22</f>
        <v>0</v>
      </c>
      <c r="L15" s="172">
        <f>'Indexed REC Activities'!N15*'Indexed REC Calculator'!L22</f>
        <v>0</v>
      </c>
      <c r="M15" s="172">
        <f>'Indexed REC Activities'!O15*'Indexed REC Calculator'!M22</f>
        <v>0</v>
      </c>
      <c r="N15" s="172">
        <f>'Indexed REC Activities'!P15*'Indexed REC Calculator'!N22</f>
        <v>0</v>
      </c>
      <c r="O15" s="172">
        <f>'Indexed REC Activities'!Q15*'Indexed REC Calculator'!O22</f>
        <v>0</v>
      </c>
      <c r="P15" s="172">
        <f>'Indexed REC Activities'!R15*'Indexed REC Calculator'!P22</f>
        <v>0</v>
      </c>
      <c r="Q15" s="172">
        <f>'Indexed REC Activities'!S15*'Indexed REC Calculator'!Q22</f>
        <v>0</v>
      </c>
      <c r="R15" s="172">
        <f>'Indexed REC Activities'!T15*'Indexed REC Calculator'!R22</f>
        <v>0</v>
      </c>
      <c r="S15" s="172">
        <f>'Indexed REC Activities'!U15*'Indexed REC Calculator'!S22</f>
        <v>32430664.682539679</v>
      </c>
      <c r="T15" s="172">
        <f>'Indexed REC Activities'!V15*'Indexed REC Calculator'!T22</f>
        <v>32796994.047619037</v>
      </c>
      <c r="U15" s="172">
        <f>'Indexed REC Activities'!W15*'Indexed REC Calculator'!U22</f>
        <v>33769940.47619047</v>
      </c>
      <c r="V15" s="172">
        <f>'Indexed REC Activities'!X15*'Indexed REC Calculator'!V22</f>
        <v>34662579.365079358</v>
      </c>
      <c r="W15" s="172">
        <f>'Indexed REC Activities'!Y15*'Indexed REC Calculator'!W22</f>
        <v>35010009.920634918</v>
      </c>
      <c r="X15" s="172">
        <f>'Indexed REC Activities'!Z15*'Indexed REC Calculator'!X22</f>
        <v>35572886.904761903</v>
      </c>
    </row>
    <row r="16" spans="1:24" ht="15.75" x14ac:dyDescent="0.25">
      <c r="A16" s="168" t="s">
        <v>81</v>
      </c>
      <c r="B16" s="9">
        <f t="shared" si="1"/>
        <v>2036</v>
      </c>
      <c r="C16" s="172">
        <f>'Indexed REC Activities'!E16*'Indexed REC Calculator'!C23</f>
        <v>0</v>
      </c>
      <c r="D16" s="172">
        <f>'Indexed REC Activities'!F16*'Indexed REC Calculator'!D23</f>
        <v>0</v>
      </c>
      <c r="E16" s="172">
        <f>'Indexed REC Activities'!G16*'Indexed REC Calculator'!E23</f>
        <v>0</v>
      </c>
      <c r="F16" s="172">
        <f>'Indexed REC Activities'!H16*'Indexed REC Calculator'!F23</f>
        <v>0</v>
      </c>
      <c r="G16" s="172">
        <f>'Indexed REC Activities'!I16*'Indexed REC Calculator'!G23</f>
        <v>0</v>
      </c>
      <c r="H16" s="172">
        <f>'Indexed REC Activities'!J16*'Indexed REC Calculator'!H23</f>
        <v>0</v>
      </c>
      <c r="I16" s="172">
        <f>'Indexed REC Activities'!K16*'Indexed REC Calculator'!I23</f>
        <v>0</v>
      </c>
      <c r="J16" s="172">
        <f>'Indexed REC Activities'!L16*'Indexed REC Calculator'!J23</f>
        <v>0</v>
      </c>
      <c r="K16" s="172">
        <f>'Indexed REC Activities'!M16*'Indexed REC Calculator'!K23</f>
        <v>0</v>
      </c>
      <c r="L16" s="172">
        <f>'Indexed REC Activities'!N16*'Indexed REC Calculator'!L23</f>
        <v>0</v>
      </c>
      <c r="M16" s="172">
        <f>'Indexed REC Activities'!O16*'Indexed REC Calculator'!M23</f>
        <v>0</v>
      </c>
      <c r="N16" s="172">
        <f>'Indexed REC Activities'!P16*'Indexed REC Calculator'!N23</f>
        <v>0</v>
      </c>
      <c r="O16" s="172">
        <f>'Indexed REC Activities'!Q16*'Indexed REC Calculator'!O23</f>
        <v>0</v>
      </c>
      <c r="P16" s="172">
        <f>'Indexed REC Activities'!R16*'Indexed REC Calculator'!P23</f>
        <v>0</v>
      </c>
      <c r="Q16" s="172">
        <f>'Indexed REC Activities'!S16*'Indexed REC Calculator'!Q23</f>
        <v>0</v>
      </c>
      <c r="R16" s="172">
        <f>'Indexed REC Activities'!T16*'Indexed REC Calculator'!R23</f>
        <v>0</v>
      </c>
      <c r="S16" s="172">
        <f>'Indexed REC Activities'!U16*'Indexed REC Calculator'!S23</f>
        <v>0</v>
      </c>
      <c r="T16" s="172">
        <f>'Indexed REC Activities'!V16*'Indexed REC Calculator'!T23</f>
        <v>32796994.047619037</v>
      </c>
      <c r="U16" s="172">
        <f>'Indexed REC Activities'!W16*'Indexed REC Calculator'!U23</f>
        <v>33769940.47619047</v>
      </c>
      <c r="V16" s="172">
        <f>'Indexed REC Activities'!X16*'Indexed REC Calculator'!V23</f>
        <v>34662579.365079358</v>
      </c>
      <c r="W16" s="172">
        <f>'Indexed REC Activities'!Y16*'Indexed REC Calculator'!W23</f>
        <v>35010009.920634918</v>
      </c>
      <c r="X16" s="172">
        <f>'Indexed REC Activities'!Z16*'Indexed REC Calculator'!X23</f>
        <v>35572886.904761903</v>
      </c>
    </row>
    <row r="17" spans="1:24" ht="15.75" x14ac:dyDescent="0.25">
      <c r="A17" s="168" t="s">
        <v>81</v>
      </c>
      <c r="B17" s="9">
        <f t="shared" si="1"/>
        <v>2037</v>
      </c>
      <c r="C17" s="172">
        <f>'Indexed REC Activities'!E17*'Indexed REC Calculator'!C24</f>
        <v>0</v>
      </c>
      <c r="D17" s="172">
        <f>'Indexed REC Activities'!F17*'Indexed REC Calculator'!D24</f>
        <v>0</v>
      </c>
      <c r="E17" s="172">
        <f>'Indexed REC Activities'!G17*'Indexed REC Calculator'!E24</f>
        <v>0</v>
      </c>
      <c r="F17" s="172">
        <f>'Indexed REC Activities'!H17*'Indexed REC Calculator'!F24</f>
        <v>0</v>
      </c>
      <c r="G17" s="172">
        <f>'Indexed REC Activities'!I17*'Indexed REC Calculator'!G24</f>
        <v>0</v>
      </c>
      <c r="H17" s="172">
        <f>'Indexed REC Activities'!J17*'Indexed REC Calculator'!H24</f>
        <v>0</v>
      </c>
      <c r="I17" s="172">
        <f>'Indexed REC Activities'!K17*'Indexed REC Calculator'!I24</f>
        <v>0</v>
      </c>
      <c r="J17" s="172">
        <f>'Indexed REC Activities'!L17*'Indexed REC Calculator'!J24</f>
        <v>0</v>
      </c>
      <c r="K17" s="172">
        <f>'Indexed REC Activities'!M17*'Indexed REC Calculator'!K24</f>
        <v>0</v>
      </c>
      <c r="L17" s="172">
        <f>'Indexed REC Activities'!N17*'Indexed REC Calculator'!L24</f>
        <v>0</v>
      </c>
      <c r="M17" s="172">
        <f>'Indexed REC Activities'!O17*'Indexed REC Calculator'!M24</f>
        <v>0</v>
      </c>
      <c r="N17" s="172">
        <f>'Indexed REC Activities'!P17*'Indexed REC Calculator'!N24</f>
        <v>0</v>
      </c>
      <c r="O17" s="172">
        <f>'Indexed REC Activities'!Q17*'Indexed REC Calculator'!O24</f>
        <v>0</v>
      </c>
      <c r="P17" s="172">
        <f>'Indexed REC Activities'!R17*'Indexed REC Calculator'!P24</f>
        <v>0</v>
      </c>
      <c r="Q17" s="172">
        <f>'Indexed REC Activities'!S17*'Indexed REC Calculator'!Q24</f>
        <v>0</v>
      </c>
      <c r="R17" s="172">
        <f>'Indexed REC Activities'!T17*'Indexed REC Calculator'!R24</f>
        <v>0</v>
      </c>
      <c r="S17" s="172">
        <f>'Indexed REC Activities'!U17*'Indexed REC Calculator'!S24</f>
        <v>0</v>
      </c>
      <c r="T17" s="172">
        <f>'Indexed REC Activities'!V17*'Indexed REC Calculator'!T24</f>
        <v>0</v>
      </c>
      <c r="U17" s="172">
        <f>'Indexed REC Activities'!W17*'Indexed REC Calculator'!U24</f>
        <v>33769940.47619047</v>
      </c>
      <c r="V17" s="172">
        <f>'Indexed REC Activities'!X17*'Indexed REC Calculator'!V24</f>
        <v>34662579.365079358</v>
      </c>
      <c r="W17" s="172">
        <f>'Indexed REC Activities'!Y17*'Indexed REC Calculator'!W24</f>
        <v>35010009.920634918</v>
      </c>
      <c r="X17" s="172">
        <f>'Indexed REC Activities'!Z17*'Indexed REC Calculator'!X24</f>
        <v>35572886.904761903</v>
      </c>
    </row>
    <row r="18" spans="1:24" ht="15.75" x14ac:dyDescent="0.25">
      <c r="A18" s="168" t="s">
        <v>81</v>
      </c>
      <c r="B18" s="9">
        <f t="shared" si="1"/>
        <v>2038</v>
      </c>
      <c r="C18" s="172">
        <f>'Indexed REC Activities'!E18*'Indexed REC Calculator'!C25</f>
        <v>0</v>
      </c>
      <c r="D18" s="172">
        <f>'Indexed REC Activities'!F18*'Indexed REC Calculator'!D25</f>
        <v>0</v>
      </c>
      <c r="E18" s="172">
        <f>'Indexed REC Activities'!G18*'Indexed REC Calculator'!E25</f>
        <v>0</v>
      </c>
      <c r="F18" s="172">
        <f>'Indexed REC Activities'!H18*'Indexed REC Calculator'!F25</f>
        <v>0</v>
      </c>
      <c r="G18" s="172">
        <f>'Indexed REC Activities'!I18*'Indexed REC Calculator'!G25</f>
        <v>0</v>
      </c>
      <c r="H18" s="172">
        <f>'Indexed REC Activities'!J18*'Indexed REC Calculator'!H25</f>
        <v>0</v>
      </c>
      <c r="I18" s="172">
        <f>'Indexed REC Activities'!K18*'Indexed REC Calculator'!I25</f>
        <v>0</v>
      </c>
      <c r="J18" s="172">
        <f>'Indexed REC Activities'!L18*'Indexed REC Calculator'!J25</f>
        <v>0</v>
      </c>
      <c r="K18" s="172">
        <f>'Indexed REC Activities'!M18*'Indexed REC Calculator'!K25</f>
        <v>0</v>
      </c>
      <c r="L18" s="172">
        <f>'Indexed REC Activities'!N18*'Indexed REC Calculator'!L25</f>
        <v>0</v>
      </c>
      <c r="M18" s="172">
        <f>'Indexed REC Activities'!O18*'Indexed REC Calculator'!M25</f>
        <v>0</v>
      </c>
      <c r="N18" s="172">
        <f>'Indexed REC Activities'!P18*'Indexed REC Calculator'!N25</f>
        <v>0</v>
      </c>
      <c r="O18" s="172">
        <f>'Indexed REC Activities'!Q18*'Indexed REC Calculator'!O25</f>
        <v>0</v>
      </c>
      <c r="P18" s="172">
        <f>'Indexed REC Activities'!R18*'Indexed REC Calculator'!P25</f>
        <v>0</v>
      </c>
      <c r="Q18" s="172">
        <f>'Indexed REC Activities'!S18*'Indexed REC Calculator'!Q25</f>
        <v>0</v>
      </c>
      <c r="R18" s="172">
        <f>'Indexed REC Activities'!T18*'Indexed REC Calculator'!R25</f>
        <v>0</v>
      </c>
      <c r="S18" s="172">
        <f>'Indexed REC Activities'!U18*'Indexed REC Calculator'!S25</f>
        <v>0</v>
      </c>
      <c r="T18" s="172">
        <f>'Indexed REC Activities'!V18*'Indexed REC Calculator'!T25</f>
        <v>0</v>
      </c>
      <c r="U18" s="172">
        <f>'Indexed REC Activities'!W18*'Indexed REC Calculator'!U25</f>
        <v>0</v>
      </c>
      <c r="V18" s="172">
        <f>'Indexed REC Activities'!X18*'Indexed REC Calculator'!V25</f>
        <v>34662579.365079358</v>
      </c>
      <c r="W18" s="172">
        <f>'Indexed REC Activities'!Y18*'Indexed REC Calculator'!W25</f>
        <v>35010009.920634918</v>
      </c>
      <c r="X18" s="172">
        <f>'Indexed REC Activities'!Z18*'Indexed REC Calculator'!X25</f>
        <v>35572886.904761903</v>
      </c>
    </row>
    <row r="19" spans="1:24" ht="15.75" x14ac:dyDescent="0.25">
      <c r="A19" s="168" t="s">
        <v>81</v>
      </c>
      <c r="B19" s="9">
        <f t="shared" si="1"/>
        <v>2039</v>
      </c>
      <c r="C19" s="172">
        <f>'Indexed REC Activities'!E19*'Indexed REC Calculator'!C26</f>
        <v>0</v>
      </c>
      <c r="D19" s="172">
        <f>'Indexed REC Activities'!F19*'Indexed REC Calculator'!D26</f>
        <v>0</v>
      </c>
      <c r="E19" s="172">
        <f>'Indexed REC Activities'!G19*'Indexed REC Calculator'!E26</f>
        <v>0</v>
      </c>
      <c r="F19" s="172">
        <f>'Indexed REC Activities'!H19*'Indexed REC Calculator'!F26</f>
        <v>0</v>
      </c>
      <c r="G19" s="172">
        <f>'Indexed REC Activities'!I19*'Indexed REC Calculator'!G26</f>
        <v>0</v>
      </c>
      <c r="H19" s="172">
        <f>'Indexed REC Activities'!J19*'Indexed REC Calculator'!H26</f>
        <v>0</v>
      </c>
      <c r="I19" s="172">
        <f>'Indexed REC Activities'!K19*'Indexed REC Calculator'!I26</f>
        <v>0</v>
      </c>
      <c r="J19" s="172">
        <f>'Indexed REC Activities'!L19*'Indexed REC Calculator'!J26</f>
        <v>0</v>
      </c>
      <c r="K19" s="172">
        <f>'Indexed REC Activities'!M19*'Indexed REC Calculator'!K26</f>
        <v>0</v>
      </c>
      <c r="L19" s="172">
        <f>'Indexed REC Activities'!N19*'Indexed REC Calculator'!L26</f>
        <v>0</v>
      </c>
      <c r="M19" s="172">
        <f>'Indexed REC Activities'!O19*'Indexed REC Calculator'!M26</f>
        <v>0</v>
      </c>
      <c r="N19" s="172">
        <f>'Indexed REC Activities'!P19*'Indexed REC Calculator'!N26</f>
        <v>0</v>
      </c>
      <c r="O19" s="172">
        <f>'Indexed REC Activities'!Q19*'Indexed REC Calculator'!O26</f>
        <v>0</v>
      </c>
      <c r="P19" s="172">
        <f>'Indexed REC Activities'!R19*'Indexed REC Calculator'!P26</f>
        <v>0</v>
      </c>
      <c r="Q19" s="172">
        <f>'Indexed REC Activities'!S19*'Indexed REC Calculator'!Q26</f>
        <v>0</v>
      </c>
      <c r="R19" s="172">
        <f>'Indexed REC Activities'!T19*'Indexed REC Calculator'!R26</f>
        <v>0</v>
      </c>
      <c r="S19" s="172">
        <f>'Indexed REC Activities'!U19*'Indexed REC Calculator'!S26</f>
        <v>0</v>
      </c>
      <c r="T19" s="172">
        <f>'Indexed REC Activities'!V19*'Indexed REC Calculator'!T26</f>
        <v>0</v>
      </c>
      <c r="U19" s="172">
        <f>'Indexed REC Activities'!W19*'Indexed REC Calculator'!U26</f>
        <v>0</v>
      </c>
      <c r="V19" s="172">
        <f>'Indexed REC Activities'!X19*'Indexed REC Calculator'!V26</f>
        <v>0</v>
      </c>
      <c r="W19" s="172">
        <f>'Indexed REC Activities'!Y19*'Indexed REC Calculator'!W26</f>
        <v>35010009.920634918</v>
      </c>
      <c r="X19" s="172">
        <f>'Indexed REC Activities'!Z19*'Indexed REC Calculator'!X26</f>
        <v>35572886.904761903</v>
      </c>
    </row>
    <row r="20" spans="1:24" ht="15.75" x14ac:dyDescent="0.25">
      <c r="A20" s="168" t="s">
        <v>81</v>
      </c>
      <c r="B20" s="9">
        <f t="shared" si="1"/>
        <v>2040</v>
      </c>
      <c r="C20" s="172">
        <f>'Indexed REC Activities'!E20*'Indexed REC Calculator'!C27</f>
        <v>0</v>
      </c>
      <c r="D20" s="172">
        <f>'Indexed REC Activities'!F20*'Indexed REC Calculator'!D27</f>
        <v>0</v>
      </c>
      <c r="E20" s="172">
        <f>'Indexed REC Activities'!G20*'Indexed REC Calculator'!E27</f>
        <v>0</v>
      </c>
      <c r="F20" s="172">
        <f>'Indexed REC Activities'!H20*'Indexed REC Calculator'!F27</f>
        <v>0</v>
      </c>
      <c r="G20" s="172">
        <f>'Indexed REC Activities'!I20*'Indexed REC Calculator'!G27</f>
        <v>0</v>
      </c>
      <c r="H20" s="172">
        <f>'Indexed REC Activities'!J20*'Indexed REC Calculator'!H27</f>
        <v>0</v>
      </c>
      <c r="I20" s="172">
        <f>'Indexed REC Activities'!K20*'Indexed REC Calculator'!I27</f>
        <v>0</v>
      </c>
      <c r="J20" s="172">
        <f>'Indexed REC Activities'!L20*'Indexed REC Calculator'!J27</f>
        <v>0</v>
      </c>
      <c r="K20" s="172">
        <f>'Indexed REC Activities'!M20*'Indexed REC Calculator'!K27</f>
        <v>0</v>
      </c>
      <c r="L20" s="172">
        <f>'Indexed REC Activities'!N20*'Indexed REC Calculator'!L27</f>
        <v>0</v>
      </c>
      <c r="M20" s="172">
        <f>'Indexed REC Activities'!O20*'Indexed REC Calculator'!M27</f>
        <v>0</v>
      </c>
      <c r="N20" s="172">
        <f>'Indexed REC Activities'!P20*'Indexed REC Calculator'!N27</f>
        <v>0</v>
      </c>
      <c r="O20" s="172">
        <f>'Indexed REC Activities'!Q20*'Indexed REC Calculator'!O27</f>
        <v>0</v>
      </c>
      <c r="P20" s="172">
        <f>'Indexed REC Activities'!R20*'Indexed REC Calculator'!P27</f>
        <v>0</v>
      </c>
      <c r="Q20" s="172">
        <f>'Indexed REC Activities'!S20*'Indexed REC Calculator'!Q27</f>
        <v>0</v>
      </c>
      <c r="R20" s="172">
        <f>'Indexed REC Activities'!T20*'Indexed REC Calculator'!R27</f>
        <v>0</v>
      </c>
      <c r="S20" s="172">
        <f>'Indexed REC Activities'!U20*'Indexed REC Calculator'!S27</f>
        <v>0</v>
      </c>
      <c r="T20" s="172">
        <f>'Indexed REC Activities'!V20*'Indexed REC Calculator'!T27</f>
        <v>0</v>
      </c>
      <c r="U20" s="172">
        <f>'Indexed REC Activities'!W20*'Indexed REC Calculator'!U27</f>
        <v>0</v>
      </c>
      <c r="V20" s="172">
        <f>'Indexed REC Activities'!X20*'Indexed REC Calculator'!V27</f>
        <v>0</v>
      </c>
      <c r="W20" s="172">
        <f>'Indexed REC Activities'!Y20*'Indexed REC Calculator'!W27</f>
        <v>0</v>
      </c>
      <c r="X20" s="172">
        <f>'Indexed REC Activities'!Z20*'Indexed REC Calculator'!X27</f>
        <v>35572886.904761903</v>
      </c>
    </row>
    <row r="21" spans="1:24" ht="15.75" x14ac:dyDescent="0.25">
      <c r="A21" s="168" t="s">
        <v>81</v>
      </c>
      <c r="B21" s="9">
        <f t="shared" si="1"/>
        <v>2041</v>
      </c>
      <c r="C21" s="172">
        <f>'Indexed REC Activities'!E21*'Indexed REC Calculator'!C28</f>
        <v>0</v>
      </c>
      <c r="D21" s="172">
        <f>'Indexed REC Activities'!F21*'Indexed REC Calculator'!D28</f>
        <v>0</v>
      </c>
      <c r="E21" s="172">
        <f>'Indexed REC Activities'!G21*'Indexed REC Calculator'!E28</f>
        <v>0</v>
      </c>
      <c r="F21" s="172">
        <f>'Indexed REC Activities'!H21*'Indexed REC Calculator'!F28</f>
        <v>0</v>
      </c>
      <c r="G21" s="172">
        <f>'Indexed REC Activities'!I21*'Indexed REC Calculator'!G28</f>
        <v>0</v>
      </c>
      <c r="H21" s="172">
        <f>'Indexed REC Activities'!J21*'Indexed REC Calculator'!H28</f>
        <v>0</v>
      </c>
      <c r="I21" s="172">
        <f>'Indexed REC Activities'!K21*'Indexed REC Calculator'!I28</f>
        <v>0</v>
      </c>
      <c r="J21" s="172">
        <f>'Indexed REC Activities'!L21*'Indexed REC Calculator'!J28</f>
        <v>0</v>
      </c>
      <c r="K21" s="172">
        <f>'Indexed REC Activities'!M21*'Indexed REC Calculator'!K28</f>
        <v>0</v>
      </c>
      <c r="L21" s="172">
        <f>'Indexed REC Activities'!N21*'Indexed REC Calculator'!L28</f>
        <v>0</v>
      </c>
      <c r="M21" s="172">
        <f>'Indexed REC Activities'!O21*'Indexed REC Calculator'!M28</f>
        <v>0</v>
      </c>
      <c r="N21" s="172">
        <f>'Indexed REC Activities'!P21*'Indexed REC Calculator'!N28</f>
        <v>0</v>
      </c>
      <c r="O21" s="172">
        <f>'Indexed REC Activities'!Q21*'Indexed REC Calculator'!O28</f>
        <v>0</v>
      </c>
      <c r="P21" s="172">
        <f>'Indexed REC Activities'!R21*'Indexed REC Calculator'!P28</f>
        <v>0</v>
      </c>
      <c r="Q21" s="172">
        <f>'Indexed REC Activities'!S21*'Indexed REC Calculator'!Q28</f>
        <v>0</v>
      </c>
      <c r="R21" s="172">
        <f>'Indexed REC Activities'!T21*'Indexed REC Calculator'!R28</f>
        <v>0</v>
      </c>
      <c r="S21" s="172">
        <f>'Indexed REC Activities'!U21*'Indexed REC Calculator'!S28</f>
        <v>0</v>
      </c>
      <c r="T21" s="172">
        <f>'Indexed REC Activities'!V21*'Indexed REC Calculator'!T28</f>
        <v>0</v>
      </c>
      <c r="U21" s="172">
        <f>'Indexed REC Activities'!W21*'Indexed REC Calculator'!U28</f>
        <v>0</v>
      </c>
      <c r="V21" s="172">
        <f>'Indexed REC Activities'!X21*'Indexed REC Calculator'!V28</f>
        <v>0</v>
      </c>
      <c r="W21" s="172">
        <f>'Indexed REC Activities'!Y21*'Indexed REC Calculator'!W28</f>
        <v>0</v>
      </c>
      <c r="X21" s="172">
        <f>'Indexed REC Activities'!Z21*'Indexed REC Calculator'!X28</f>
        <v>0</v>
      </c>
    </row>
    <row r="22" spans="1:24" ht="15.75" x14ac:dyDescent="0.25">
      <c r="A22" s="168" t="s">
        <v>81</v>
      </c>
      <c r="B22" s="9">
        <f t="shared" si="1"/>
        <v>2042</v>
      </c>
      <c r="C22" s="172">
        <f>'Indexed REC Activities'!E22*'Indexed REC Calculator'!C29</f>
        <v>0</v>
      </c>
      <c r="D22" s="172">
        <f>'Indexed REC Activities'!F22*'Indexed REC Calculator'!D29</f>
        <v>0</v>
      </c>
      <c r="E22" s="172">
        <f>'Indexed REC Activities'!G22*'Indexed REC Calculator'!E29</f>
        <v>0</v>
      </c>
      <c r="F22" s="172">
        <f>'Indexed REC Activities'!H22*'Indexed REC Calculator'!F29</f>
        <v>0</v>
      </c>
      <c r="G22" s="172">
        <f>'Indexed REC Activities'!I22*'Indexed REC Calculator'!G29</f>
        <v>0</v>
      </c>
      <c r="H22" s="172">
        <f>'Indexed REC Activities'!J22*'Indexed REC Calculator'!H29</f>
        <v>0</v>
      </c>
      <c r="I22" s="172">
        <f>'Indexed REC Activities'!K22*'Indexed REC Calculator'!I29</f>
        <v>0</v>
      </c>
      <c r="J22" s="172">
        <f>'Indexed REC Activities'!L22*'Indexed REC Calculator'!J29</f>
        <v>0</v>
      </c>
      <c r="K22" s="172">
        <f>'Indexed REC Activities'!M22*'Indexed REC Calculator'!K29</f>
        <v>0</v>
      </c>
      <c r="L22" s="172">
        <f>'Indexed REC Activities'!N22*'Indexed REC Calculator'!L29</f>
        <v>0</v>
      </c>
      <c r="M22" s="172">
        <f>'Indexed REC Activities'!O22*'Indexed REC Calculator'!M29</f>
        <v>0</v>
      </c>
      <c r="N22" s="172">
        <f>'Indexed REC Activities'!P22*'Indexed REC Calculator'!N29</f>
        <v>0</v>
      </c>
      <c r="O22" s="172">
        <f>'Indexed REC Activities'!Q22*'Indexed REC Calculator'!O29</f>
        <v>0</v>
      </c>
      <c r="P22" s="172">
        <f>'Indexed REC Activities'!R22*'Indexed REC Calculator'!P29</f>
        <v>0</v>
      </c>
      <c r="Q22" s="172">
        <f>'Indexed REC Activities'!S22*'Indexed REC Calculator'!Q29</f>
        <v>0</v>
      </c>
      <c r="R22" s="172">
        <f>'Indexed REC Activities'!T22*'Indexed REC Calculator'!R29</f>
        <v>0</v>
      </c>
      <c r="S22" s="172">
        <f>'Indexed REC Activities'!U22*'Indexed REC Calculator'!S29</f>
        <v>0</v>
      </c>
      <c r="T22" s="172">
        <f>'Indexed REC Activities'!V22*'Indexed REC Calculator'!T29</f>
        <v>0</v>
      </c>
      <c r="U22" s="172">
        <f>'Indexed REC Activities'!W22*'Indexed REC Calculator'!U29</f>
        <v>0</v>
      </c>
      <c r="V22" s="172">
        <f>'Indexed REC Activities'!X22*'Indexed REC Calculator'!V29</f>
        <v>0</v>
      </c>
      <c r="W22" s="172">
        <f>'Indexed REC Activities'!Y22*'Indexed REC Calculator'!W29</f>
        <v>0</v>
      </c>
      <c r="X22" s="172">
        <f>'Indexed REC Activities'!Z22*'Indexed REC Calculator'!X29</f>
        <v>0</v>
      </c>
    </row>
    <row r="23" spans="1:24" ht="15.75" x14ac:dyDescent="0.25">
      <c r="A23" s="10" t="s">
        <v>82</v>
      </c>
      <c r="B23" s="9">
        <v>2022</v>
      </c>
      <c r="C23" s="172">
        <f>'Indexed REC Activities'!E23*'Indexed REC Calculator'!C30</f>
        <v>0</v>
      </c>
      <c r="D23" s="172">
        <f>'Indexed REC Activities'!F23*'Indexed REC Calculator'!D30</f>
        <v>0</v>
      </c>
      <c r="E23" s="172">
        <f>'Indexed REC Activities'!G23*'Indexed REC Calculator'!E30</f>
        <v>0</v>
      </c>
      <c r="F23" s="172">
        <f>'Indexed REC Activities'!H23*'Indexed REC Calculator'!F36</f>
        <v>0</v>
      </c>
      <c r="G23" s="172">
        <f>'Indexed REC Activities'!I23*'Indexed REC Calculator'!G36</f>
        <v>0</v>
      </c>
      <c r="H23" s="172">
        <f>'Indexed REC Activities'!J23*'Indexed REC Calculator'!H36</f>
        <v>14429752.031762559</v>
      </c>
      <c r="I23" s="172">
        <f>'Indexed REC Activities'!K23*'Indexed REC Calculator'!I36</f>
        <v>30578961.843674399</v>
      </c>
      <c r="J23" s="172">
        <f>'Indexed REC Activities'!L23*'Indexed REC Calculator'!J36</f>
        <v>30648255.184484608</v>
      </c>
      <c r="K23" s="172">
        <f>'Indexed REC Activities'!M23*'Indexed REC Calculator'!K36</f>
        <v>31475376.577761684</v>
      </c>
      <c r="L23" s="172">
        <f>'Indexed REC Activities'!N23*'Indexed REC Calculator'!L36</f>
        <v>31408086.839031413</v>
      </c>
      <c r="M23" s="172">
        <f>'Indexed REC Activities'!O23*'Indexed REC Calculator'!M36</f>
        <v>32371479.03540796</v>
      </c>
      <c r="N23" s="172">
        <f>'Indexed REC Activities'!P23*'Indexed REC Calculator'!N36</f>
        <v>32368702.342988595</v>
      </c>
      <c r="O23" s="172">
        <f>'Indexed REC Activities'!Q23*'Indexed REC Calculator'!O36</f>
        <v>30192664.443117842</v>
      </c>
      <c r="P23" s="172">
        <f>'Indexed REC Activities'!R23*'Indexed REC Calculator'!P36</f>
        <v>28058464.081479896</v>
      </c>
      <c r="Q23" s="172">
        <f>'Indexed REC Activities'!S23*'Indexed REC Calculator'!Q36</f>
        <v>31792751.400813591</v>
      </c>
      <c r="R23" s="172">
        <f>'Indexed REC Activities'!T23*'Indexed REC Calculator'!R36</f>
        <v>33347813.893598501</v>
      </c>
      <c r="S23" s="172">
        <f>'Indexed REC Activities'!U23*'Indexed REC Calculator'!S36</f>
        <v>33650919.809643313</v>
      </c>
      <c r="T23" s="172">
        <f>'Indexed REC Activities'!V23*'Indexed REC Calculator'!T36</f>
        <v>34724302.856911436</v>
      </c>
      <c r="U23" s="172">
        <f>'Indexed REC Activities'!W23*'Indexed REC Calculator'!U36</f>
        <v>35684137.765694894</v>
      </c>
      <c r="V23" s="172">
        <f>'Indexed REC Activities'!X23*'Indexed REC Calculator'!V36</f>
        <v>35944672.193731695</v>
      </c>
      <c r="W23" s="172">
        <f>'Indexed REC Activities'!Y23*'Indexed REC Calculator'!W36</f>
        <v>36472550.22174675</v>
      </c>
      <c r="X23" s="172">
        <f>'Indexed REC Activities'!Z23*'Indexed REC Calculator'!X36</f>
        <v>37240694.131736517</v>
      </c>
    </row>
    <row r="24" spans="1:24" ht="15.75" x14ac:dyDescent="0.25">
      <c r="A24" s="10" t="s">
        <v>82</v>
      </c>
      <c r="B24" s="9">
        <f t="shared" ref="B24:B43" si="2">B23+1</f>
        <v>2023</v>
      </c>
      <c r="C24" s="172">
        <f>'Indexed REC Activities'!E24*'Indexed REC Calculator'!C37</f>
        <v>0</v>
      </c>
      <c r="D24" s="172">
        <f>'Indexed REC Activities'!F24*'Indexed REC Calculator'!D37</f>
        <v>0</v>
      </c>
      <c r="E24" s="172">
        <f>'Indexed REC Activities'!G24*'Indexed REC Calculator'!E37</f>
        <v>0</v>
      </c>
      <c r="F24" s="172">
        <f>'Indexed REC Activities'!H24*'Indexed REC Calculator'!F37</f>
        <v>0</v>
      </c>
      <c r="G24" s="172">
        <f>'Indexed REC Activities'!I24*'Indexed REC Calculator'!G37</f>
        <v>13255868.443590889</v>
      </c>
      <c r="H24" s="172">
        <f>'Indexed REC Activities'!J24*'Indexed REC Calculator'!H37</f>
        <v>25360087.992983606</v>
      </c>
      <c r="I24" s="172">
        <f>'Indexed REC Activities'!K24*'Indexed REC Calculator'!I37</f>
        <v>50421772.811029509</v>
      </c>
      <c r="J24" s="172">
        <f>'Indexed REC Activities'!L24*'Indexed REC Calculator'!J37</f>
        <v>56924281.142802447</v>
      </c>
      <c r="K24" s="172">
        <f>'Indexed REC Activities'!M24*'Indexed REC Calculator'!K37</f>
        <v>58310032.949306048</v>
      </c>
      <c r="L24" s="172">
        <f>'Indexed REC Activities'!N24*'Indexed REC Calculator'!L37</f>
        <v>58168339.771271728</v>
      </c>
      <c r="M24" s="172">
        <f>'Indexed REC Activities'!O24*'Indexed REC Calculator'!M37</f>
        <v>59741300.720393874</v>
      </c>
      <c r="N24" s="172">
        <f>'Indexed REC Activities'!P24*'Indexed REC Calculator'!N37</f>
        <v>59707219.707831696</v>
      </c>
      <c r="O24" s="172">
        <f>'Indexed REC Activities'!Q24*'Indexed REC Calculator'!O37</f>
        <v>56058137.818536051</v>
      </c>
      <c r="P24" s="172">
        <f>'Indexed REC Activities'!R24*'Indexed REC Calculator'!P37</f>
        <v>52478797.865090586</v>
      </c>
      <c r="Q24" s="172">
        <f>'Indexed REC Activities'!S24*'Indexed REC Calculator'!Q37</f>
        <v>58661639.042352773</v>
      </c>
      <c r="R24" s="172">
        <f>'Indexed REC Activities'!T24*'Indexed REC Calculator'!R37</f>
        <v>61219556.860998996</v>
      </c>
      <c r="S24" s="172">
        <f>'Indexed REC Activities'!U24*'Indexed REC Calculator'!S37</f>
        <v>61695030.680594318</v>
      </c>
      <c r="T24" s="172">
        <f>'Indexed REC Activities'!V24*'Indexed REC Calculator'!T37</f>
        <v>63451978.712745458</v>
      </c>
      <c r="U24" s="172">
        <f>'Indexed REC Activities'!W24*'Indexed REC Calculator'!U37</f>
        <v>65020186.115510374</v>
      </c>
      <c r="V24" s="172">
        <f>'Indexed REC Activities'!X24*'Indexed REC Calculator'!V37</f>
        <v>65425272.513322003</v>
      </c>
      <c r="W24" s="172">
        <f>'Indexed REC Activities'!Y24*'Indexed REC Calculator'!W37</f>
        <v>66275217.673411936</v>
      </c>
      <c r="X24" s="172">
        <f>'Indexed REC Activities'!Z24*'Indexed REC Calculator'!X37</f>
        <v>67524977.999264315</v>
      </c>
    </row>
    <row r="25" spans="1:24" ht="15.75" x14ac:dyDescent="0.25">
      <c r="A25" s="10" t="s">
        <v>82</v>
      </c>
      <c r="B25" s="9">
        <f t="shared" si="2"/>
        <v>2024</v>
      </c>
      <c r="C25" s="172">
        <f>'Indexed REC Activities'!E25*'Indexed REC Calculator'!C38</f>
        <v>0</v>
      </c>
      <c r="D25" s="172">
        <f>'Indexed REC Activities'!F25*'Indexed REC Calculator'!D38</f>
        <v>0</v>
      </c>
      <c r="E25" s="172">
        <f>'Indexed REC Activities'!G25*'Indexed REC Calculator'!E38</f>
        <v>0</v>
      </c>
      <c r="F25" s="172">
        <f>'Indexed REC Activities'!H25*'Indexed REC Calculator'!F38</f>
        <v>0</v>
      </c>
      <c r="G25" s="172">
        <f>'Indexed REC Activities'!I25*'Indexed REC Calculator'!G38</f>
        <v>0</v>
      </c>
      <c r="H25" s="172">
        <f>'Indexed REC Activities'!J25*'Indexed REC Calculator'!H38</f>
        <v>15300851.517287571</v>
      </c>
      <c r="I25" s="172">
        <f>'Indexed REC Activities'!K25*'Indexed REC Calculator'!I38</f>
        <v>40966107.932496205</v>
      </c>
      <c r="J25" s="172">
        <f>'Indexed REC Activities'!L25*'Indexed REC Calculator'!J38</f>
        <v>51384899.532832973</v>
      </c>
      <c r="K25" s="172">
        <f>'Indexed REC Activities'!M25*'Indexed REC Calculator'!K38</f>
        <v>52449417.186165512</v>
      </c>
      <c r="L25" s="172">
        <f>'Indexed REC Activities'!N25*'Indexed REC Calculator'!L38</f>
        <v>52308599.601065442</v>
      </c>
      <c r="M25" s="172">
        <f>'Indexed REC Activities'!O25*'Indexed REC Calculator'!M38</f>
        <v>53557300.670797333</v>
      </c>
      <c r="N25" s="172">
        <f>'Indexed REC Activities'!P25*'Indexed REC Calculator'!N38</f>
        <v>53503940.88179981</v>
      </c>
      <c r="O25" s="172">
        <f>'Indexed REC Activities'!Q25*'Indexed REC Calculator'!O38</f>
        <v>50521465.326426566</v>
      </c>
      <c r="P25" s="172">
        <f>'Indexed REC Activities'!R25*'Indexed REC Calculator'!P38</f>
        <v>47595629.916303106</v>
      </c>
      <c r="Q25" s="172">
        <f>'Indexed REC Activities'!S25*'Indexed REC Calculator'!Q38</f>
        <v>52580242.359168567</v>
      </c>
      <c r="R25" s="172">
        <f>'Indexed REC Activities'!T25*'Indexed REC Calculator'!R38</f>
        <v>54627696.901978739</v>
      </c>
      <c r="S25" s="172">
        <f>'Indexed REC Activities'!U25*'Indexed REC Calculator'!S38</f>
        <v>54987867.893438615</v>
      </c>
      <c r="T25" s="172">
        <f>'Indexed REC Activities'!V25*'Indexed REC Calculator'!T38</f>
        <v>56386546.260617144</v>
      </c>
      <c r="U25" s="172">
        <f>'Indexed REC Activities'!W25*'Indexed REC Calculator'!U38</f>
        <v>57632412.517195798</v>
      </c>
      <c r="V25" s="172">
        <f>'Indexed REC Activities'!X25*'Indexed REC Calculator'!V38</f>
        <v>57935923.120292909</v>
      </c>
      <c r="W25" s="172">
        <f>'Indexed REC Activities'!Y25*'Indexed REC Calculator'!W38</f>
        <v>58600027.579589359</v>
      </c>
      <c r="X25" s="172">
        <f>'Indexed REC Activities'!Z25*'Indexed REC Calculator'!X38</f>
        <v>59588226.334958427</v>
      </c>
    </row>
    <row r="26" spans="1:24" ht="15.75" x14ac:dyDescent="0.25">
      <c r="A26" s="10" t="s">
        <v>82</v>
      </c>
      <c r="B26" s="9">
        <f t="shared" si="2"/>
        <v>2025</v>
      </c>
      <c r="C26" s="172">
        <f>'Indexed REC Activities'!E26*'Indexed REC Calculator'!C39</f>
        <v>0</v>
      </c>
      <c r="D26" s="172">
        <f>'Indexed REC Activities'!F26*'Indexed REC Calculator'!D39</f>
        <v>0</v>
      </c>
      <c r="E26" s="172">
        <f>'Indexed REC Activities'!G26*'Indexed REC Calculator'!E39</f>
        <v>0</v>
      </c>
      <c r="F26" s="172">
        <f>'Indexed REC Activities'!H26*'Indexed REC Calculator'!F39</f>
        <v>0</v>
      </c>
      <c r="G26" s="172">
        <f>'Indexed REC Activities'!I26*'Indexed REC Calculator'!G39</f>
        <v>0</v>
      </c>
      <c r="H26" s="172">
        <f>'Indexed REC Activities'!J26*'Indexed REC Calculator'!H39</f>
        <v>0</v>
      </c>
      <c r="I26" s="172">
        <f>'Indexed REC Activities'!K26*'Indexed REC Calculator'!I39</f>
        <v>19094431.96374999</v>
      </c>
      <c r="J26" s="172">
        <f>'Indexed REC Activities'!L26*'Indexed REC Calculator'!J39</f>
        <v>18846485.419368755</v>
      </c>
      <c r="K26" s="172">
        <f>'Indexed REC Activities'!M26*'Indexed REC Calculator'!K39</f>
        <v>19236919.508266278</v>
      </c>
      <c r="L26" s="172">
        <f>'Indexed REC Activities'!N26*'Indexed REC Calculator'!L39</f>
        <v>19185271.717018124</v>
      </c>
      <c r="M26" s="172">
        <f>'Indexed REC Activities'!O26*'Indexed REC Calculator'!M39</f>
        <v>19643258.921776887</v>
      </c>
      <c r="N26" s="172">
        <f>'Indexed REC Activities'!P26*'Indexed REC Calculator'!N39</f>
        <v>19623688.10438763</v>
      </c>
      <c r="O26" s="172">
        <f>'Indexed REC Activities'!Q26*'Indexed REC Calculator'!O39</f>
        <v>18529802.88559781</v>
      </c>
      <c r="P26" s="172">
        <f>'Indexed REC Activities'!R26*'Indexed REC Calculator'!P39</f>
        <v>17456691.623384852</v>
      </c>
      <c r="Q26" s="172">
        <f>'Indexed REC Activities'!S26*'Indexed REC Calculator'!Q39</f>
        <v>19284902.373619802</v>
      </c>
      <c r="R26" s="172">
        <f>'Indexed REC Activities'!T26*'Indexed REC Calculator'!R39</f>
        <v>20035849.101913713</v>
      </c>
      <c r="S26" s="172">
        <f>'Indexed REC Activities'!U26*'Indexed REC Calculator'!S39</f>
        <v>20167949.337600481</v>
      </c>
      <c r="T26" s="172">
        <f>'Indexed REC Activities'!V26*'Indexed REC Calculator'!T39</f>
        <v>20680943.849472079</v>
      </c>
      <c r="U26" s="172">
        <f>'Indexed REC Activities'!W26*'Indexed REC Calculator'!U39</f>
        <v>21137891.32728295</v>
      </c>
      <c r="V26" s="172">
        <f>'Indexed REC Activities'!X26*'Indexed REC Calculator'!V39</f>
        <v>21249210.181808267</v>
      </c>
      <c r="W26" s="172">
        <f>'Indexed REC Activities'!Y26*'Indexed REC Calculator'!W39</f>
        <v>21492784.3664979</v>
      </c>
      <c r="X26" s="172">
        <f>'Indexed REC Activities'!Z26*'Indexed REC Calculator'!X39</f>
        <v>21855226.905139074</v>
      </c>
    </row>
    <row r="27" spans="1:24" ht="15.75" x14ac:dyDescent="0.25">
      <c r="A27" s="10" t="s">
        <v>82</v>
      </c>
      <c r="B27" s="9">
        <f t="shared" si="2"/>
        <v>2026</v>
      </c>
      <c r="C27" s="172">
        <f>'Indexed REC Activities'!E27*'Indexed REC Calculator'!C40</f>
        <v>0</v>
      </c>
      <c r="D27" s="172">
        <f>'Indexed REC Activities'!F27*'Indexed REC Calculator'!D40</f>
        <v>0</v>
      </c>
      <c r="E27" s="172">
        <f>'Indexed REC Activities'!G27*'Indexed REC Calculator'!E40</f>
        <v>0</v>
      </c>
      <c r="F27" s="172">
        <f>'Indexed REC Activities'!H27*'Indexed REC Calculator'!F40</f>
        <v>0</v>
      </c>
      <c r="G27" s="172">
        <f>'Indexed REC Activities'!I27*'Indexed REC Calculator'!G40</f>
        <v>0</v>
      </c>
      <c r="H27" s="172">
        <f>'Indexed REC Activities'!J27*'Indexed REC Calculator'!H40</f>
        <v>0</v>
      </c>
      <c r="I27" s="172">
        <f>'Indexed REC Activities'!K27*'Indexed REC Calculator'!I40</f>
        <v>0</v>
      </c>
      <c r="J27" s="172">
        <f>'Indexed REC Activities'!L27*'Indexed REC Calculator'!J40</f>
        <v>42617723.214285724</v>
      </c>
      <c r="K27" s="172">
        <f>'Indexed REC Activities'!M27*'Indexed REC Calculator'!K40</f>
        <v>43500615.252976179</v>
      </c>
      <c r="L27" s="172">
        <f>'Indexed REC Activities'!N27*'Indexed REC Calculator'!L40</f>
        <v>43383823.648437493</v>
      </c>
      <c r="M27" s="172">
        <f>'Indexed REC Activities'!O27*'Indexed REC Calculator'!M40</f>
        <v>44419474.142085202</v>
      </c>
      <c r="N27" s="172">
        <f>'Indexed REC Activities'!P27*'Indexed REC Calculator'!N40</f>
        <v>44375218.48061765</v>
      </c>
      <c r="O27" s="172">
        <f>'Indexed REC Activities'!Q27*'Indexed REC Calculator'!O40</f>
        <v>41901606.215772137</v>
      </c>
      <c r="P27" s="172">
        <f>'Indexed REC Activities'!R27*'Indexed REC Calculator'!P40</f>
        <v>39474970.281619459</v>
      </c>
      <c r="Q27" s="172">
        <f>'Indexed REC Activities'!S27*'Indexed REC Calculator'!Q40</f>
        <v>43609119.328360096</v>
      </c>
      <c r="R27" s="172">
        <f>'Indexed REC Activities'!T27*'Indexed REC Calculator'!R40</f>
        <v>45307241.768855698</v>
      </c>
      <c r="S27" s="172">
        <f>'Indexed REC Activities'!U27*'Indexed REC Calculator'!S40</f>
        <v>45605961.193499967</v>
      </c>
      <c r="T27" s="172">
        <f>'Indexed REC Activities'!V27*'Indexed REC Calculator'!T40</f>
        <v>46766000.194454648</v>
      </c>
      <c r="U27" s="172">
        <f>'Indexed REC Activities'!W27*'Indexed REC Calculator'!U40</f>
        <v>47799299.544411749</v>
      </c>
      <c r="V27" s="172">
        <f>'Indexed REC Activities'!X27*'Indexed REC Calculator'!V40</f>
        <v>48051025.84908475</v>
      </c>
      <c r="W27" s="172">
        <f>'Indexed REC Activities'!Y27*'Indexed REC Calculator'!W40</f>
        <v>48601822.294908002</v>
      </c>
      <c r="X27" s="172">
        <f>'Indexed REC Activities'!Z27*'Indexed REC Calculator'!X40</f>
        <v>49421416.794846863</v>
      </c>
    </row>
    <row r="28" spans="1:24" ht="15.75" x14ac:dyDescent="0.25">
      <c r="A28" s="10" t="s">
        <v>82</v>
      </c>
      <c r="B28" s="9">
        <f t="shared" si="2"/>
        <v>2027</v>
      </c>
      <c r="C28" s="172">
        <f>'Indexed REC Activities'!E28*'Indexed REC Calculator'!C41</f>
        <v>0</v>
      </c>
      <c r="D28" s="172">
        <f>'Indexed REC Activities'!F28*'Indexed REC Calculator'!D41</f>
        <v>0</v>
      </c>
      <c r="E28" s="172">
        <f>'Indexed REC Activities'!G28*'Indexed REC Calculator'!E41</f>
        <v>0</v>
      </c>
      <c r="F28" s="172">
        <f>'Indexed REC Activities'!H28*'Indexed REC Calculator'!F41</f>
        <v>0</v>
      </c>
      <c r="G28" s="172">
        <f>'Indexed REC Activities'!I28*'Indexed REC Calculator'!G41</f>
        <v>0</v>
      </c>
      <c r="H28" s="172">
        <f>'Indexed REC Activities'!J28*'Indexed REC Calculator'!H41</f>
        <v>0</v>
      </c>
      <c r="I28" s="172">
        <f>'Indexed REC Activities'!K28*'Indexed REC Calculator'!I41</f>
        <v>0</v>
      </c>
      <c r="J28" s="172">
        <f>'Indexed REC Activities'!L28*'Indexed REC Calculator'!J41</f>
        <v>0</v>
      </c>
      <c r="K28" s="172">
        <f>'Indexed REC Activities'!M28*'Indexed REC Calculator'!K41</f>
        <v>43719211.309523799</v>
      </c>
      <c r="L28" s="172">
        <f>'Indexed REC Activities'!N28*'Indexed REC Calculator'!L41</f>
        <v>43601832.812499993</v>
      </c>
      <c r="M28" s="172">
        <f>'Indexed REC Activities'!O28*'Indexed REC Calculator'!M41</f>
        <v>44642687.579985127</v>
      </c>
      <c r="N28" s="172">
        <f>'Indexed REC Activities'!P28*'Indexed REC Calculator'!N41</f>
        <v>44598209.528258942</v>
      </c>
      <c r="O28" s="172">
        <f>'Indexed REC Activities'!Q28*'Indexed REC Calculator'!O41</f>
        <v>42112167.051027268</v>
      </c>
      <c r="P28" s="172">
        <f>'Indexed REC Activities'!R28*'Indexed REC Calculator'!P41</f>
        <v>39673336.966451712</v>
      </c>
      <c r="Q28" s="172">
        <f>'Indexed REC Activities'!S28*'Indexed REC Calculator'!Q41</f>
        <v>43828260.631517686</v>
      </c>
      <c r="R28" s="172">
        <f>'Indexed REC Activities'!T28*'Indexed REC Calculator'!R41</f>
        <v>45534916.350608736</v>
      </c>
      <c r="S28" s="172">
        <f>'Indexed REC Activities'!U28*'Indexed REC Calculator'!S41</f>
        <v>45835136.877889417</v>
      </c>
      <c r="T28" s="172">
        <f>'Indexed REC Activities'!V28*'Indexed REC Calculator'!T41</f>
        <v>47001005.220557429</v>
      </c>
      <c r="U28" s="172">
        <f>'Indexed REC Activities'!W28*'Indexed REC Calculator'!U41</f>
        <v>48039497.029559545</v>
      </c>
      <c r="V28" s="172">
        <f>'Indexed REC Activities'!X28*'Indexed REC Calculator'!V41</f>
        <v>48292488.290537439</v>
      </c>
      <c r="W28" s="172">
        <f>'Indexed REC Activities'!Y28*'Indexed REC Calculator'!W41</f>
        <v>48846052.557696484</v>
      </c>
      <c r="X28" s="172">
        <f>'Indexed REC Activities'!Z28*'Indexed REC Calculator'!X41</f>
        <v>49669765.62296167</v>
      </c>
    </row>
    <row r="29" spans="1:24" ht="15.75" x14ac:dyDescent="0.25">
      <c r="A29" s="10" t="s">
        <v>82</v>
      </c>
      <c r="B29" s="9">
        <f t="shared" si="2"/>
        <v>2028</v>
      </c>
      <c r="C29" s="172">
        <f>'Indexed REC Activities'!E29*'Indexed REC Calculator'!C42</f>
        <v>0</v>
      </c>
      <c r="D29" s="172">
        <f>'Indexed REC Activities'!F29*'Indexed REC Calculator'!D42</f>
        <v>0</v>
      </c>
      <c r="E29" s="172">
        <f>'Indexed REC Activities'!G29*'Indexed REC Calculator'!E42</f>
        <v>0</v>
      </c>
      <c r="F29" s="172">
        <f>'Indexed REC Activities'!H29*'Indexed REC Calculator'!F42</f>
        <v>0</v>
      </c>
      <c r="G29" s="172">
        <f>'Indexed REC Activities'!I29*'Indexed REC Calculator'!G42</f>
        <v>0</v>
      </c>
      <c r="H29" s="172">
        <f>'Indexed REC Activities'!J29*'Indexed REC Calculator'!H42</f>
        <v>0</v>
      </c>
      <c r="I29" s="172">
        <f>'Indexed REC Activities'!K29*'Indexed REC Calculator'!I42</f>
        <v>0</v>
      </c>
      <c r="J29" s="172">
        <f>'Indexed REC Activities'!L29*'Indexed REC Calculator'!J42</f>
        <v>0</v>
      </c>
      <c r="K29" s="172">
        <f>'Indexed REC Activities'!M29*'Indexed REC Calculator'!K42</f>
        <v>0</v>
      </c>
      <c r="L29" s="172">
        <f>'Indexed REC Activities'!N29*'Indexed REC Calculator'!L42</f>
        <v>29213958.333333332</v>
      </c>
      <c r="M29" s="172">
        <f>'Indexed REC Activities'!O29*'Indexed REC Calculator'!M42</f>
        <v>29911348.462301593</v>
      </c>
      <c r="N29" s="172">
        <f>'Indexed REC Activities'!P29*'Indexed REC Calculator'!N42</f>
        <v>29881547.422619056</v>
      </c>
      <c r="O29" s="172">
        <f>'Indexed REC Activities'!Q29*'Indexed REC Calculator'!O42</f>
        <v>28215857.320621286</v>
      </c>
      <c r="P29" s="172">
        <f>'Indexed REC Activities'!R29*'Indexed REC Calculator'!P42</f>
        <v>26581800.312530458</v>
      </c>
      <c r="Q29" s="172">
        <f>'Indexed REC Activities'!S29*'Indexed REC Calculator'!Q42</f>
        <v>29365668.764835965</v>
      </c>
      <c r="R29" s="172">
        <f>'Indexed REC Activities'!T29*'Indexed REC Calculator'!R42</f>
        <v>30509156.683824949</v>
      </c>
      <c r="S29" s="172">
        <f>'Indexed REC Activities'!U29*'Indexed REC Calculator'!S42</f>
        <v>30710309.465922557</v>
      </c>
      <c r="T29" s="172">
        <f>'Indexed REC Activities'!V29*'Indexed REC Calculator'!T42</f>
        <v>31491460.784293085</v>
      </c>
      <c r="U29" s="172">
        <f>'Indexed REC Activities'!W29*'Indexed REC Calculator'!U42</f>
        <v>32187267.691497181</v>
      </c>
      <c r="V29" s="172">
        <f>'Indexed REC Activities'!X29*'Indexed REC Calculator'!V42</f>
        <v>32356776.07406193</v>
      </c>
      <c r="W29" s="172">
        <f>'Indexed REC Activities'!Y29*'Indexed REC Calculator'!W42</f>
        <v>32727673.405491773</v>
      </c>
      <c r="X29" s="172">
        <f>'Indexed REC Activities'!Z29*'Indexed REC Calculator'!X42</f>
        <v>33279574.956758231</v>
      </c>
    </row>
    <row r="30" spans="1:24" ht="15.75" x14ac:dyDescent="0.25">
      <c r="A30" s="10" t="s">
        <v>82</v>
      </c>
      <c r="B30" s="9">
        <f t="shared" si="2"/>
        <v>2029</v>
      </c>
      <c r="C30" s="172">
        <f>'Indexed REC Activities'!E30*'Indexed REC Calculator'!C43</f>
        <v>0</v>
      </c>
      <c r="D30" s="172">
        <f>'Indexed REC Activities'!F30*'Indexed REC Calculator'!D43</f>
        <v>0</v>
      </c>
      <c r="E30" s="172">
        <f>'Indexed REC Activities'!G30*'Indexed REC Calculator'!E43</f>
        <v>0</v>
      </c>
      <c r="F30" s="172">
        <f>'Indexed REC Activities'!H30*'Indexed REC Calculator'!F43</f>
        <v>0</v>
      </c>
      <c r="G30" s="172">
        <f>'Indexed REC Activities'!I30*'Indexed REC Calculator'!G43</f>
        <v>0</v>
      </c>
      <c r="H30" s="172">
        <f>'Indexed REC Activities'!J30*'Indexed REC Calculator'!H43</f>
        <v>0</v>
      </c>
      <c r="I30" s="172">
        <f>'Indexed REC Activities'!K30*'Indexed REC Calculator'!I43</f>
        <v>0</v>
      </c>
      <c r="J30" s="172">
        <f>'Indexed REC Activities'!L30*'Indexed REC Calculator'!J43</f>
        <v>0</v>
      </c>
      <c r="K30" s="172">
        <f>'Indexed REC Activities'!M30*'Indexed REC Calculator'!K43</f>
        <v>0</v>
      </c>
      <c r="L30" s="172">
        <f>'Indexed REC Activities'!N30*'Indexed REC Calculator'!L43</f>
        <v>0</v>
      </c>
      <c r="M30" s="172">
        <f>'Indexed REC Activities'!O30*'Indexed REC Calculator'!M43</f>
        <v>30061656.74603175</v>
      </c>
      <c r="N30" s="172">
        <f>'Indexed REC Activities'!P30*'Indexed REC Calculator'!N43</f>
        <v>30031705.952380963</v>
      </c>
      <c r="O30" s="172">
        <f>'Indexed REC Activities'!Q30*'Indexed REC Calculator'!O43</f>
        <v>28357645.548363101</v>
      </c>
      <c r="P30" s="172">
        <f>'Indexed REC Activities'!R30*'Indexed REC Calculator'!P43</f>
        <v>26715377.198523074</v>
      </c>
      <c r="Q30" s="172">
        <f>'Indexed REC Activities'!S30*'Indexed REC Calculator'!Q43</f>
        <v>29513234.939533632</v>
      </c>
      <c r="R30" s="172">
        <f>'Indexed REC Activities'!T30*'Indexed REC Calculator'!R43</f>
        <v>30662469.028969798</v>
      </c>
      <c r="S30" s="172">
        <f>'Indexed REC Activities'!U30*'Indexed REC Calculator'!S43</f>
        <v>30864632.629067894</v>
      </c>
      <c r="T30" s="172">
        <f>'Indexed REC Activities'!V30*'Indexed REC Calculator'!T43</f>
        <v>31649709.330947824</v>
      </c>
      <c r="U30" s="172">
        <f>'Indexed REC Activities'!W30*'Indexed REC Calculator'!U43</f>
        <v>32349012.755273547</v>
      </c>
      <c r="V30" s="172">
        <f>'Indexed REC Activities'!X30*'Indexed REC Calculator'!V43</f>
        <v>32519372.938755713</v>
      </c>
      <c r="W30" s="172">
        <f>'Indexed REC Activities'!Y30*'Indexed REC Calculator'!W43</f>
        <v>32892134.075871132</v>
      </c>
      <c r="X30" s="172">
        <f>'Indexed REC Activities'!Z30*'Indexed REC Calculator'!X43</f>
        <v>33446809.001767065</v>
      </c>
    </row>
    <row r="31" spans="1:24" ht="15.75" x14ac:dyDescent="0.25">
      <c r="A31" s="10" t="s">
        <v>82</v>
      </c>
      <c r="B31" s="9">
        <f t="shared" si="2"/>
        <v>2030</v>
      </c>
      <c r="C31" s="172">
        <f>'Indexed REC Activities'!E31*'Indexed REC Calculator'!C44</f>
        <v>0</v>
      </c>
      <c r="D31" s="172">
        <f>'Indexed REC Activities'!F31*'Indexed REC Calculator'!D44</f>
        <v>0</v>
      </c>
      <c r="E31" s="172">
        <f>'Indexed REC Activities'!G31*'Indexed REC Calculator'!E44</f>
        <v>0</v>
      </c>
      <c r="F31" s="172">
        <f>'Indexed REC Activities'!H31*'Indexed REC Calculator'!F44</f>
        <v>0</v>
      </c>
      <c r="G31" s="172">
        <f>'Indexed REC Activities'!I31*'Indexed REC Calculator'!G44</f>
        <v>0</v>
      </c>
      <c r="H31" s="172">
        <f>'Indexed REC Activities'!J31*'Indexed REC Calculator'!H44</f>
        <v>0</v>
      </c>
      <c r="I31" s="172">
        <f>'Indexed REC Activities'!K31*'Indexed REC Calculator'!I44</f>
        <v>0</v>
      </c>
      <c r="J31" s="172">
        <f>'Indexed REC Activities'!L31*'Indexed REC Calculator'!J44</f>
        <v>0</v>
      </c>
      <c r="K31" s="172">
        <f>'Indexed REC Activities'!M31*'Indexed REC Calculator'!K44</f>
        <v>0</v>
      </c>
      <c r="L31" s="172">
        <f>'Indexed REC Activities'!N31*'Indexed REC Calculator'!L44</f>
        <v>0</v>
      </c>
      <c r="M31" s="172">
        <f>'Indexed REC Activities'!O31*'Indexed REC Calculator'!M44</f>
        <v>0</v>
      </c>
      <c r="N31" s="172">
        <f>'Indexed REC Activities'!P31*'Indexed REC Calculator'!N44</f>
        <v>22636964.285714291</v>
      </c>
      <c r="O31" s="172">
        <f>'Indexed REC Activities'!Q31*'Indexed REC Calculator'!O44</f>
        <v>21375109.709821433</v>
      </c>
      <c r="P31" s="172">
        <f>'Indexed REC Activities'!R31*'Indexed REC Calculator'!P44</f>
        <v>20137218.993861616</v>
      </c>
      <c r="Q31" s="172">
        <f>'Indexed REC Activities'!S31*'Indexed REC Calculator'!Q44</f>
        <v>22246156.989598215</v>
      </c>
      <c r="R31" s="172">
        <f>'Indexed REC Activities'!T31*'Indexed REC Calculator'!R44</f>
        <v>23112413.840932008</v>
      </c>
      <c r="S31" s="172">
        <f>'Indexed REC Activities'!U31*'Indexed REC Calculator'!S44</f>
        <v>23264798.464121532</v>
      </c>
      <c r="T31" s="172">
        <f>'Indexed REC Activities'!V31*'Indexed REC Calculator'!T44</f>
        <v>23856564.82232248</v>
      </c>
      <c r="U31" s="172">
        <f>'Indexed REC Activities'!W31*'Indexed REC Calculator'!U44</f>
        <v>24383677.956236344</v>
      </c>
      <c r="V31" s="172">
        <f>'Indexed REC Activities'!X31*'Indexed REC Calculator'!V44</f>
        <v>24512090.154840991</v>
      </c>
      <c r="W31" s="172">
        <f>'Indexed REC Activities'!Y31*'Indexed REC Calculator'!W44</f>
        <v>24793065.886335026</v>
      </c>
      <c r="X31" s="172">
        <f>'Indexed REC Activities'!Z31*'Indexed REC Calculator'!X44</f>
        <v>25211162.564146034</v>
      </c>
    </row>
    <row r="32" spans="1:24" ht="15.75" x14ac:dyDescent="0.25">
      <c r="A32" s="10" t="s">
        <v>82</v>
      </c>
      <c r="B32" s="9">
        <f t="shared" si="2"/>
        <v>2031</v>
      </c>
      <c r="C32" s="172">
        <f>'Indexed REC Activities'!E32*'Indexed REC Calculator'!C45</f>
        <v>0</v>
      </c>
      <c r="D32" s="172">
        <f>'Indexed REC Activities'!F32*'Indexed REC Calculator'!D45</f>
        <v>0</v>
      </c>
      <c r="E32" s="172">
        <f>'Indexed REC Activities'!G32*'Indexed REC Calculator'!E45</f>
        <v>0</v>
      </c>
      <c r="F32" s="172">
        <f>'Indexed REC Activities'!H32*'Indexed REC Calculator'!F45</f>
        <v>0</v>
      </c>
      <c r="G32" s="172">
        <f>'Indexed REC Activities'!I32*'Indexed REC Calculator'!G45</f>
        <v>0</v>
      </c>
      <c r="H32" s="172">
        <f>'Indexed REC Activities'!J32*'Indexed REC Calculator'!H45</f>
        <v>0</v>
      </c>
      <c r="I32" s="172">
        <f>'Indexed REC Activities'!K32*'Indexed REC Calculator'!I45</f>
        <v>0</v>
      </c>
      <c r="J32" s="172">
        <f>'Indexed REC Activities'!L32*'Indexed REC Calculator'!J45</f>
        <v>0</v>
      </c>
      <c r="K32" s="172">
        <f>'Indexed REC Activities'!M32*'Indexed REC Calculator'!K45</f>
        <v>0</v>
      </c>
      <c r="L32" s="172">
        <f>'Indexed REC Activities'!N32*'Indexed REC Calculator'!L45</f>
        <v>0</v>
      </c>
      <c r="M32" s="172">
        <f>'Indexed REC Activities'!O32*'Indexed REC Calculator'!M45</f>
        <v>0</v>
      </c>
      <c r="N32" s="172">
        <f>'Indexed REC Activities'!P32*'Indexed REC Calculator'!N45</f>
        <v>0</v>
      </c>
      <c r="O32" s="172">
        <f>'Indexed REC Activities'!Q32*'Indexed REC Calculator'!O45</f>
        <v>21482522.321428575</v>
      </c>
      <c r="P32" s="172">
        <f>'Indexed REC Activities'!R32*'Indexed REC Calculator'!P45</f>
        <v>20238411.049107149</v>
      </c>
      <c r="Q32" s="172">
        <f>'Indexed REC Activities'!S32*'Indexed REC Calculator'!Q45</f>
        <v>22357946.723214287</v>
      </c>
      <c r="R32" s="172">
        <f>'Indexed REC Activities'!T32*'Indexed REC Calculator'!R45</f>
        <v>23228556.624052271</v>
      </c>
      <c r="S32" s="172">
        <f>'Indexed REC Activities'!U32*'Indexed REC Calculator'!S45</f>
        <v>23381706.999117114</v>
      </c>
      <c r="T32" s="172">
        <f>'Indexed REC Activities'!V32*'Indexed REC Calculator'!T45</f>
        <v>23976447.057610534</v>
      </c>
      <c r="U32" s="172">
        <f>'Indexed REC Activities'!W32*'Indexed REC Calculator'!U45</f>
        <v>24506209.001242556</v>
      </c>
      <c r="V32" s="172">
        <f>'Indexed REC Activities'!X32*'Indexed REC Calculator'!V45</f>
        <v>24635266.487277377</v>
      </c>
      <c r="W32" s="172">
        <f>'Indexed REC Activities'!Y32*'Indexed REC Calculator'!W45</f>
        <v>24917654.15712063</v>
      </c>
      <c r="X32" s="172">
        <f>'Indexed REC Activities'!Z32*'Indexed REC Calculator'!X45</f>
        <v>25337851.823262345</v>
      </c>
    </row>
    <row r="33" spans="1:24" ht="15.75" x14ac:dyDescent="0.25">
      <c r="A33" s="10" t="s">
        <v>82</v>
      </c>
      <c r="B33" s="9">
        <f t="shared" si="2"/>
        <v>2032</v>
      </c>
      <c r="C33" s="172">
        <f>'Indexed REC Activities'!E33*'Indexed REC Calculator'!C46</f>
        <v>0</v>
      </c>
      <c r="D33" s="172">
        <f>'Indexed REC Activities'!F33*'Indexed REC Calculator'!D46</f>
        <v>0</v>
      </c>
      <c r="E33" s="172">
        <f>'Indexed REC Activities'!G33*'Indexed REC Calculator'!E46</f>
        <v>0</v>
      </c>
      <c r="F33" s="172">
        <f>'Indexed REC Activities'!H33*'Indexed REC Calculator'!F46</f>
        <v>0</v>
      </c>
      <c r="G33" s="172">
        <f>'Indexed REC Activities'!I33*'Indexed REC Calculator'!G46</f>
        <v>0</v>
      </c>
      <c r="H33" s="172">
        <f>'Indexed REC Activities'!J33*'Indexed REC Calculator'!H46</f>
        <v>0</v>
      </c>
      <c r="I33" s="172">
        <f>'Indexed REC Activities'!K33*'Indexed REC Calculator'!I46</f>
        <v>0</v>
      </c>
      <c r="J33" s="172">
        <f>'Indexed REC Activities'!L33*'Indexed REC Calculator'!J46</f>
        <v>0</v>
      </c>
      <c r="K33" s="172">
        <f>'Indexed REC Activities'!M33*'Indexed REC Calculator'!K46</f>
        <v>0</v>
      </c>
      <c r="L33" s="172">
        <f>'Indexed REC Activities'!N33*'Indexed REC Calculator'!L46</f>
        <v>0</v>
      </c>
      <c r="M33" s="172">
        <f>'Indexed REC Activities'!O33*'Indexed REC Calculator'!M46</f>
        <v>0</v>
      </c>
      <c r="N33" s="172">
        <f>'Indexed REC Activities'!P33*'Indexed REC Calculator'!N46</f>
        <v>0</v>
      </c>
      <c r="O33" s="172">
        <f>'Indexed REC Activities'!Q33*'Indexed REC Calculator'!O46</f>
        <v>0</v>
      </c>
      <c r="P33" s="172">
        <f>'Indexed REC Activities'!R33*'Indexed REC Calculator'!P46</f>
        <v>20340111.607142866</v>
      </c>
      <c r="Q33" s="172">
        <f>'Indexed REC Activities'!S33*'Indexed REC Calculator'!Q46</f>
        <v>22470298.214285716</v>
      </c>
      <c r="R33" s="172">
        <f>'Indexed REC Activities'!T33*'Indexed REC Calculator'!R46</f>
        <v>23345283.039248511</v>
      </c>
      <c r="S33" s="172">
        <f>'Indexed REC Activities'!U33*'Indexed REC Calculator'!S46</f>
        <v>23499203.014188055</v>
      </c>
      <c r="T33" s="172">
        <f>'Indexed REC Activities'!V33*'Indexed REC Calculator'!T46</f>
        <v>24096931.716191489</v>
      </c>
      <c r="U33" s="172">
        <f>'Indexed REC Activities'!W33*'Indexed REC Calculator'!U46</f>
        <v>24629355.780143272</v>
      </c>
      <c r="V33" s="172">
        <f>'Indexed REC Activities'!X33*'Indexed REC Calculator'!V46</f>
        <v>24759061.796258669</v>
      </c>
      <c r="W33" s="172">
        <f>'Indexed REC Activities'!Y33*'Indexed REC Calculator'!W46</f>
        <v>25042868.49961872</v>
      </c>
      <c r="X33" s="172">
        <f>'Indexed REC Activities'!Z33*'Indexed REC Calculator'!X46</f>
        <v>25465177.711821452</v>
      </c>
    </row>
    <row r="34" spans="1:24" ht="15.75" x14ac:dyDescent="0.25">
      <c r="A34" s="10" t="s">
        <v>82</v>
      </c>
      <c r="B34" s="9">
        <f t="shared" si="2"/>
        <v>2033</v>
      </c>
      <c r="C34" s="172">
        <f>'Indexed REC Activities'!E34*'Indexed REC Calculator'!C47</f>
        <v>0</v>
      </c>
      <c r="D34" s="172">
        <f>'Indexed REC Activities'!F34*'Indexed REC Calculator'!D47</f>
        <v>0</v>
      </c>
      <c r="E34" s="172">
        <f>'Indexed REC Activities'!G34*'Indexed REC Calculator'!E47</f>
        <v>0</v>
      </c>
      <c r="F34" s="172">
        <f>'Indexed REC Activities'!H34*'Indexed REC Calculator'!F47</f>
        <v>0</v>
      </c>
      <c r="G34" s="172">
        <f>'Indexed REC Activities'!I34*'Indexed REC Calculator'!G47</f>
        <v>0</v>
      </c>
      <c r="H34" s="172">
        <f>'Indexed REC Activities'!J34*'Indexed REC Calculator'!H47</f>
        <v>0</v>
      </c>
      <c r="I34" s="172">
        <f>'Indexed REC Activities'!K34*'Indexed REC Calculator'!I47</f>
        <v>0</v>
      </c>
      <c r="J34" s="172">
        <f>'Indexed REC Activities'!L34*'Indexed REC Calculator'!J47</f>
        <v>0</v>
      </c>
      <c r="K34" s="172">
        <f>'Indexed REC Activities'!M34*'Indexed REC Calculator'!K47</f>
        <v>0</v>
      </c>
      <c r="L34" s="172">
        <f>'Indexed REC Activities'!N34*'Indexed REC Calculator'!L47</f>
        <v>0</v>
      </c>
      <c r="M34" s="172">
        <f>'Indexed REC Activities'!O34*'Indexed REC Calculator'!M47</f>
        <v>0</v>
      </c>
      <c r="N34" s="172">
        <f>'Indexed REC Activities'!P34*'Indexed REC Calculator'!N47</f>
        <v>0</v>
      </c>
      <c r="O34" s="172">
        <f>'Indexed REC Activities'!Q34*'Indexed REC Calculator'!O47</f>
        <v>0</v>
      </c>
      <c r="P34" s="172">
        <f>'Indexed REC Activities'!R34*'Indexed REC Calculator'!P47</f>
        <v>0</v>
      </c>
      <c r="Q34" s="172">
        <f>'Indexed REC Activities'!S34*'Indexed REC Calculator'!Q47</f>
        <v>22583214.285714287</v>
      </c>
      <c r="R34" s="172">
        <f>'Indexed REC Activities'!T34*'Indexed REC Calculator'!R47</f>
        <v>23462596.019345239</v>
      </c>
      <c r="S34" s="172">
        <f>'Indexed REC Activities'!U34*'Indexed REC Calculator'!S47</f>
        <v>23617289.461495534</v>
      </c>
      <c r="T34" s="172">
        <f>'Indexed REC Activities'!V34*'Indexed REC Calculator'!T47</f>
        <v>24218021.825318079</v>
      </c>
      <c r="U34" s="172">
        <f>'Indexed REC Activities'!W34*'Indexed REC Calculator'!U47</f>
        <v>24753121.387078665</v>
      </c>
      <c r="V34" s="172">
        <f>'Indexed REC Activities'!X34*'Indexed REC Calculator'!V47</f>
        <v>24883479.192219768</v>
      </c>
      <c r="W34" s="172">
        <f>'Indexed REC Activities'!Y34*'Indexed REC Calculator'!W47</f>
        <v>25168712.059918314</v>
      </c>
      <c r="X34" s="172">
        <f>'Indexed REC Activities'!Z34*'Indexed REC Calculator'!X47</f>
        <v>25593143.428966284</v>
      </c>
    </row>
    <row r="35" spans="1:24" ht="15.75" x14ac:dyDescent="0.25">
      <c r="A35" s="10" t="s">
        <v>82</v>
      </c>
      <c r="B35" s="9">
        <f t="shared" si="2"/>
        <v>2034</v>
      </c>
      <c r="C35" s="172">
        <f>'Indexed REC Activities'!E35*'Indexed REC Calculator'!C48</f>
        <v>0</v>
      </c>
      <c r="D35" s="172">
        <f>'Indexed REC Activities'!F35*'Indexed REC Calculator'!D48</f>
        <v>0</v>
      </c>
      <c r="E35" s="172">
        <f>'Indexed REC Activities'!G35*'Indexed REC Calculator'!E48</f>
        <v>0</v>
      </c>
      <c r="F35" s="172">
        <f>'Indexed REC Activities'!H35*'Indexed REC Calculator'!F48</f>
        <v>0</v>
      </c>
      <c r="G35" s="172">
        <f>'Indexed REC Activities'!I35*'Indexed REC Calculator'!G48</f>
        <v>0</v>
      </c>
      <c r="H35" s="172">
        <f>'Indexed REC Activities'!J35*'Indexed REC Calculator'!H48</f>
        <v>0</v>
      </c>
      <c r="I35" s="172">
        <f>'Indexed REC Activities'!K35*'Indexed REC Calculator'!I48</f>
        <v>0</v>
      </c>
      <c r="J35" s="172">
        <f>'Indexed REC Activities'!L35*'Indexed REC Calculator'!J48</f>
        <v>0</v>
      </c>
      <c r="K35" s="172">
        <f>'Indexed REC Activities'!M35*'Indexed REC Calculator'!K48</f>
        <v>0</v>
      </c>
      <c r="L35" s="172">
        <f>'Indexed REC Activities'!N35*'Indexed REC Calculator'!L48</f>
        <v>0</v>
      </c>
      <c r="M35" s="172">
        <f>'Indexed REC Activities'!O35*'Indexed REC Calculator'!M48</f>
        <v>0</v>
      </c>
      <c r="N35" s="172">
        <f>'Indexed REC Activities'!P35*'Indexed REC Calculator'!N48</f>
        <v>0</v>
      </c>
      <c r="O35" s="172">
        <f>'Indexed REC Activities'!Q35*'Indexed REC Calculator'!O48</f>
        <v>0</v>
      </c>
      <c r="P35" s="172">
        <f>'Indexed REC Activities'!R35*'Indexed REC Calculator'!P48</f>
        <v>0</v>
      </c>
      <c r="Q35" s="172">
        <f>'Indexed REC Activities'!S35*'Indexed REC Calculator'!Q48</f>
        <v>0</v>
      </c>
      <c r="R35" s="172">
        <f>'Indexed REC Activities'!T35*'Indexed REC Calculator'!R48</f>
        <v>23580498.511904761</v>
      </c>
      <c r="S35" s="172">
        <f>'Indexed REC Activities'!U35*'Indexed REC Calculator'!S48</f>
        <v>23735969.308035709</v>
      </c>
      <c r="T35" s="172">
        <f>'Indexed REC Activities'!V35*'Indexed REC Calculator'!T48</f>
        <v>24339720.427455358</v>
      </c>
      <c r="U35" s="172">
        <f>'Indexed REC Activities'!W35*'Indexed REC Calculator'!U48</f>
        <v>24877508.931737352</v>
      </c>
      <c r="V35" s="172">
        <f>'Indexed REC Activities'!X35*'Indexed REC Calculator'!V48</f>
        <v>25008521.801225897</v>
      </c>
      <c r="W35" s="172">
        <f>'Indexed REC Activities'!Y35*'Indexed REC Calculator'!W48</f>
        <v>25295187.999917902</v>
      </c>
      <c r="X35" s="172">
        <f>'Indexed REC Activities'!Z35*'Indexed REC Calculator'!X48</f>
        <v>25721752.189915862</v>
      </c>
    </row>
    <row r="36" spans="1:24" ht="15.75" x14ac:dyDescent="0.25">
      <c r="A36" s="10" t="s">
        <v>82</v>
      </c>
      <c r="B36" s="9">
        <f t="shared" si="2"/>
        <v>2035</v>
      </c>
      <c r="C36" s="172">
        <f>'Indexed REC Activities'!E36*'Indexed REC Calculator'!C49</f>
        <v>0</v>
      </c>
      <c r="D36" s="172">
        <f>'Indexed REC Activities'!F36*'Indexed REC Calculator'!D49</f>
        <v>0</v>
      </c>
      <c r="E36" s="172">
        <f>'Indexed REC Activities'!G36*'Indexed REC Calculator'!E49</f>
        <v>0</v>
      </c>
      <c r="F36" s="172">
        <f>'Indexed REC Activities'!H36*'Indexed REC Calculator'!F49</f>
        <v>0</v>
      </c>
      <c r="G36" s="172">
        <f>'Indexed REC Activities'!I36*'Indexed REC Calculator'!G49</f>
        <v>0</v>
      </c>
      <c r="H36" s="172">
        <f>'Indexed REC Activities'!J36*'Indexed REC Calculator'!H49</f>
        <v>0</v>
      </c>
      <c r="I36" s="172">
        <f>'Indexed REC Activities'!K36*'Indexed REC Calculator'!I49</f>
        <v>0</v>
      </c>
      <c r="J36" s="172">
        <f>'Indexed REC Activities'!L36*'Indexed REC Calculator'!J49</f>
        <v>0</v>
      </c>
      <c r="K36" s="172">
        <f>'Indexed REC Activities'!M36*'Indexed REC Calculator'!K49</f>
        <v>0</v>
      </c>
      <c r="L36" s="172">
        <f>'Indexed REC Activities'!N36*'Indexed REC Calculator'!L49</f>
        <v>0</v>
      </c>
      <c r="M36" s="172">
        <f>'Indexed REC Activities'!O36*'Indexed REC Calculator'!M49</f>
        <v>0</v>
      </c>
      <c r="N36" s="172">
        <f>'Indexed REC Activities'!P36*'Indexed REC Calculator'!N49</f>
        <v>0</v>
      </c>
      <c r="O36" s="172">
        <f>'Indexed REC Activities'!Q36*'Indexed REC Calculator'!O49</f>
        <v>0</v>
      </c>
      <c r="P36" s="172">
        <f>'Indexed REC Activities'!R36*'Indexed REC Calculator'!P49</f>
        <v>0</v>
      </c>
      <c r="Q36" s="172">
        <f>'Indexed REC Activities'!S36*'Indexed REC Calculator'!Q49</f>
        <v>0</v>
      </c>
      <c r="R36" s="172">
        <f>'Indexed REC Activities'!T36*'Indexed REC Calculator'!R49</f>
        <v>0</v>
      </c>
      <c r="S36" s="172">
        <f>'Indexed REC Activities'!U36*'Indexed REC Calculator'!S49</f>
        <v>23855245.535714284</v>
      </c>
      <c r="T36" s="172">
        <f>'Indexed REC Activities'!V36*'Indexed REC Calculator'!T49</f>
        <v>24462030.580357142</v>
      </c>
      <c r="U36" s="172">
        <f>'Indexed REC Activities'!W36*'Indexed REC Calculator'!U49</f>
        <v>25002521.539434522</v>
      </c>
      <c r="V36" s="172">
        <f>'Indexed REC Activities'!X36*'Indexed REC Calculator'!V49</f>
        <v>25134192.765051153</v>
      </c>
      <c r="W36" s="172">
        <f>'Indexed REC Activities'!Y36*'Indexed REC Calculator'!W49</f>
        <v>25422299.497404926</v>
      </c>
      <c r="X36" s="172">
        <f>'Indexed REC Activities'!Z36*'Indexed REC Calculator'!X49</f>
        <v>25851007.226046093</v>
      </c>
    </row>
    <row r="37" spans="1:24" ht="15.75" x14ac:dyDescent="0.25">
      <c r="A37" s="10" t="s">
        <v>82</v>
      </c>
      <c r="B37" s="9">
        <f t="shared" si="2"/>
        <v>2036</v>
      </c>
      <c r="C37" s="172">
        <f>'Indexed REC Activities'!E37*'Indexed REC Calculator'!C50</f>
        <v>0</v>
      </c>
      <c r="D37" s="172">
        <f>'Indexed REC Activities'!F37*'Indexed REC Calculator'!D50</f>
        <v>0</v>
      </c>
      <c r="E37" s="172">
        <f>'Indexed REC Activities'!G37*'Indexed REC Calculator'!E50</f>
        <v>0</v>
      </c>
      <c r="F37" s="172">
        <f>'Indexed REC Activities'!H37*'Indexed REC Calculator'!F50</f>
        <v>0</v>
      </c>
      <c r="G37" s="172">
        <f>'Indexed REC Activities'!I37*'Indexed REC Calculator'!G50</f>
        <v>0</v>
      </c>
      <c r="H37" s="172">
        <f>'Indexed REC Activities'!J37*'Indexed REC Calculator'!H50</f>
        <v>0</v>
      </c>
      <c r="I37" s="172">
        <f>'Indexed REC Activities'!K37*'Indexed REC Calculator'!I50</f>
        <v>0</v>
      </c>
      <c r="J37" s="172">
        <f>'Indexed REC Activities'!L37*'Indexed REC Calculator'!J50</f>
        <v>0</v>
      </c>
      <c r="K37" s="172">
        <f>'Indexed REC Activities'!M37*'Indexed REC Calculator'!K50</f>
        <v>0</v>
      </c>
      <c r="L37" s="172">
        <f>'Indexed REC Activities'!N37*'Indexed REC Calculator'!L50</f>
        <v>0</v>
      </c>
      <c r="M37" s="172">
        <f>'Indexed REC Activities'!O37*'Indexed REC Calculator'!M50</f>
        <v>0</v>
      </c>
      <c r="N37" s="172">
        <f>'Indexed REC Activities'!P37*'Indexed REC Calculator'!N50</f>
        <v>0</v>
      </c>
      <c r="O37" s="172">
        <f>'Indexed REC Activities'!Q37*'Indexed REC Calculator'!O50</f>
        <v>0</v>
      </c>
      <c r="P37" s="172">
        <f>'Indexed REC Activities'!R37*'Indexed REC Calculator'!P50</f>
        <v>0</v>
      </c>
      <c r="Q37" s="172">
        <f>'Indexed REC Activities'!S37*'Indexed REC Calculator'!Q50</f>
        <v>0</v>
      </c>
      <c r="R37" s="172">
        <f>'Indexed REC Activities'!T37*'Indexed REC Calculator'!R50</f>
        <v>0</v>
      </c>
      <c r="S37" s="172">
        <f>'Indexed REC Activities'!U37*'Indexed REC Calculator'!S50</f>
        <v>0</v>
      </c>
      <c r="T37" s="172">
        <f>'Indexed REC Activities'!V37*'Indexed REC Calculator'!T50</f>
        <v>24584955.357142858</v>
      </c>
      <c r="U37" s="172">
        <f>'Indexed REC Activities'!W37*'Indexed REC Calculator'!U50</f>
        <v>25128162.351190478</v>
      </c>
      <c r="V37" s="172">
        <f>'Indexed REC Activities'!X37*'Indexed REC Calculator'!V50</f>
        <v>25260495.24125744</v>
      </c>
      <c r="W37" s="172">
        <f>'Indexed REC Activities'!Y37*'Indexed REC Calculator'!W50</f>
        <v>25550049.746135604</v>
      </c>
      <c r="X37" s="172">
        <f>'Indexed REC Activities'!Z37*'Indexed REC Calculator'!X50</f>
        <v>25980911.784970947</v>
      </c>
    </row>
    <row r="38" spans="1:24" ht="15.75" x14ac:dyDescent="0.25">
      <c r="A38" s="10" t="s">
        <v>82</v>
      </c>
      <c r="B38" s="9">
        <f t="shared" si="2"/>
        <v>2037</v>
      </c>
      <c r="C38" s="172">
        <f>'Indexed REC Activities'!E38*'Indexed REC Calculator'!C51</f>
        <v>0</v>
      </c>
      <c r="D38" s="172">
        <f>'Indexed REC Activities'!F38*'Indexed REC Calculator'!D51</f>
        <v>0</v>
      </c>
      <c r="E38" s="172">
        <f>'Indexed REC Activities'!G38*'Indexed REC Calculator'!E51</f>
        <v>0</v>
      </c>
      <c r="F38" s="172">
        <f>'Indexed REC Activities'!H38*'Indexed REC Calculator'!F51</f>
        <v>0</v>
      </c>
      <c r="G38" s="172">
        <f>'Indexed REC Activities'!I38*'Indexed REC Calculator'!G51</f>
        <v>0</v>
      </c>
      <c r="H38" s="172">
        <f>'Indexed REC Activities'!J38*'Indexed REC Calculator'!H51</f>
        <v>0</v>
      </c>
      <c r="I38" s="172">
        <f>'Indexed REC Activities'!K38*'Indexed REC Calculator'!I51</f>
        <v>0</v>
      </c>
      <c r="J38" s="172">
        <f>'Indexed REC Activities'!L38*'Indexed REC Calculator'!J51</f>
        <v>0</v>
      </c>
      <c r="K38" s="172">
        <f>'Indexed REC Activities'!M38*'Indexed REC Calculator'!K51</f>
        <v>0</v>
      </c>
      <c r="L38" s="172">
        <f>'Indexed REC Activities'!N38*'Indexed REC Calculator'!L51</f>
        <v>0</v>
      </c>
      <c r="M38" s="172">
        <f>'Indexed REC Activities'!O38*'Indexed REC Calculator'!M51</f>
        <v>0</v>
      </c>
      <c r="N38" s="172">
        <f>'Indexed REC Activities'!P38*'Indexed REC Calculator'!N51</f>
        <v>0</v>
      </c>
      <c r="O38" s="172">
        <f>'Indexed REC Activities'!Q38*'Indexed REC Calculator'!O51</f>
        <v>0</v>
      </c>
      <c r="P38" s="172">
        <f>'Indexed REC Activities'!R38*'Indexed REC Calculator'!P51</f>
        <v>0</v>
      </c>
      <c r="Q38" s="172">
        <f>'Indexed REC Activities'!S38*'Indexed REC Calculator'!Q51</f>
        <v>0</v>
      </c>
      <c r="R38" s="172">
        <f>'Indexed REC Activities'!T38*'Indexed REC Calculator'!R51</f>
        <v>0</v>
      </c>
      <c r="S38" s="172">
        <f>'Indexed REC Activities'!U38*'Indexed REC Calculator'!S51</f>
        <v>0</v>
      </c>
      <c r="T38" s="172">
        <f>'Indexed REC Activities'!V38*'Indexed REC Calculator'!T51</f>
        <v>0</v>
      </c>
      <c r="U38" s="172">
        <f>'Indexed REC Activities'!W38*'Indexed REC Calculator'!U51</f>
        <v>25254434.523809522</v>
      </c>
      <c r="V38" s="172">
        <f>'Indexed REC Activities'!X38*'Indexed REC Calculator'!V51</f>
        <v>25387432.40327381</v>
      </c>
      <c r="W38" s="172">
        <f>'Indexed REC Activities'!Y38*'Indexed REC Calculator'!W51</f>
        <v>25678441.955915179</v>
      </c>
      <c r="X38" s="172">
        <f>'Indexed REC Activities'!Z38*'Indexed REC Calculator'!X51</f>
        <v>26111469.130624067</v>
      </c>
    </row>
    <row r="39" spans="1:24" ht="15.75" x14ac:dyDescent="0.25">
      <c r="A39" s="10" t="s">
        <v>82</v>
      </c>
      <c r="B39" s="9">
        <f t="shared" si="2"/>
        <v>2038</v>
      </c>
      <c r="C39" s="172">
        <f>'Indexed REC Activities'!E39*'Indexed REC Calculator'!C52</f>
        <v>0</v>
      </c>
      <c r="D39" s="172">
        <f>'Indexed REC Activities'!F39*'Indexed REC Calculator'!D52</f>
        <v>0</v>
      </c>
      <c r="E39" s="172">
        <f>'Indexed REC Activities'!G39*'Indexed REC Calculator'!E52</f>
        <v>0</v>
      </c>
      <c r="F39" s="172">
        <f>'Indexed REC Activities'!H39*'Indexed REC Calculator'!F52</f>
        <v>0</v>
      </c>
      <c r="G39" s="172">
        <f>'Indexed REC Activities'!I39*'Indexed REC Calculator'!G52</f>
        <v>0</v>
      </c>
      <c r="H39" s="172">
        <f>'Indexed REC Activities'!J39*'Indexed REC Calculator'!H52</f>
        <v>0</v>
      </c>
      <c r="I39" s="172">
        <f>'Indexed REC Activities'!K39*'Indexed REC Calculator'!I52</f>
        <v>0</v>
      </c>
      <c r="J39" s="172">
        <f>'Indexed REC Activities'!L39*'Indexed REC Calculator'!J52</f>
        <v>0</v>
      </c>
      <c r="K39" s="172">
        <f>'Indexed REC Activities'!M39*'Indexed REC Calculator'!K52</f>
        <v>0</v>
      </c>
      <c r="L39" s="172">
        <f>'Indexed REC Activities'!N39*'Indexed REC Calculator'!L52</f>
        <v>0</v>
      </c>
      <c r="M39" s="172">
        <f>'Indexed REC Activities'!O39*'Indexed REC Calculator'!M52</f>
        <v>0</v>
      </c>
      <c r="N39" s="172">
        <f>'Indexed REC Activities'!P39*'Indexed REC Calculator'!N52</f>
        <v>0</v>
      </c>
      <c r="O39" s="172">
        <f>'Indexed REC Activities'!Q39*'Indexed REC Calculator'!O52</f>
        <v>0</v>
      </c>
      <c r="P39" s="172">
        <f>'Indexed REC Activities'!R39*'Indexed REC Calculator'!P52</f>
        <v>0</v>
      </c>
      <c r="Q39" s="172">
        <f>'Indexed REC Activities'!S39*'Indexed REC Calculator'!Q52</f>
        <v>0</v>
      </c>
      <c r="R39" s="172">
        <f>'Indexed REC Activities'!T39*'Indexed REC Calculator'!R52</f>
        <v>0</v>
      </c>
      <c r="S39" s="172">
        <f>'Indexed REC Activities'!U39*'Indexed REC Calculator'!S52</f>
        <v>0</v>
      </c>
      <c r="T39" s="172">
        <f>'Indexed REC Activities'!V39*'Indexed REC Calculator'!T52</f>
        <v>0</v>
      </c>
      <c r="U39" s="172">
        <f>'Indexed REC Activities'!W39*'Indexed REC Calculator'!U52</f>
        <v>0</v>
      </c>
      <c r="V39" s="172">
        <f>'Indexed REC Activities'!X39*'Indexed REC Calculator'!V52</f>
        <v>25515007.44047619</v>
      </c>
      <c r="W39" s="172">
        <f>'Indexed REC Activities'!Y39*'Indexed REC Calculator'!W52</f>
        <v>25807479.352678571</v>
      </c>
      <c r="X39" s="172">
        <f>'Indexed REC Activities'!Z39*'Indexed REC Calculator'!X52</f>
        <v>26242682.543340769</v>
      </c>
    </row>
    <row r="40" spans="1:24" ht="15.75" x14ac:dyDescent="0.25">
      <c r="A40" s="10" t="s">
        <v>82</v>
      </c>
      <c r="B40" s="9">
        <f t="shared" si="2"/>
        <v>2039</v>
      </c>
      <c r="C40" s="172">
        <f>'Indexed REC Activities'!E40*'Indexed REC Calculator'!C53</f>
        <v>0</v>
      </c>
      <c r="D40" s="172">
        <f>'Indexed REC Activities'!F40*'Indexed REC Calculator'!D53</f>
        <v>0</v>
      </c>
      <c r="E40" s="172">
        <f>'Indexed REC Activities'!G40*'Indexed REC Calculator'!E53</f>
        <v>0</v>
      </c>
      <c r="F40" s="172">
        <f>'Indexed REC Activities'!H40*'Indexed REC Calculator'!F53</f>
        <v>0</v>
      </c>
      <c r="G40" s="172">
        <f>'Indexed REC Activities'!I40*'Indexed REC Calculator'!G53</f>
        <v>0</v>
      </c>
      <c r="H40" s="172">
        <f>'Indexed REC Activities'!J40*'Indexed REC Calculator'!H53</f>
        <v>0</v>
      </c>
      <c r="I40" s="172">
        <f>'Indexed REC Activities'!K40*'Indexed REC Calculator'!I53</f>
        <v>0</v>
      </c>
      <c r="J40" s="172">
        <f>'Indexed REC Activities'!L40*'Indexed REC Calculator'!J53</f>
        <v>0</v>
      </c>
      <c r="K40" s="172">
        <f>'Indexed REC Activities'!M40*'Indexed REC Calculator'!K53</f>
        <v>0</v>
      </c>
      <c r="L40" s="172">
        <f>'Indexed REC Activities'!N40*'Indexed REC Calculator'!L53</f>
        <v>0</v>
      </c>
      <c r="M40" s="172">
        <f>'Indexed REC Activities'!O40*'Indexed REC Calculator'!M53</f>
        <v>0</v>
      </c>
      <c r="N40" s="172">
        <f>'Indexed REC Activities'!P40*'Indexed REC Calculator'!N53</f>
        <v>0</v>
      </c>
      <c r="O40" s="172">
        <f>'Indexed REC Activities'!Q40*'Indexed REC Calculator'!O53</f>
        <v>0</v>
      </c>
      <c r="P40" s="172">
        <f>'Indexed REC Activities'!R40*'Indexed REC Calculator'!P53</f>
        <v>0</v>
      </c>
      <c r="Q40" s="172">
        <f>'Indexed REC Activities'!S40*'Indexed REC Calculator'!Q53</f>
        <v>0</v>
      </c>
      <c r="R40" s="172">
        <f>'Indexed REC Activities'!T40*'Indexed REC Calculator'!R53</f>
        <v>0</v>
      </c>
      <c r="S40" s="172">
        <f>'Indexed REC Activities'!U40*'Indexed REC Calculator'!S53</f>
        <v>0</v>
      </c>
      <c r="T40" s="172">
        <f>'Indexed REC Activities'!V40*'Indexed REC Calculator'!T53</f>
        <v>0</v>
      </c>
      <c r="U40" s="172">
        <f>'Indexed REC Activities'!W40*'Indexed REC Calculator'!U53</f>
        <v>0</v>
      </c>
      <c r="V40" s="172">
        <f>'Indexed REC Activities'!X40*'Indexed REC Calculator'!V53</f>
        <v>0</v>
      </c>
      <c r="W40" s="172">
        <f>'Indexed REC Activities'!Y40*'Indexed REC Calculator'!W53</f>
        <v>25937165.178571429</v>
      </c>
      <c r="X40" s="172">
        <f>'Indexed REC Activities'!Z40*'Indexed REC Calculator'!X53</f>
        <v>26507090.773809519</v>
      </c>
    </row>
    <row r="41" spans="1:24" ht="15.75" x14ac:dyDescent="0.25">
      <c r="A41" s="10" t="s">
        <v>82</v>
      </c>
      <c r="B41" s="9">
        <f t="shared" si="2"/>
        <v>2040</v>
      </c>
      <c r="C41" s="172">
        <f>'Indexed REC Activities'!E41*'Indexed REC Calculator'!C54</f>
        <v>0</v>
      </c>
      <c r="D41" s="172">
        <f>'Indexed REC Activities'!F41*'Indexed REC Calculator'!D54</f>
        <v>0</v>
      </c>
      <c r="E41" s="172">
        <f>'Indexed REC Activities'!G41*'Indexed REC Calculator'!E54</f>
        <v>0</v>
      </c>
      <c r="F41" s="172">
        <f>'Indexed REC Activities'!H41*'Indexed REC Calculator'!F54</f>
        <v>0</v>
      </c>
      <c r="G41" s="172">
        <f>'Indexed REC Activities'!I41*'Indexed REC Calculator'!G54</f>
        <v>0</v>
      </c>
      <c r="H41" s="172">
        <f>'Indexed REC Activities'!J41*'Indexed REC Calculator'!H54</f>
        <v>0</v>
      </c>
      <c r="I41" s="172">
        <f>'Indexed REC Activities'!K41*'Indexed REC Calculator'!I54</f>
        <v>0</v>
      </c>
      <c r="J41" s="172">
        <f>'Indexed REC Activities'!L41*'Indexed REC Calculator'!J54</f>
        <v>0</v>
      </c>
      <c r="K41" s="172">
        <f>'Indexed REC Activities'!M41*'Indexed REC Calculator'!K54</f>
        <v>0</v>
      </c>
      <c r="L41" s="172">
        <f>'Indexed REC Activities'!N41*'Indexed REC Calculator'!L54</f>
        <v>0</v>
      </c>
      <c r="M41" s="172">
        <f>'Indexed REC Activities'!O41*'Indexed REC Calculator'!M54</f>
        <v>0</v>
      </c>
      <c r="N41" s="172">
        <f>'Indexed REC Activities'!P41*'Indexed REC Calculator'!N54</f>
        <v>0</v>
      </c>
      <c r="O41" s="172">
        <f>'Indexed REC Activities'!Q41*'Indexed REC Calculator'!O54</f>
        <v>0</v>
      </c>
      <c r="P41" s="172">
        <f>'Indexed REC Activities'!R41*'Indexed REC Calculator'!P54</f>
        <v>0</v>
      </c>
      <c r="Q41" s="172">
        <f>'Indexed REC Activities'!S41*'Indexed REC Calculator'!Q54</f>
        <v>0</v>
      </c>
      <c r="R41" s="172">
        <f>'Indexed REC Activities'!T41*'Indexed REC Calculator'!R54</f>
        <v>0</v>
      </c>
      <c r="S41" s="172">
        <f>'Indexed REC Activities'!U41*'Indexed REC Calculator'!S54</f>
        <v>0</v>
      </c>
      <c r="T41" s="172">
        <f>'Indexed REC Activities'!V41*'Indexed REC Calculator'!T54</f>
        <v>0</v>
      </c>
      <c r="U41" s="172">
        <f>'Indexed REC Activities'!W41*'Indexed REC Calculator'!U54</f>
        <v>0</v>
      </c>
      <c r="V41" s="172">
        <f>'Indexed REC Activities'!X41*'Indexed REC Calculator'!V54</f>
        <v>0</v>
      </c>
      <c r="W41" s="172">
        <f>'Indexed REC Activities'!Y41*'Indexed REC Calculator'!W54</f>
        <v>0</v>
      </c>
      <c r="X41" s="172">
        <f>'Indexed REC Activities'!Z41*'Indexed REC Calculator'!X54</f>
        <v>26507090.773809519</v>
      </c>
    </row>
    <row r="42" spans="1:24" ht="15.75" x14ac:dyDescent="0.25">
      <c r="A42" s="10" t="s">
        <v>82</v>
      </c>
      <c r="B42" s="9">
        <f t="shared" si="2"/>
        <v>2041</v>
      </c>
      <c r="C42" s="172">
        <f>'Indexed REC Activities'!E42*'Indexed REC Calculator'!C55</f>
        <v>0</v>
      </c>
      <c r="D42" s="172">
        <f>'Indexed REC Activities'!F42*'Indexed REC Calculator'!D55</f>
        <v>0</v>
      </c>
      <c r="E42" s="172">
        <f>'Indexed REC Activities'!G42*'Indexed REC Calculator'!E55</f>
        <v>0</v>
      </c>
      <c r="F42" s="172">
        <f>'Indexed REC Activities'!H42*'Indexed REC Calculator'!F55</f>
        <v>0</v>
      </c>
      <c r="G42" s="172">
        <f>'Indexed REC Activities'!I42*'Indexed REC Calculator'!G55</f>
        <v>0</v>
      </c>
      <c r="H42" s="172">
        <f>'Indexed REC Activities'!J42*'Indexed REC Calculator'!H55</f>
        <v>0</v>
      </c>
      <c r="I42" s="172">
        <f>'Indexed REC Activities'!K42*'Indexed REC Calculator'!I55</f>
        <v>0</v>
      </c>
      <c r="J42" s="172">
        <f>'Indexed REC Activities'!L42*'Indexed REC Calculator'!J55</f>
        <v>0</v>
      </c>
      <c r="K42" s="172">
        <f>'Indexed REC Activities'!M42*'Indexed REC Calculator'!K55</f>
        <v>0</v>
      </c>
      <c r="L42" s="172">
        <f>'Indexed REC Activities'!N42*'Indexed REC Calculator'!L55</f>
        <v>0</v>
      </c>
      <c r="M42" s="172">
        <f>'Indexed REC Activities'!O42*'Indexed REC Calculator'!M55</f>
        <v>0</v>
      </c>
      <c r="N42" s="172">
        <f>'Indexed REC Activities'!P42*'Indexed REC Calculator'!N55</f>
        <v>0</v>
      </c>
      <c r="O42" s="172">
        <f>'Indexed REC Activities'!Q42*'Indexed REC Calculator'!O55</f>
        <v>0</v>
      </c>
      <c r="P42" s="172">
        <f>'Indexed REC Activities'!R42*'Indexed REC Calculator'!P55</f>
        <v>0</v>
      </c>
      <c r="Q42" s="172">
        <f>'Indexed REC Activities'!S42*'Indexed REC Calculator'!Q55</f>
        <v>0</v>
      </c>
      <c r="R42" s="172">
        <f>'Indexed REC Activities'!T42*'Indexed REC Calculator'!R55</f>
        <v>0</v>
      </c>
      <c r="S42" s="172">
        <f>'Indexed REC Activities'!U42*'Indexed REC Calculator'!S55</f>
        <v>0</v>
      </c>
      <c r="T42" s="172">
        <f>'Indexed REC Activities'!V42*'Indexed REC Calculator'!T55</f>
        <v>0</v>
      </c>
      <c r="U42" s="172">
        <f>'Indexed REC Activities'!W42*'Indexed REC Calculator'!U55</f>
        <v>0</v>
      </c>
      <c r="V42" s="172">
        <f>'Indexed REC Activities'!X42*'Indexed REC Calculator'!V55</f>
        <v>0</v>
      </c>
      <c r="W42" s="172">
        <f>'Indexed REC Activities'!Y42*'Indexed REC Calculator'!W55</f>
        <v>0</v>
      </c>
      <c r="X42" s="172">
        <f>'Indexed REC Activities'!Z42*'Indexed REC Calculator'!X55</f>
        <v>0</v>
      </c>
    </row>
    <row r="43" spans="1:24" ht="15.75" x14ac:dyDescent="0.25">
      <c r="A43" s="10" t="s">
        <v>82</v>
      </c>
      <c r="B43" s="9">
        <f t="shared" si="2"/>
        <v>2042</v>
      </c>
      <c r="C43" s="172">
        <f>'Indexed REC Activities'!E43*'Indexed REC Calculator'!C56</f>
        <v>0</v>
      </c>
      <c r="D43" s="172">
        <f>'Indexed REC Activities'!F43*'Indexed REC Calculator'!D56</f>
        <v>0</v>
      </c>
      <c r="E43" s="172">
        <f>'Indexed REC Activities'!G43*'Indexed REC Calculator'!E56</f>
        <v>0</v>
      </c>
      <c r="F43" s="172">
        <f>'Indexed REC Activities'!H43*'Indexed REC Calculator'!F56</f>
        <v>0</v>
      </c>
      <c r="G43" s="172">
        <f>'Indexed REC Activities'!I43*'Indexed REC Calculator'!G56</f>
        <v>0</v>
      </c>
      <c r="H43" s="172">
        <f>'Indexed REC Activities'!J43*'Indexed REC Calculator'!H56</f>
        <v>0</v>
      </c>
      <c r="I43" s="172">
        <f>'Indexed REC Activities'!K43*'Indexed REC Calculator'!I56</f>
        <v>0</v>
      </c>
      <c r="J43" s="172">
        <f>'Indexed REC Activities'!L43*'Indexed REC Calculator'!J56</f>
        <v>0</v>
      </c>
      <c r="K43" s="172">
        <f>'Indexed REC Activities'!M43*'Indexed REC Calculator'!K56</f>
        <v>0</v>
      </c>
      <c r="L43" s="172">
        <f>'Indexed REC Activities'!N43*'Indexed REC Calculator'!L56</f>
        <v>0</v>
      </c>
      <c r="M43" s="172">
        <f>'Indexed REC Activities'!O43*'Indexed REC Calculator'!M56</f>
        <v>0</v>
      </c>
      <c r="N43" s="172">
        <f>'Indexed REC Activities'!P43*'Indexed REC Calculator'!N56</f>
        <v>0</v>
      </c>
      <c r="O43" s="172">
        <f>'Indexed REC Activities'!Q43*'Indexed REC Calculator'!O56</f>
        <v>0</v>
      </c>
      <c r="P43" s="172">
        <f>'Indexed REC Activities'!R43*'Indexed REC Calculator'!P56</f>
        <v>0</v>
      </c>
      <c r="Q43" s="172">
        <f>'Indexed REC Activities'!S43*'Indexed REC Calculator'!Q56</f>
        <v>0</v>
      </c>
      <c r="R43" s="172">
        <f>'Indexed REC Activities'!T43*'Indexed REC Calculator'!R56</f>
        <v>0</v>
      </c>
      <c r="S43" s="172">
        <f>'Indexed REC Activities'!U43*'Indexed REC Calculator'!S56</f>
        <v>0</v>
      </c>
      <c r="T43" s="172">
        <f>'Indexed REC Activities'!V43*'Indexed REC Calculator'!T56</f>
        <v>0</v>
      </c>
      <c r="U43" s="172">
        <f>'Indexed REC Activities'!W43*'Indexed REC Calculator'!U56</f>
        <v>0</v>
      </c>
      <c r="V43" s="172">
        <f>'Indexed REC Activities'!X43*'Indexed REC Calculator'!V56</f>
        <v>0</v>
      </c>
      <c r="W43" s="172">
        <f>'Indexed REC Activities'!Y43*'Indexed REC Calculator'!W56</f>
        <v>0</v>
      </c>
      <c r="X43" s="172">
        <f>'Indexed REC Activities'!Z43*'Indexed REC Calculator'!X56</f>
        <v>0</v>
      </c>
    </row>
    <row r="44" spans="1:24" ht="15.75" x14ac:dyDescent="0.25">
      <c r="A44" s="10" t="s">
        <v>77</v>
      </c>
      <c r="B44" s="9">
        <v>2022</v>
      </c>
      <c r="C44" s="172">
        <f>'Indexed REC Activities'!E44*'Indexed REC Calculator'!C57</f>
        <v>0</v>
      </c>
      <c r="D44" s="172">
        <f>'Indexed REC Activities'!F44*'Indexed REC Calculator'!D57</f>
        <v>0</v>
      </c>
      <c r="E44" s="172">
        <f>'Indexed REC Activities'!G44*'Indexed REC Calculator'!E57</f>
        <v>0</v>
      </c>
      <c r="F44" s="172">
        <f>'Indexed REC Activities'!H44*'Indexed REC Calculator'!F63</f>
        <v>44325.176186843986</v>
      </c>
      <c r="G44" s="172">
        <f>'Indexed REC Activities'!I44*'Indexed REC Calculator'!G63</f>
        <v>699298.11266848026</v>
      </c>
      <c r="H44" s="172">
        <f>'Indexed REC Activities'!J44*'Indexed REC Calculator'!H63</f>
        <v>2433744.9193426496</v>
      </c>
      <c r="I44" s="172">
        <f>'Indexed REC Activities'!K44*'Indexed REC Calculator'!I63</f>
        <v>2323012.8324096897</v>
      </c>
      <c r="J44" s="172">
        <f>'Indexed REC Activities'!L44*'Indexed REC Calculator'!J63</f>
        <v>2299787.6066702888</v>
      </c>
      <c r="K44" s="172">
        <f>'Indexed REC Activities'!M44*'Indexed REC Calculator'!K63</f>
        <v>2325193.5991141009</v>
      </c>
      <c r="L44" s="172">
        <f>'Indexed REC Activities'!N44*'Indexed REC Calculator'!L63</f>
        <v>2316958.8861066173</v>
      </c>
      <c r="M44" s="172">
        <f>'Indexed REC Activities'!O44*'Indexed REC Calculator'!M63</f>
        <v>2347551.8383760452</v>
      </c>
      <c r="N44" s="172">
        <f>'Indexed REC Activities'!P44*'Indexed REC Calculator'!N63</f>
        <v>2341802.5388226006</v>
      </c>
      <c r="O44" s="172">
        <f>'Indexed REC Activities'!Q44*'Indexed REC Calculator'!O63</f>
        <v>2254270.8676391765</v>
      </c>
      <c r="P44" s="172">
        <f>'Indexed REC Activities'!R44*'Indexed REC Calculator'!P63</f>
        <v>2168342.2182416115</v>
      </c>
      <c r="Q44" s="172">
        <f>'Indexed REC Activities'!S44*'Indexed REC Calculator'!Q63</f>
        <v>2303355.8081785785</v>
      </c>
      <c r="R44" s="172">
        <f>'Indexed REC Activities'!T44*'Indexed REC Calculator'!R63</f>
        <v>2356362.1098014428</v>
      </c>
      <c r="S44" s="172">
        <f>'Indexed REC Activities'!U44*'Indexed REC Calculator'!S63</f>
        <v>2362267.2196852104</v>
      </c>
      <c r="T44" s="172">
        <f>'Indexed REC Activities'!V44*'Indexed REC Calculator'!T63</f>
        <v>2397196.2914529354</v>
      </c>
      <c r="U44" s="172">
        <f>'Indexed REC Activities'!W44*'Indexed REC Calculator'!U63</f>
        <v>2427878.3264414375</v>
      </c>
      <c r="V44" s="172">
        <f>'Indexed REC Activities'!X44*'Indexed REC Calculator'!V63</f>
        <v>2432263.0320433034</v>
      </c>
      <c r="W44" s="172">
        <f>'Indexed REC Activities'!Y44*'Indexed REC Calculator'!W63</f>
        <v>2446738.7777243685</v>
      </c>
      <c r="X44" s="172">
        <f>'Indexed REC Activities'!Z44*'Indexed REC Calculator'!X63</f>
        <v>-1884268.2221710905</v>
      </c>
    </row>
    <row r="45" spans="1:24" ht="15.75" x14ac:dyDescent="0.25">
      <c r="A45" s="10" t="s">
        <v>77</v>
      </c>
      <c r="B45" s="9">
        <f t="shared" ref="B45:B64" si="3">B44+1</f>
        <v>2023</v>
      </c>
      <c r="C45" s="172">
        <f>'Indexed REC Activities'!E45*'Indexed REC Calculator'!C64</f>
        <v>0</v>
      </c>
      <c r="D45" s="172">
        <f>'Indexed REC Activities'!F45*'Indexed REC Calculator'!D64</f>
        <v>0</v>
      </c>
      <c r="E45" s="172">
        <f>'Indexed REC Activities'!G45*'Indexed REC Calculator'!E64</f>
        <v>0</v>
      </c>
      <c r="F45" s="172">
        <f>'Indexed REC Activities'!H45*'Indexed REC Calculator'!F64</f>
        <v>0</v>
      </c>
      <c r="G45" s="172">
        <f>'Indexed REC Activities'!I45*'Indexed REC Calculator'!G64</f>
        <v>0</v>
      </c>
      <c r="H45" s="172">
        <f>'Indexed REC Activities'!J45*'Indexed REC Calculator'!H64</f>
        <v>0</v>
      </c>
      <c r="I45" s="172">
        <f>'Indexed REC Activities'!K45*'Indexed REC Calculator'!I64</f>
        <v>5302181.4490476176</v>
      </c>
      <c r="J45" s="172">
        <f>'Indexed REC Activities'!L45*'Indexed REC Calculator'!J64</f>
        <v>5251485.6406357149</v>
      </c>
      <c r="K45" s="172">
        <f>'Indexed REC Activities'!M45*'Indexed REC Calculator'!K64</f>
        <v>5302104.1534094391</v>
      </c>
      <c r="L45" s="172">
        <f>'Indexed REC Activities'!N45*'Indexed REC Calculator'!L64</f>
        <v>5282657.8897736482</v>
      </c>
      <c r="M45" s="172">
        <f>'Indexed REC Activities'!O45*'Indexed REC Calculator'!M64</f>
        <v>5344104.2419477711</v>
      </c>
      <c r="N45" s="172">
        <f>'Indexed REC Activities'!P45*'Indexed REC Calculator'!N64</f>
        <v>5329858.1642271439</v>
      </c>
      <c r="O45" s="172">
        <f>'Indexed REC Activities'!Q45*'Indexed REC Calculator'!O64</f>
        <v>5145264.1721595693</v>
      </c>
      <c r="P45" s="172">
        <f>'Indexed REC Activities'!R45*'Indexed REC Calculator'!P64</f>
        <v>4964020.6958869547</v>
      </c>
      <c r="Q45" s="172">
        <f>'Indexed REC Activities'!S45*'Indexed REC Calculator'!Q64</f>
        <v>5243028.9255877929</v>
      </c>
      <c r="R45" s="172">
        <f>'Indexed REC Activities'!T45*'Indexed REC Calculator'!R64</f>
        <v>5351220.5519961631</v>
      </c>
      <c r="S45" s="172">
        <f>'Indexed REC Activities'!U45*'Indexed REC Calculator'!S64</f>
        <v>5361307.7282688981</v>
      </c>
      <c r="T45" s="172">
        <f>'Indexed REC Activities'!V45*'Indexed REC Calculator'!T64</f>
        <v>5431865.2217472754</v>
      </c>
      <c r="U45" s="172">
        <f>'Indexed REC Activities'!W45*'Indexed REC Calculator'!U64</f>
        <v>5493586.8086080411</v>
      </c>
      <c r="V45" s="172">
        <f>'Indexed REC Activities'!X45*'Indexed REC Calculator'!V64</f>
        <v>5500539.8992692549</v>
      </c>
      <c r="W45" s="172">
        <f>'Indexed REC Activities'!Y45*'Indexed REC Calculator'!W64</f>
        <v>5528524.3417497696</v>
      </c>
      <c r="X45" s="172">
        <f>'Indexed REC Activities'!Z45*'Indexed REC Calculator'!X64</f>
        <v>-3925082.3876206595</v>
      </c>
    </row>
    <row r="46" spans="1:24" ht="15.75" x14ac:dyDescent="0.25">
      <c r="A46" s="10" t="s">
        <v>77</v>
      </c>
      <c r="B46" s="9">
        <f t="shared" si="3"/>
        <v>2024</v>
      </c>
      <c r="C46" s="172">
        <f>'Indexed REC Activities'!E46*'Indexed REC Calculator'!C65</f>
        <v>0</v>
      </c>
      <c r="D46" s="172">
        <f>'Indexed REC Activities'!F46*'Indexed REC Calculator'!D65</f>
        <v>0</v>
      </c>
      <c r="E46" s="172">
        <f>'Indexed REC Activities'!G46*'Indexed REC Calculator'!E65</f>
        <v>0</v>
      </c>
      <c r="F46" s="172">
        <f>'Indexed REC Activities'!H46*'Indexed REC Calculator'!F65</f>
        <v>0</v>
      </c>
      <c r="G46" s="172">
        <f>'Indexed REC Activities'!I46*'Indexed REC Calculator'!G65</f>
        <v>0</v>
      </c>
      <c r="H46" s="172">
        <f>'Indexed REC Activities'!J46*'Indexed REC Calculator'!H65</f>
        <v>0</v>
      </c>
      <c r="I46" s="172">
        <f>'Indexed REC Activities'!K46*'Indexed REC Calculator'!I65</f>
        <v>0</v>
      </c>
      <c r="J46" s="172">
        <f>'Indexed REC Activities'!L46*'Indexed REC Calculator'!J65</f>
        <v>0</v>
      </c>
      <c r="K46" s="172">
        <f>'Indexed REC Activities'!M46*'Indexed REC Calculator'!K65</f>
        <v>0</v>
      </c>
      <c r="L46" s="172">
        <f>'Indexed REC Activities'!N46*'Indexed REC Calculator'!L65</f>
        <v>0</v>
      </c>
      <c r="M46" s="172">
        <f>'Indexed REC Activities'!O46*'Indexed REC Calculator'!M65</f>
        <v>0</v>
      </c>
      <c r="N46" s="172">
        <f>'Indexed REC Activities'!P46*'Indexed REC Calculator'!N65</f>
        <v>0</v>
      </c>
      <c r="O46" s="172">
        <f>'Indexed REC Activities'!Q46*'Indexed REC Calculator'!O65</f>
        <v>0</v>
      </c>
      <c r="P46" s="172">
        <f>'Indexed REC Activities'!R46*'Indexed REC Calculator'!P65</f>
        <v>0</v>
      </c>
      <c r="Q46" s="172">
        <f>'Indexed REC Activities'!S46*'Indexed REC Calculator'!Q65</f>
        <v>0</v>
      </c>
      <c r="R46" s="172">
        <f>'Indexed REC Activities'!T46*'Indexed REC Calculator'!R65</f>
        <v>0</v>
      </c>
      <c r="S46" s="172">
        <f>'Indexed REC Activities'!U46*'Indexed REC Calculator'!S65</f>
        <v>0</v>
      </c>
      <c r="T46" s="172">
        <f>'Indexed REC Activities'!V46*'Indexed REC Calculator'!T65</f>
        <v>0</v>
      </c>
      <c r="U46" s="172">
        <f>'Indexed REC Activities'!W46*'Indexed REC Calculator'!U65</f>
        <v>0</v>
      </c>
      <c r="V46" s="172">
        <f>'Indexed REC Activities'!X46*'Indexed REC Calculator'!V65</f>
        <v>0</v>
      </c>
      <c r="W46" s="172">
        <f>'Indexed REC Activities'!Y46*'Indexed REC Calculator'!W65</f>
        <v>0</v>
      </c>
      <c r="X46" s="172">
        <f>'Indexed REC Activities'!Z46*'Indexed REC Calculator'!X65</f>
        <v>0</v>
      </c>
    </row>
    <row r="47" spans="1:24" ht="15.75" x14ac:dyDescent="0.25">
      <c r="A47" s="10" t="s">
        <v>77</v>
      </c>
      <c r="B47" s="9">
        <f t="shared" si="3"/>
        <v>2025</v>
      </c>
      <c r="C47" s="172">
        <f>'Indexed REC Activities'!E47*'Indexed REC Calculator'!C66</f>
        <v>0</v>
      </c>
      <c r="D47" s="172">
        <f>'Indexed REC Activities'!F47*'Indexed REC Calculator'!D66</f>
        <v>0</v>
      </c>
      <c r="E47" s="172">
        <f>'Indexed REC Activities'!G47*'Indexed REC Calculator'!E66</f>
        <v>0</v>
      </c>
      <c r="F47" s="172">
        <f>'Indexed REC Activities'!H47*'Indexed REC Calculator'!F66</f>
        <v>0</v>
      </c>
      <c r="G47" s="172">
        <f>'Indexed REC Activities'!I47*'Indexed REC Calculator'!G66</f>
        <v>0</v>
      </c>
      <c r="H47" s="172">
        <f>'Indexed REC Activities'!J47*'Indexed REC Calculator'!H66</f>
        <v>0</v>
      </c>
      <c r="I47" s="172">
        <f>'Indexed REC Activities'!K47*'Indexed REC Calculator'!I66</f>
        <v>4262042.5099206334</v>
      </c>
      <c r="J47" s="172">
        <f>'Indexed REC Activities'!L47*'Indexed REC Calculator'!J66</f>
        <v>4221291.7938988097</v>
      </c>
      <c r="K47" s="172">
        <f>'Indexed REC Activities'!M47*'Indexed REC Calculator'!K66</f>
        <v>4261980.3775136406</v>
      </c>
      <c r="L47" s="172">
        <f>'Indexed REC Activities'!N47*'Indexed REC Calculator'!L66</f>
        <v>4246348.9241069015</v>
      </c>
      <c r="M47" s="172">
        <f>'Indexed REC Activities'!O47*'Indexed REC Calculator'!M66</f>
        <v>4295741.229436758</v>
      </c>
      <c r="N47" s="172">
        <f>'Indexed REC Activities'!P47*'Indexed REC Calculator'!N66</f>
        <v>4284289.8316623848</v>
      </c>
      <c r="O47" s="172">
        <f>'Indexed REC Activities'!Q47*'Indexed REC Calculator'!O66</f>
        <v>4135907.9913145271</v>
      </c>
      <c r="P47" s="172">
        <f>'Indexed REC Activities'!R47*'Indexed REC Calculator'!P66</f>
        <v>3990219.3897563089</v>
      </c>
      <c r="Q47" s="172">
        <f>'Indexed REC Activities'!S47*'Indexed REC Calculator'!Q66</f>
        <v>4214494.048598147</v>
      </c>
      <c r="R47" s="172">
        <f>'Indexed REC Activities'!T47*'Indexed REC Calculator'!R66</f>
        <v>4301461.5195157537</v>
      </c>
      <c r="S47" s="172">
        <f>'Indexed REC Activities'!U47*'Indexed REC Calculator'!S66</f>
        <v>4309569.8753863703</v>
      </c>
      <c r="T47" s="172">
        <f>'Indexed REC Activities'!V47*'Indexed REC Calculator'!T66</f>
        <v>4366285.9722397337</v>
      </c>
      <c r="U47" s="172">
        <f>'Indexed REC Activities'!W47*'Indexed REC Calculator'!U66</f>
        <v>4415899.5189484367</v>
      </c>
      <c r="V47" s="172">
        <f>'Indexed REC Activities'!X47*'Indexed REC Calculator'!V66</f>
        <v>4421488.6086954027</v>
      </c>
      <c r="W47" s="172">
        <f>'Indexed REC Activities'!Y47*'Indexed REC Calculator'!W66</f>
        <v>4443983.2902928805</v>
      </c>
      <c r="X47" s="172">
        <f>'Indexed REC Activities'!Z47*'Indexed REC Calculator'!X66</f>
        <v>4481676.5074649425</v>
      </c>
    </row>
    <row r="48" spans="1:24" ht="15.75" x14ac:dyDescent="0.25">
      <c r="A48" s="10" t="s">
        <v>77</v>
      </c>
      <c r="B48" s="9">
        <f t="shared" si="3"/>
        <v>2026</v>
      </c>
      <c r="C48" s="172">
        <f>'Indexed REC Activities'!E48*'Indexed REC Calculator'!C67</f>
        <v>0</v>
      </c>
      <c r="D48" s="172">
        <f>'Indexed REC Activities'!F48*'Indexed REC Calculator'!D67</f>
        <v>0</v>
      </c>
      <c r="E48" s="172">
        <f>'Indexed REC Activities'!G48*'Indexed REC Calculator'!E67</f>
        <v>0</v>
      </c>
      <c r="F48" s="172">
        <f>'Indexed REC Activities'!H48*'Indexed REC Calculator'!F67</f>
        <v>0</v>
      </c>
      <c r="G48" s="172">
        <f>'Indexed REC Activities'!I48*'Indexed REC Calculator'!G67</f>
        <v>0</v>
      </c>
      <c r="H48" s="172">
        <f>'Indexed REC Activities'!J48*'Indexed REC Calculator'!H67</f>
        <v>0</v>
      </c>
      <c r="I48" s="172">
        <f>'Indexed REC Activities'!K48*'Indexed REC Calculator'!I67</f>
        <v>0</v>
      </c>
      <c r="J48" s="172">
        <f>'Indexed REC Activities'!L48*'Indexed REC Calculator'!J67</f>
        <v>4242504.3154761912</v>
      </c>
      <c r="K48" s="172">
        <f>'Indexed REC Activities'!M48*'Indexed REC Calculator'!K67</f>
        <v>4283397.3643353172</v>
      </c>
      <c r="L48" s="172">
        <f>'Indexed REC Activities'!N48*'Indexed REC Calculator'!L67</f>
        <v>4267687.3609114578</v>
      </c>
      <c r="M48" s="172">
        <f>'Indexed REC Activities'!O48*'Indexed REC Calculator'!M67</f>
        <v>4317327.8687806614</v>
      </c>
      <c r="N48" s="172">
        <f>'Indexed REC Activities'!P48*'Indexed REC Calculator'!N67</f>
        <v>4305818.9262938546</v>
      </c>
      <c r="O48" s="172">
        <f>'Indexed REC Activities'!Q48*'Indexed REC Calculator'!O67</f>
        <v>4156691.448557314</v>
      </c>
      <c r="P48" s="172">
        <f>'Indexed REC Activities'!R48*'Indexed REC Calculator'!P67</f>
        <v>4010270.7434736774</v>
      </c>
      <c r="Q48" s="172">
        <f>'Indexed REC Activities'!S48*'Indexed REC Calculator'!Q67</f>
        <v>4235672.4106514044</v>
      </c>
      <c r="R48" s="172">
        <f>'Indexed REC Activities'!T48*'Indexed REC Calculator'!R67</f>
        <v>4323076.9040359324</v>
      </c>
      <c r="S48" s="172">
        <f>'Indexed REC Activities'!U48*'Indexed REC Calculator'!S67</f>
        <v>4331226.0054134382</v>
      </c>
      <c r="T48" s="172">
        <f>'Indexed REC Activities'!V48*'Indexed REC Calculator'!T67</f>
        <v>4388227.1077786274</v>
      </c>
      <c r="U48" s="172">
        <f>'Indexed REC Activities'!W48*'Indexed REC Calculator'!U67</f>
        <v>4438089.9687923985</v>
      </c>
      <c r="V48" s="172">
        <f>'Indexed REC Activities'!X48*'Indexed REC Calculator'!V67</f>
        <v>4443707.1444174899</v>
      </c>
      <c r="W48" s="172">
        <f>'Indexed REC Activities'!Y48*'Indexed REC Calculator'!W67</f>
        <v>4466314.86461596</v>
      </c>
      <c r="X48" s="172">
        <f>'Indexed REC Activities'!Z48*'Indexed REC Calculator'!X67</f>
        <v>4504197.4949396402</v>
      </c>
    </row>
    <row r="49" spans="1:24" ht="15.75" x14ac:dyDescent="0.25">
      <c r="A49" s="10" t="s">
        <v>77</v>
      </c>
      <c r="B49" s="9">
        <f t="shared" si="3"/>
        <v>2027</v>
      </c>
      <c r="C49" s="172">
        <f>'Indexed REC Activities'!E49*'Indexed REC Calculator'!C68</f>
        <v>0</v>
      </c>
      <c r="D49" s="172">
        <f>'Indexed REC Activities'!F49*'Indexed REC Calculator'!D68</f>
        <v>0</v>
      </c>
      <c r="E49" s="172">
        <f>'Indexed REC Activities'!G49*'Indexed REC Calculator'!E68</f>
        <v>0</v>
      </c>
      <c r="F49" s="172">
        <f>'Indexed REC Activities'!H49*'Indexed REC Calculator'!F68</f>
        <v>0</v>
      </c>
      <c r="G49" s="172">
        <f>'Indexed REC Activities'!I49*'Indexed REC Calculator'!G68</f>
        <v>0</v>
      </c>
      <c r="H49" s="172">
        <f>'Indexed REC Activities'!J49*'Indexed REC Calculator'!H68</f>
        <v>0</v>
      </c>
      <c r="I49" s="172">
        <f>'Indexed REC Activities'!K49*'Indexed REC Calculator'!I68</f>
        <v>0</v>
      </c>
      <c r="J49" s="172">
        <f>'Indexed REC Activities'!L49*'Indexed REC Calculator'!J68</f>
        <v>0</v>
      </c>
      <c r="K49" s="172">
        <f>'Indexed REC Activities'!M49*'Indexed REC Calculator'!K68</f>
        <v>4304921.9742063489</v>
      </c>
      <c r="L49" s="172">
        <f>'Indexed REC Activities'!N49*'Indexed REC Calculator'!L68</f>
        <v>4289133.026041666</v>
      </c>
      <c r="M49" s="172">
        <f>'Indexed REC Activities'!O49*'Indexed REC Calculator'!M68</f>
        <v>4339022.9836991569</v>
      </c>
      <c r="N49" s="172">
        <f>'Indexed REC Activities'!P49*'Indexed REC Calculator'!N68</f>
        <v>4327456.2073305072</v>
      </c>
      <c r="O49" s="172">
        <f>'Indexed REC Activities'!Q49*'Indexed REC Calculator'!O68</f>
        <v>4177579.3452837327</v>
      </c>
      <c r="P49" s="172">
        <f>'Indexed REC Activities'!R49*'Indexed REC Calculator'!P68</f>
        <v>4030422.8577624899</v>
      </c>
      <c r="Q49" s="172">
        <f>'Indexed REC Activities'!S49*'Indexed REC Calculator'!Q68</f>
        <v>4256957.1966345767</v>
      </c>
      <c r="R49" s="172">
        <f>'Indexed REC Activities'!T49*'Indexed REC Calculator'!R68</f>
        <v>4344800.908578827</v>
      </c>
      <c r="S49" s="172">
        <f>'Indexed REC Activities'!U49*'Indexed REC Calculator'!S68</f>
        <v>4352990.9602145106</v>
      </c>
      <c r="T49" s="172">
        <f>'Indexed REC Activities'!V49*'Indexed REC Calculator'!T68</f>
        <v>4410278.5002800273</v>
      </c>
      <c r="U49" s="172">
        <f>'Indexed REC Activities'!W49*'Indexed REC Calculator'!U68</f>
        <v>4460391.9284345713</v>
      </c>
      <c r="V49" s="172">
        <f>'Indexed REC Activities'!X49*'Indexed REC Calculator'!V68</f>
        <v>4466037.3310728539</v>
      </c>
      <c r="W49" s="172">
        <f>'Indexed REC Activities'!Y49*'Indexed REC Calculator'!W68</f>
        <v>4488758.6579054883</v>
      </c>
      <c r="X49" s="172">
        <f>'Indexed REC Activities'!Z49*'Indexed REC Calculator'!X68</f>
        <v>4526831.6532056686</v>
      </c>
    </row>
    <row r="50" spans="1:24" ht="15.75" x14ac:dyDescent="0.25">
      <c r="A50" s="10" t="s">
        <v>77</v>
      </c>
      <c r="B50" s="9">
        <f t="shared" si="3"/>
        <v>2028</v>
      </c>
      <c r="C50" s="172">
        <f>'Indexed REC Activities'!E50*'Indexed REC Calculator'!C69</f>
        <v>0</v>
      </c>
      <c r="D50" s="172">
        <f>'Indexed REC Activities'!F50*'Indexed REC Calculator'!D69</f>
        <v>0</v>
      </c>
      <c r="E50" s="172">
        <f>'Indexed REC Activities'!G50*'Indexed REC Calculator'!E69</f>
        <v>0</v>
      </c>
      <c r="F50" s="172">
        <f>'Indexed REC Activities'!H50*'Indexed REC Calculator'!F69</f>
        <v>0</v>
      </c>
      <c r="G50" s="172">
        <f>'Indexed REC Activities'!I50*'Indexed REC Calculator'!G69</f>
        <v>0</v>
      </c>
      <c r="H50" s="172">
        <f>'Indexed REC Activities'!J50*'Indexed REC Calculator'!H69</f>
        <v>0</v>
      </c>
      <c r="I50" s="172">
        <f>'Indexed REC Activities'!K50*'Indexed REC Calculator'!I69</f>
        <v>0</v>
      </c>
      <c r="J50" s="172">
        <f>'Indexed REC Activities'!L50*'Indexed REC Calculator'!J69</f>
        <v>0</v>
      </c>
      <c r="K50" s="172">
        <f>'Indexed REC Activities'!M50*'Indexed REC Calculator'!K69</f>
        <v>0</v>
      </c>
      <c r="L50" s="172">
        <f>'Indexed REC Activities'!N50*'Indexed REC Calculator'!L69</f>
        <v>0</v>
      </c>
      <c r="M50" s="172">
        <f>'Indexed REC Activities'!O50*'Indexed REC Calculator'!M69</f>
        <v>4360827.1192956353</v>
      </c>
      <c r="N50" s="172">
        <f>'Indexed REC Activities'!P50*'Indexed REC Calculator'!N69</f>
        <v>4349202.2184226196</v>
      </c>
      <c r="O50" s="172">
        <f>'Indexed REC Activities'!Q50*'Indexed REC Calculator'!O69</f>
        <v>4198572.2063153097</v>
      </c>
      <c r="P50" s="172">
        <f>'Indexed REC Activities'!R50*'Indexed REC Calculator'!P69</f>
        <v>4050676.2389572766</v>
      </c>
      <c r="Q50" s="172">
        <f>'Indexed REC Activities'!S50*'Indexed REC Calculator'!Q69</f>
        <v>4278348.9413412837</v>
      </c>
      <c r="R50" s="172">
        <f>'Indexed REC Activities'!T50*'Indexed REC Calculator'!R69</f>
        <v>4366634.0789736956</v>
      </c>
      <c r="S50" s="172">
        <f>'Indexed REC Activities'!U50*'Indexed REC Calculator'!S69</f>
        <v>4374865.2866477491</v>
      </c>
      <c r="T50" s="172">
        <f>'Indexed REC Activities'!V50*'Indexed REC Calculator'!T69</f>
        <v>4432440.7037990224</v>
      </c>
      <c r="U50" s="172">
        <f>'Indexed REC Activities'!W50*'Indexed REC Calculator'!U69</f>
        <v>4482805.9582257001</v>
      </c>
      <c r="V50" s="172">
        <f>'Indexed REC Activities'!X50*'Indexed REC Calculator'!V69</f>
        <v>4488479.7297214624</v>
      </c>
      <c r="W50" s="172">
        <f>'Indexed REC Activities'!Y50*'Indexed REC Calculator'!W69</f>
        <v>4511315.2340758676</v>
      </c>
      <c r="X50" s="172">
        <f>'Indexed REC Activities'!Z50*'Indexed REC Calculator'!X69</f>
        <v>4549579.5509604709</v>
      </c>
    </row>
    <row r="51" spans="1:24" ht="15.75" x14ac:dyDescent="0.25">
      <c r="A51" s="10" t="s">
        <v>77</v>
      </c>
      <c r="B51" s="9">
        <f t="shared" si="3"/>
        <v>2029</v>
      </c>
      <c r="C51" s="172">
        <f>'Indexed REC Activities'!E51*'Indexed REC Calculator'!C70</f>
        <v>0</v>
      </c>
      <c r="D51" s="172">
        <f>'Indexed REC Activities'!F51*'Indexed REC Calculator'!D70</f>
        <v>0</v>
      </c>
      <c r="E51" s="172">
        <f>'Indexed REC Activities'!G51*'Indexed REC Calculator'!E70</f>
        <v>0</v>
      </c>
      <c r="F51" s="172">
        <f>'Indexed REC Activities'!H51*'Indexed REC Calculator'!F70</f>
        <v>0</v>
      </c>
      <c r="G51" s="172">
        <f>'Indexed REC Activities'!I51*'Indexed REC Calculator'!G70</f>
        <v>0</v>
      </c>
      <c r="H51" s="172">
        <f>'Indexed REC Activities'!J51*'Indexed REC Calculator'!H70</f>
        <v>0</v>
      </c>
      <c r="I51" s="172">
        <f>'Indexed REC Activities'!K51*'Indexed REC Calculator'!I70</f>
        <v>0</v>
      </c>
      <c r="J51" s="172">
        <f>'Indexed REC Activities'!L51*'Indexed REC Calculator'!J70</f>
        <v>0</v>
      </c>
      <c r="K51" s="172">
        <f>'Indexed REC Activities'!M51*'Indexed REC Calculator'!K70</f>
        <v>0</v>
      </c>
      <c r="L51" s="172">
        <f>'Indexed REC Activities'!N51*'Indexed REC Calculator'!L70</f>
        <v>0</v>
      </c>
      <c r="M51" s="172">
        <f>'Indexed REC Activities'!O51*'Indexed REC Calculator'!M70</f>
        <v>4382740.8234126987</v>
      </c>
      <c r="N51" s="172">
        <f>'Indexed REC Activities'!P51*'Indexed REC Calculator'!N70</f>
        <v>4371057.5059523815</v>
      </c>
      <c r="O51" s="172">
        <f>'Indexed REC Activities'!Q51*'Indexed REC Calculator'!O70</f>
        <v>4219670.5591108631</v>
      </c>
      <c r="P51" s="172">
        <f>'Indexed REC Activities'!R51*'Indexed REC Calculator'!P70</f>
        <v>4071031.3959369618</v>
      </c>
      <c r="Q51" s="172">
        <f>'Indexed REC Activities'!S51*'Indexed REC Calculator'!Q70</f>
        <v>4299848.1822525468</v>
      </c>
      <c r="R51" s="172">
        <f>'Indexed REC Activities'!T51*'Indexed REC Calculator'!R70</f>
        <v>4388576.9637926593</v>
      </c>
      <c r="S51" s="172">
        <f>'Indexed REC Activities'!U51*'Indexed REC Calculator'!S70</f>
        <v>4396849.5343193458</v>
      </c>
      <c r="T51" s="172">
        <f>'Indexed REC Activities'!V51*'Indexed REC Calculator'!T70</f>
        <v>4454714.2751748972</v>
      </c>
      <c r="U51" s="172">
        <f>'Indexed REC Activities'!W51*'Indexed REC Calculator'!U70</f>
        <v>4505332.6213323614</v>
      </c>
      <c r="V51" s="172">
        <f>'Indexed REC Activities'!X51*'Indexed REC Calculator'!V70</f>
        <v>4511034.9042426748</v>
      </c>
      <c r="W51" s="172">
        <f>'Indexed REC Activities'!Y51*'Indexed REC Calculator'!W70</f>
        <v>4533985.1598752439</v>
      </c>
      <c r="X51" s="172">
        <f>'Indexed REC Activities'!Z51*'Indexed REC Calculator'!X70</f>
        <v>4572441.7597592669</v>
      </c>
    </row>
    <row r="52" spans="1:24" ht="15.75" x14ac:dyDescent="0.25">
      <c r="A52" s="10" t="s">
        <v>77</v>
      </c>
      <c r="B52" s="9">
        <f t="shared" si="3"/>
        <v>2030</v>
      </c>
      <c r="C52" s="172">
        <f>'Indexed REC Activities'!E52*'Indexed REC Calculator'!C71</f>
        <v>0</v>
      </c>
      <c r="D52" s="172">
        <f>'Indexed REC Activities'!F52*'Indexed REC Calculator'!D71</f>
        <v>0</v>
      </c>
      <c r="E52" s="172">
        <f>'Indexed REC Activities'!G52*'Indexed REC Calculator'!E71</f>
        <v>0</v>
      </c>
      <c r="F52" s="172">
        <f>'Indexed REC Activities'!H52*'Indexed REC Calculator'!F71</f>
        <v>0</v>
      </c>
      <c r="G52" s="172">
        <f>'Indexed REC Activities'!I52*'Indexed REC Calculator'!G71</f>
        <v>0</v>
      </c>
      <c r="H52" s="172">
        <f>'Indexed REC Activities'!J52*'Indexed REC Calculator'!H71</f>
        <v>0</v>
      </c>
      <c r="I52" s="172">
        <f>'Indexed REC Activities'!K52*'Indexed REC Calculator'!I71</f>
        <v>0</v>
      </c>
      <c r="J52" s="172">
        <f>'Indexed REC Activities'!L52*'Indexed REC Calculator'!J71</f>
        <v>0</v>
      </c>
      <c r="K52" s="172">
        <f>'Indexed REC Activities'!M52*'Indexed REC Calculator'!K71</f>
        <v>0</v>
      </c>
      <c r="L52" s="172">
        <f>'Indexed REC Activities'!N52*'Indexed REC Calculator'!L71</f>
        <v>0</v>
      </c>
      <c r="M52" s="172">
        <f>'Indexed REC Activities'!O52*'Indexed REC Calculator'!M71</f>
        <v>0</v>
      </c>
      <c r="N52" s="172">
        <f>'Indexed REC Activities'!P52*'Indexed REC Calculator'!N71</f>
        <v>4393022.6190476194</v>
      </c>
      <c r="O52" s="172">
        <f>'Indexed REC Activities'!Q52*'Indexed REC Calculator'!O71</f>
        <v>4240874.9337797621</v>
      </c>
      <c r="P52" s="172">
        <f>'Indexed REC Activities'!R52*'Indexed REC Calculator'!P71</f>
        <v>4091488.8401376498</v>
      </c>
      <c r="Q52" s="172">
        <f>'Indexed REC Activities'!S52*'Indexed REC Calculator'!Q71</f>
        <v>4321455.4595502978</v>
      </c>
      <c r="R52" s="172">
        <f>'Indexed REC Activities'!T52*'Indexed REC Calculator'!R71</f>
        <v>4410630.1143644815</v>
      </c>
      <c r="S52" s="172">
        <f>'Indexed REC Activities'!U52*'Indexed REC Calculator'!S71</f>
        <v>4418944.2555973334</v>
      </c>
      <c r="T52" s="172">
        <f>'Indexed REC Activities'!V52*'Indexed REC Calculator'!T71</f>
        <v>4477099.7740451228</v>
      </c>
      <c r="U52" s="172">
        <f>'Indexed REC Activities'!W52*'Indexed REC Calculator'!U71</f>
        <v>4527972.4837511173</v>
      </c>
      <c r="V52" s="172">
        <f>'Indexed REC Activities'!X52*'Indexed REC Calculator'!V71</f>
        <v>4533703.4213494221</v>
      </c>
      <c r="W52" s="172">
        <f>'Indexed REC Activities'!Y52*'Indexed REC Calculator'!W71</f>
        <v>4556769.0048997421</v>
      </c>
      <c r="X52" s="172">
        <f>'Indexed REC Activities'!Z52*'Indexed REC Calculator'!X71</f>
        <v>4595418.8540294142</v>
      </c>
    </row>
    <row r="53" spans="1:24" ht="15.75" x14ac:dyDescent="0.25">
      <c r="A53" s="10" t="s">
        <v>77</v>
      </c>
      <c r="B53" s="9">
        <f t="shared" si="3"/>
        <v>2031</v>
      </c>
      <c r="C53" s="172">
        <f>'Indexed REC Activities'!E53*'Indexed REC Calculator'!C72</f>
        <v>0</v>
      </c>
      <c r="D53" s="172">
        <f>'Indexed REC Activities'!F53*'Indexed REC Calculator'!D72</f>
        <v>0</v>
      </c>
      <c r="E53" s="172">
        <f>'Indexed REC Activities'!G53*'Indexed REC Calculator'!E72</f>
        <v>0</v>
      </c>
      <c r="F53" s="172">
        <f>'Indexed REC Activities'!H53*'Indexed REC Calculator'!F72</f>
        <v>0</v>
      </c>
      <c r="G53" s="172">
        <f>'Indexed REC Activities'!I53*'Indexed REC Calculator'!G72</f>
        <v>0</v>
      </c>
      <c r="H53" s="172">
        <f>'Indexed REC Activities'!J53*'Indexed REC Calculator'!H72</f>
        <v>0</v>
      </c>
      <c r="I53" s="172">
        <f>'Indexed REC Activities'!K53*'Indexed REC Calculator'!I72</f>
        <v>0</v>
      </c>
      <c r="J53" s="172">
        <f>'Indexed REC Activities'!L53*'Indexed REC Calculator'!J72</f>
        <v>0</v>
      </c>
      <c r="K53" s="172">
        <f>'Indexed REC Activities'!M53*'Indexed REC Calculator'!K72</f>
        <v>0</v>
      </c>
      <c r="L53" s="172">
        <f>'Indexed REC Activities'!N53*'Indexed REC Calculator'!L72</f>
        <v>0</v>
      </c>
      <c r="M53" s="172">
        <f>'Indexed REC Activities'!O53*'Indexed REC Calculator'!M72</f>
        <v>0</v>
      </c>
      <c r="N53" s="172">
        <f>'Indexed REC Activities'!P53*'Indexed REC Calculator'!N72</f>
        <v>0</v>
      </c>
      <c r="O53" s="172">
        <f>'Indexed REC Activities'!Q53*'Indexed REC Calculator'!O72</f>
        <v>4262185.8630952388</v>
      </c>
      <c r="P53" s="172">
        <f>'Indexed REC Activities'!R53*'Indexed REC Calculator'!P72</f>
        <v>4112049.0855654771</v>
      </c>
      <c r="Q53" s="172">
        <f>'Indexed REC Activities'!S53*'Indexed REC Calculator'!Q72</f>
        <v>4343171.3161309529</v>
      </c>
      <c r="R53" s="172">
        <f>'Indexed REC Activities'!T53*'Indexed REC Calculator'!R72</f>
        <v>4432794.084788424</v>
      </c>
      <c r="S53" s="172">
        <f>'Indexed REC Activities'!U53*'Indexed REC Calculator'!S72</f>
        <v>4441150.0056254603</v>
      </c>
      <c r="T53" s="172">
        <f>'Indexed REC Activities'!V53*'Indexed REC Calculator'!T72</f>
        <v>4499597.7628594199</v>
      </c>
      <c r="U53" s="172">
        <f>'Indexed REC Activities'!W53*'Indexed REC Calculator'!U72</f>
        <v>4550726.1143227313</v>
      </c>
      <c r="V53" s="172">
        <f>'Indexed REC Activities'!X53*'Indexed REC Calculator'!V72</f>
        <v>4556485.8506024349</v>
      </c>
      <c r="W53" s="172">
        <f>'Indexed REC Activities'!Y53*'Indexed REC Calculator'!W72</f>
        <v>4579667.3416077811</v>
      </c>
      <c r="X53" s="172">
        <f>'Indexed REC Activities'!Z53*'Indexed REC Calculator'!X72</f>
        <v>4618511.4110848382</v>
      </c>
    </row>
    <row r="54" spans="1:24" ht="15.75" x14ac:dyDescent="0.25">
      <c r="A54" s="10" t="s">
        <v>77</v>
      </c>
      <c r="B54" s="9">
        <f t="shared" si="3"/>
        <v>2032</v>
      </c>
      <c r="C54" s="172">
        <f>'Indexed REC Activities'!E54*'Indexed REC Calculator'!C73</f>
        <v>0</v>
      </c>
      <c r="D54" s="172">
        <f>'Indexed REC Activities'!F54*'Indexed REC Calculator'!D73</f>
        <v>0</v>
      </c>
      <c r="E54" s="172">
        <f>'Indexed REC Activities'!G54*'Indexed REC Calculator'!E73</f>
        <v>0</v>
      </c>
      <c r="F54" s="172">
        <f>'Indexed REC Activities'!H54*'Indexed REC Calculator'!F73</f>
        <v>0</v>
      </c>
      <c r="G54" s="172">
        <f>'Indexed REC Activities'!I54*'Indexed REC Calculator'!G73</f>
        <v>0</v>
      </c>
      <c r="H54" s="172">
        <f>'Indexed REC Activities'!J54*'Indexed REC Calculator'!H73</f>
        <v>0</v>
      </c>
      <c r="I54" s="172">
        <f>'Indexed REC Activities'!K54*'Indexed REC Calculator'!I73</f>
        <v>0</v>
      </c>
      <c r="J54" s="172">
        <f>'Indexed REC Activities'!L54*'Indexed REC Calculator'!J73</f>
        <v>0</v>
      </c>
      <c r="K54" s="172">
        <f>'Indexed REC Activities'!M54*'Indexed REC Calculator'!K73</f>
        <v>0</v>
      </c>
      <c r="L54" s="172">
        <f>'Indexed REC Activities'!N54*'Indexed REC Calculator'!L73</f>
        <v>0</v>
      </c>
      <c r="M54" s="172">
        <f>'Indexed REC Activities'!O54*'Indexed REC Calculator'!M73</f>
        <v>0</v>
      </c>
      <c r="N54" s="172">
        <f>'Indexed REC Activities'!P54*'Indexed REC Calculator'!N73</f>
        <v>0</v>
      </c>
      <c r="O54" s="172">
        <f>'Indexed REC Activities'!Q54*'Indexed REC Calculator'!O73</f>
        <v>0</v>
      </c>
      <c r="P54" s="172">
        <f>'Indexed REC Activities'!R54*'Indexed REC Calculator'!P73</f>
        <v>4132712.6488095247</v>
      </c>
      <c r="Q54" s="172">
        <f>'Indexed REC Activities'!S54*'Indexed REC Calculator'!Q73</f>
        <v>4364996.2976190476</v>
      </c>
      <c r="R54" s="172">
        <f>'Indexed REC Activities'!T54*'Indexed REC Calculator'!R73</f>
        <v>4455069.4319481645</v>
      </c>
      <c r="S54" s="172">
        <f>'Indexed REC Activities'!U54*'Indexed REC Calculator'!S73</f>
        <v>4463467.3423371464</v>
      </c>
      <c r="T54" s="172">
        <f>'Indexed REC Activities'!V54*'Indexed REC Calculator'!T73</f>
        <v>4522208.8068938898</v>
      </c>
      <c r="U54" s="172">
        <f>'Indexed REC Activities'!W54*'Indexed REC Calculator'!U73</f>
        <v>4573594.0847464642</v>
      </c>
      <c r="V54" s="172">
        <f>'Indexed REC Activities'!X54*'Indexed REC Calculator'!V73</f>
        <v>4579382.7644245578</v>
      </c>
      <c r="W54" s="172">
        <f>'Indexed REC Activities'!Y54*'Indexed REC Calculator'!W73</f>
        <v>4602680.7453344539</v>
      </c>
      <c r="X54" s="172">
        <f>'Indexed REC Activities'!Z54*'Indexed REC Calculator'!X73</f>
        <v>4641720.0111405412</v>
      </c>
    </row>
    <row r="55" spans="1:24" ht="15.75" x14ac:dyDescent="0.25">
      <c r="A55" s="10" t="s">
        <v>77</v>
      </c>
      <c r="B55" s="9">
        <f t="shared" si="3"/>
        <v>2033</v>
      </c>
      <c r="C55" s="172">
        <f>'Indexed REC Activities'!E55*'Indexed REC Calculator'!C74</f>
        <v>0</v>
      </c>
      <c r="D55" s="172">
        <f>'Indexed REC Activities'!F55*'Indexed REC Calculator'!D74</f>
        <v>0</v>
      </c>
      <c r="E55" s="172">
        <f>'Indexed REC Activities'!G55*'Indexed REC Calculator'!E74</f>
        <v>0</v>
      </c>
      <c r="F55" s="172">
        <f>'Indexed REC Activities'!H55*'Indexed REC Calculator'!F74</f>
        <v>0</v>
      </c>
      <c r="G55" s="172">
        <f>'Indexed REC Activities'!I55*'Indexed REC Calculator'!G74</f>
        <v>0</v>
      </c>
      <c r="H55" s="172">
        <f>'Indexed REC Activities'!J55*'Indexed REC Calculator'!H74</f>
        <v>0</v>
      </c>
      <c r="I55" s="172">
        <f>'Indexed REC Activities'!K55*'Indexed REC Calculator'!I74</f>
        <v>0</v>
      </c>
      <c r="J55" s="172">
        <f>'Indexed REC Activities'!L55*'Indexed REC Calculator'!J74</f>
        <v>0</v>
      </c>
      <c r="K55" s="172">
        <f>'Indexed REC Activities'!M55*'Indexed REC Calculator'!K74</f>
        <v>0</v>
      </c>
      <c r="L55" s="172">
        <f>'Indexed REC Activities'!N55*'Indexed REC Calculator'!L74</f>
        <v>0</v>
      </c>
      <c r="M55" s="172">
        <f>'Indexed REC Activities'!O55*'Indexed REC Calculator'!M74</f>
        <v>0</v>
      </c>
      <c r="N55" s="172">
        <f>'Indexed REC Activities'!P55*'Indexed REC Calculator'!N74</f>
        <v>0</v>
      </c>
      <c r="O55" s="172">
        <f>'Indexed REC Activities'!Q55*'Indexed REC Calculator'!O74</f>
        <v>0</v>
      </c>
      <c r="P55" s="172">
        <f>'Indexed REC Activities'!R55*'Indexed REC Calculator'!P74</f>
        <v>0</v>
      </c>
      <c r="Q55" s="172">
        <f>'Indexed REC Activities'!S55*'Indexed REC Calculator'!Q74</f>
        <v>4386930.9523809524</v>
      </c>
      <c r="R55" s="172">
        <f>'Indexed REC Activities'!T55*'Indexed REC Calculator'!R74</f>
        <v>4477456.7155257938</v>
      </c>
      <c r="S55" s="172">
        <f>'Indexed REC Activities'!U55*'Indexed REC Calculator'!S74</f>
        <v>4485896.826469494</v>
      </c>
      <c r="T55" s="172">
        <f>'Indexed REC Activities'!V55*'Indexed REC Calculator'!T74</f>
        <v>4544933.4742652159</v>
      </c>
      <c r="U55" s="172">
        <f>'Indexed REC Activities'!W55*'Indexed REC Calculator'!U74</f>
        <v>4596576.9695944358</v>
      </c>
      <c r="V55" s="172">
        <f>'Indexed REC Activities'!X55*'Indexed REC Calculator'!V74</f>
        <v>4602394.7381151337</v>
      </c>
      <c r="W55" s="172">
        <f>'Indexed REC Activities'!Y55*'Indexed REC Calculator'!W74</f>
        <v>4625809.7943059839</v>
      </c>
      <c r="X55" s="172">
        <f>'Indexed REC Activities'!Z55*'Indexed REC Calculator'!X74</f>
        <v>4665045.2373271771</v>
      </c>
    </row>
    <row r="56" spans="1:24" ht="15.75" x14ac:dyDescent="0.25">
      <c r="A56" s="10" t="s">
        <v>77</v>
      </c>
      <c r="B56" s="9">
        <f t="shared" si="3"/>
        <v>2034</v>
      </c>
      <c r="C56" s="172">
        <f>'Indexed REC Activities'!E56*'Indexed REC Calculator'!C75</f>
        <v>0</v>
      </c>
      <c r="D56" s="172">
        <f>'Indexed REC Activities'!F56*'Indexed REC Calculator'!D75</f>
        <v>0</v>
      </c>
      <c r="E56" s="172">
        <f>'Indexed REC Activities'!G56*'Indexed REC Calculator'!E75</f>
        <v>0</v>
      </c>
      <c r="F56" s="172">
        <f>'Indexed REC Activities'!H56*'Indexed REC Calculator'!F75</f>
        <v>0</v>
      </c>
      <c r="G56" s="172">
        <f>'Indexed REC Activities'!I56*'Indexed REC Calculator'!G75</f>
        <v>0</v>
      </c>
      <c r="H56" s="172">
        <f>'Indexed REC Activities'!J56*'Indexed REC Calculator'!H75</f>
        <v>0</v>
      </c>
      <c r="I56" s="172">
        <f>'Indexed REC Activities'!K56*'Indexed REC Calculator'!I75</f>
        <v>0</v>
      </c>
      <c r="J56" s="172">
        <f>'Indexed REC Activities'!L56*'Indexed REC Calculator'!J75</f>
        <v>0</v>
      </c>
      <c r="K56" s="172">
        <f>'Indexed REC Activities'!M56*'Indexed REC Calculator'!K75</f>
        <v>0</v>
      </c>
      <c r="L56" s="172">
        <f>'Indexed REC Activities'!N56*'Indexed REC Calculator'!L75</f>
        <v>0</v>
      </c>
      <c r="M56" s="172">
        <f>'Indexed REC Activities'!O56*'Indexed REC Calculator'!M75</f>
        <v>0</v>
      </c>
      <c r="N56" s="172">
        <f>'Indexed REC Activities'!P56*'Indexed REC Calculator'!N75</f>
        <v>0</v>
      </c>
      <c r="O56" s="172">
        <f>'Indexed REC Activities'!Q56*'Indexed REC Calculator'!O75</f>
        <v>0</v>
      </c>
      <c r="P56" s="172">
        <f>'Indexed REC Activities'!R56*'Indexed REC Calculator'!P75</f>
        <v>0</v>
      </c>
      <c r="Q56" s="172">
        <f>'Indexed REC Activities'!S56*'Indexed REC Calculator'!Q75</f>
        <v>0</v>
      </c>
      <c r="R56" s="172">
        <f>'Indexed REC Activities'!T56*'Indexed REC Calculator'!R75</f>
        <v>4499956.4980158731</v>
      </c>
      <c r="S56" s="172">
        <f>'Indexed REC Activities'!U56*'Indexed REC Calculator'!S75</f>
        <v>4508439.0215773806</v>
      </c>
      <c r="T56" s="172">
        <f>'Indexed REC Activities'!V56*'Indexed REC Calculator'!T75</f>
        <v>4567772.3359449403</v>
      </c>
      <c r="U56" s="172">
        <f>'Indexed REC Activities'!W56*'Indexed REC Calculator'!U75</f>
        <v>4619675.3463260671</v>
      </c>
      <c r="V56" s="172">
        <f>'Indexed REC Activities'!X56*'Indexed REC Calculator'!V75</f>
        <v>4625522.3498644559</v>
      </c>
      <c r="W56" s="172">
        <f>'Indexed REC Activities'!Y56*'Indexed REC Calculator'!W75</f>
        <v>4649055.0696542552</v>
      </c>
      <c r="X56" s="172">
        <f>'Indexed REC Activities'!Z56*'Indexed REC Calculator'!X75</f>
        <v>4688487.6757057058</v>
      </c>
    </row>
    <row r="57" spans="1:24" ht="15.75" x14ac:dyDescent="0.25">
      <c r="A57" s="10" t="s">
        <v>77</v>
      </c>
      <c r="B57" s="9">
        <f t="shared" si="3"/>
        <v>2035</v>
      </c>
      <c r="C57" s="172">
        <f>'Indexed REC Activities'!E57*'Indexed REC Calculator'!C76</f>
        <v>0</v>
      </c>
      <c r="D57" s="172">
        <f>'Indexed REC Activities'!F57*'Indexed REC Calculator'!D76</f>
        <v>0</v>
      </c>
      <c r="E57" s="172">
        <f>'Indexed REC Activities'!G57*'Indexed REC Calculator'!E76</f>
        <v>0</v>
      </c>
      <c r="F57" s="172">
        <f>'Indexed REC Activities'!H57*'Indexed REC Calculator'!F76</f>
        <v>0</v>
      </c>
      <c r="G57" s="172">
        <f>'Indexed REC Activities'!I57*'Indexed REC Calculator'!G76</f>
        <v>0</v>
      </c>
      <c r="H57" s="172">
        <f>'Indexed REC Activities'!J57*'Indexed REC Calculator'!H76</f>
        <v>0</v>
      </c>
      <c r="I57" s="172">
        <f>'Indexed REC Activities'!K57*'Indexed REC Calculator'!I76</f>
        <v>0</v>
      </c>
      <c r="J57" s="172">
        <f>'Indexed REC Activities'!L57*'Indexed REC Calculator'!J76</f>
        <v>0</v>
      </c>
      <c r="K57" s="172">
        <f>'Indexed REC Activities'!M57*'Indexed REC Calculator'!K76</f>
        <v>0</v>
      </c>
      <c r="L57" s="172">
        <f>'Indexed REC Activities'!N57*'Indexed REC Calculator'!L76</f>
        <v>0</v>
      </c>
      <c r="M57" s="172">
        <f>'Indexed REC Activities'!O57*'Indexed REC Calculator'!M76</f>
        <v>0</v>
      </c>
      <c r="N57" s="172">
        <f>'Indexed REC Activities'!P57*'Indexed REC Calculator'!N76</f>
        <v>0</v>
      </c>
      <c r="O57" s="172">
        <f>'Indexed REC Activities'!Q57*'Indexed REC Calculator'!O76</f>
        <v>0</v>
      </c>
      <c r="P57" s="172">
        <f>'Indexed REC Activities'!R57*'Indexed REC Calculator'!P76</f>
        <v>0</v>
      </c>
      <c r="Q57" s="172">
        <f>'Indexed REC Activities'!S57*'Indexed REC Calculator'!Q76</f>
        <v>0</v>
      </c>
      <c r="R57" s="172">
        <f>'Indexed REC Activities'!T57*'Indexed REC Calculator'!R76</f>
        <v>0</v>
      </c>
      <c r="S57" s="172">
        <f>'Indexed REC Activities'!U57*'Indexed REC Calculator'!S76</f>
        <v>4531094.4940476185</v>
      </c>
      <c r="T57" s="172">
        <f>'Indexed REC Activities'!V57*'Indexed REC Calculator'!T76</f>
        <v>4590725.9657738097</v>
      </c>
      <c r="U57" s="172">
        <f>'Indexed REC Activities'!W57*'Indexed REC Calculator'!U76</f>
        <v>4642889.7953025792</v>
      </c>
      <c r="V57" s="172">
        <f>'Indexed REC Activities'!X57*'Indexed REC Calculator'!V76</f>
        <v>4648766.180768298</v>
      </c>
      <c r="W57" s="172">
        <f>'Indexed REC Activities'!Y57*'Indexed REC Calculator'!W76</f>
        <v>4672417.1554314122</v>
      </c>
      <c r="X57" s="172">
        <f>'Indexed REC Activities'!Z57*'Indexed REC Calculator'!X76</f>
        <v>4712047.9152821163</v>
      </c>
    </row>
    <row r="58" spans="1:24" ht="15.75" x14ac:dyDescent="0.25">
      <c r="A58" s="10" t="s">
        <v>77</v>
      </c>
      <c r="B58" s="9">
        <f t="shared" si="3"/>
        <v>2036</v>
      </c>
      <c r="C58" s="172">
        <f>'Indexed REC Activities'!E58*'Indexed REC Calculator'!C77</f>
        <v>0</v>
      </c>
      <c r="D58" s="172">
        <f>'Indexed REC Activities'!F58*'Indexed REC Calculator'!D77</f>
        <v>0</v>
      </c>
      <c r="E58" s="172">
        <f>'Indexed REC Activities'!G58*'Indexed REC Calculator'!E77</f>
        <v>0</v>
      </c>
      <c r="F58" s="172">
        <f>'Indexed REC Activities'!H58*'Indexed REC Calculator'!F77</f>
        <v>0</v>
      </c>
      <c r="G58" s="172">
        <f>'Indexed REC Activities'!I58*'Indexed REC Calculator'!G77</f>
        <v>0</v>
      </c>
      <c r="H58" s="172">
        <f>'Indexed REC Activities'!J58*'Indexed REC Calculator'!H77</f>
        <v>0</v>
      </c>
      <c r="I58" s="172">
        <f>'Indexed REC Activities'!K58*'Indexed REC Calculator'!I77</f>
        <v>0</v>
      </c>
      <c r="J58" s="172">
        <f>'Indexed REC Activities'!L58*'Indexed REC Calculator'!J77</f>
        <v>0</v>
      </c>
      <c r="K58" s="172">
        <f>'Indexed REC Activities'!M58*'Indexed REC Calculator'!K77</f>
        <v>0</v>
      </c>
      <c r="L58" s="172">
        <f>'Indexed REC Activities'!N58*'Indexed REC Calculator'!L77</f>
        <v>0</v>
      </c>
      <c r="M58" s="172">
        <f>'Indexed REC Activities'!O58*'Indexed REC Calculator'!M77</f>
        <v>0</v>
      </c>
      <c r="N58" s="172">
        <f>'Indexed REC Activities'!P58*'Indexed REC Calculator'!N77</f>
        <v>0</v>
      </c>
      <c r="O58" s="172">
        <f>'Indexed REC Activities'!Q58*'Indexed REC Calculator'!O77</f>
        <v>0</v>
      </c>
      <c r="P58" s="172">
        <f>'Indexed REC Activities'!R58*'Indexed REC Calculator'!P77</f>
        <v>0</v>
      </c>
      <c r="Q58" s="172">
        <f>'Indexed REC Activities'!S58*'Indexed REC Calculator'!Q77</f>
        <v>0</v>
      </c>
      <c r="R58" s="172">
        <f>'Indexed REC Activities'!T58*'Indexed REC Calculator'!R77</f>
        <v>0</v>
      </c>
      <c r="S58" s="172">
        <f>'Indexed REC Activities'!U58*'Indexed REC Calculator'!S77</f>
        <v>0</v>
      </c>
      <c r="T58" s="172">
        <f>'Indexed REC Activities'!V58*'Indexed REC Calculator'!T77</f>
        <v>4613794.9404761903</v>
      </c>
      <c r="U58" s="172">
        <f>'Indexed REC Activities'!W58*'Indexed REC Calculator'!U77</f>
        <v>4666220.8998015877</v>
      </c>
      <c r="V58" s="172">
        <f>'Indexed REC Activities'!X58*'Indexed REC Calculator'!V77</f>
        <v>4672126.81484251</v>
      </c>
      <c r="W58" s="172">
        <f>'Indexed REC Activities'!Y58*'Indexed REC Calculator'!W77</f>
        <v>4695896.6386245349</v>
      </c>
      <c r="X58" s="172">
        <f>'Indexed REC Activities'!Z58*'Indexed REC Calculator'!X77</f>
        <v>4735726.5480222283</v>
      </c>
    </row>
    <row r="59" spans="1:24" ht="15.75" x14ac:dyDescent="0.25">
      <c r="A59" s="10" t="s">
        <v>77</v>
      </c>
      <c r="B59" s="9">
        <f t="shared" si="3"/>
        <v>2037</v>
      </c>
      <c r="C59" s="172">
        <f>'Indexed REC Activities'!E59*'Indexed REC Calculator'!C78</f>
        <v>0</v>
      </c>
      <c r="D59" s="172">
        <f>'Indexed REC Activities'!F59*'Indexed REC Calculator'!D78</f>
        <v>0</v>
      </c>
      <c r="E59" s="172">
        <f>'Indexed REC Activities'!G59*'Indexed REC Calculator'!E78</f>
        <v>0</v>
      </c>
      <c r="F59" s="172">
        <f>'Indexed REC Activities'!H59*'Indexed REC Calculator'!F78</f>
        <v>0</v>
      </c>
      <c r="G59" s="172">
        <f>'Indexed REC Activities'!I59*'Indexed REC Calculator'!G78</f>
        <v>0</v>
      </c>
      <c r="H59" s="172">
        <f>'Indexed REC Activities'!J59*'Indexed REC Calculator'!H78</f>
        <v>0</v>
      </c>
      <c r="I59" s="172">
        <f>'Indexed REC Activities'!K59*'Indexed REC Calculator'!I78</f>
        <v>0</v>
      </c>
      <c r="J59" s="172">
        <f>'Indexed REC Activities'!L59*'Indexed REC Calculator'!J78</f>
        <v>0</v>
      </c>
      <c r="K59" s="172">
        <f>'Indexed REC Activities'!M59*'Indexed REC Calculator'!K78</f>
        <v>0</v>
      </c>
      <c r="L59" s="172">
        <f>'Indexed REC Activities'!N59*'Indexed REC Calculator'!L78</f>
        <v>0</v>
      </c>
      <c r="M59" s="172">
        <f>'Indexed REC Activities'!O59*'Indexed REC Calculator'!M78</f>
        <v>0</v>
      </c>
      <c r="N59" s="172">
        <f>'Indexed REC Activities'!P59*'Indexed REC Calculator'!N78</f>
        <v>0</v>
      </c>
      <c r="O59" s="172">
        <f>'Indexed REC Activities'!Q59*'Indexed REC Calculator'!O78</f>
        <v>0</v>
      </c>
      <c r="P59" s="172">
        <f>'Indexed REC Activities'!R59*'Indexed REC Calculator'!P78</f>
        <v>0</v>
      </c>
      <c r="Q59" s="172">
        <f>'Indexed REC Activities'!S59*'Indexed REC Calculator'!Q78</f>
        <v>0</v>
      </c>
      <c r="R59" s="172">
        <f>'Indexed REC Activities'!T59*'Indexed REC Calculator'!R78</f>
        <v>0</v>
      </c>
      <c r="S59" s="172">
        <f>'Indexed REC Activities'!U59*'Indexed REC Calculator'!S78</f>
        <v>0</v>
      </c>
      <c r="T59" s="172">
        <f>'Indexed REC Activities'!V59*'Indexed REC Calculator'!T78</f>
        <v>0</v>
      </c>
      <c r="U59" s="172">
        <f>'Indexed REC Activities'!W59*'Indexed REC Calculator'!U78</f>
        <v>4689669.2460317463</v>
      </c>
      <c r="V59" s="172">
        <f>'Indexed REC Activities'!X59*'Indexed REC Calculator'!V78</f>
        <v>4695604.8390376987</v>
      </c>
      <c r="W59" s="172">
        <f>'Indexed REC Activities'!Y59*'Indexed REC Calculator'!W78</f>
        <v>4719494.1091703875</v>
      </c>
      <c r="X59" s="172">
        <f>'Indexed REC Activities'!Z59*'Indexed REC Calculator'!X78</f>
        <v>4759524.1688665608</v>
      </c>
    </row>
    <row r="60" spans="1:24" ht="15.75" x14ac:dyDescent="0.25">
      <c r="A60" s="10" t="s">
        <v>77</v>
      </c>
      <c r="B60" s="9">
        <f t="shared" si="3"/>
        <v>2038</v>
      </c>
      <c r="C60" s="172">
        <f>'Indexed REC Activities'!E60*'Indexed REC Calculator'!C79</f>
        <v>0</v>
      </c>
      <c r="D60" s="172">
        <f>'Indexed REC Activities'!F60*'Indexed REC Calculator'!D79</f>
        <v>0</v>
      </c>
      <c r="E60" s="172">
        <f>'Indexed REC Activities'!G60*'Indexed REC Calculator'!E79</f>
        <v>0</v>
      </c>
      <c r="F60" s="172">
        <f>'Indexed REC Activities'!H60*'Indexed REC Calculator'!F79</f>
        <v>0</v>
      </c>
      <c r="G60" s="172">
        <f>'Indexed REC Activities'!I60*'Indexed REC Calculator'!G79</f>
        <v>0</v>
      </c>
      <c r="H60" s="172">
        <f>'Indexed REC Activities'!J60*'Indexed REC Calculator'!H79</f>
        <v>0</v>
      </c>
      <c r="I60" s="172">
        <f>'Indexed REC Activities'!K60*'Indexed REC Calculator'!I79</f>
        <v>0</v>
      </c>
      <c r="J60" s="172">
        <f>'Indexed REC Activities'!L60*'Indexed REC Calculator'!J79</f>
        <v>0</v>
      </c>
      <c r="K60" s="172">
        <f>'Indexed REC Activities'!M60*'Indexed REC Calculator'!K79</f>
        <v>0</v>
      </c>
      <c r="L60" s="172">
        <f>'Indexed REC Activities'!N60*'Indexed REC Calculator'!L79</f>
        <v>0</v>
      </c>
      <c r="M60" s="172">
        <f>'Indexed REC Activities'!O60*'Indexed REC Calculator'!M79</f>
        <v>0</v>
      </c>
      <c r="N60" s="172">
        <f>'Indexed REC Activities'!P60*'Indexed REC Calculator'!N79</f>
        <v>0</v>
      </c>
      <c r="O60" s="172">
        <f>'Indexed REC Activities'!Q60*'Indexed REC Calculator'!O79</f>
        <v>0</v>
      </c>
      <c r="P60" s="172">
        <f>'Indexed REC Activities'!R60*'Indexed REC Calculator'!P79</f>
        <v>0</v>
      </c>
      <c r="Q60" s="172">
        <f>'Indexed REC Activities'!S60*'Indexed REC Calculator'!Q79</f>
        <v>0</v>
      </c>
      <c r="R60" s="172">
        <f>'Indexed REC Activities'!T60*'Indexed REC Calculator'!R79</f>
        <v>0</v>
      </c>
      <c r="S60" s="172">
        <f>'Indexed REC Activities'!U60*'Indexed REC Calculator'!S79</f>
        <v>0</v>
      </c>
      <c r="T60" s="172">
        <f>'Indexed REC Activities'!V60*'Indexed REC Calculator'!T79</f>
        <v>0</v>
      </c>
      <c r="U60" s="172">
        <f>'Indexed REC Activities'!W60*'Indexed REC Calculator'!U79</f>
        <v>0</v>
      </c>
      <c r="V60" s="172">
        <f>'Indexed REC Activities'!X60*'Indexed REC Calculator'!V79</f>
        <v>4719200.8432539683</v>
      </c>
      <c r="W60" s="172">
        <f>'Indexed REC Activities'!Y60*'Indexed REC Calculator'!W79</f>
        <v>4743210.1599702379</v>
      </c>
      <c r="X60" s="172">
        <f>'Indexed REC Activities'!Z60*'Indexed REC Calculator'!X79</f>
        <v>4783441.3757452872</v>
      </c>
    </row>
    <row r="61" spans="1:24" ht="15.75" x14ac:dyDescent="0.25">
      <c r="A61" s="10" t="s">
        <v>77</v>
      </c>
      <c r="B61" s="9">
        <f t="shared" si="3"/>
        <v>2039</v>
      </c>
      <c r="C61" s="172">
        <f>'Indexed REC Activities'!E61*'Indexed REC Calculator'!C80</f>
        <v>0</v>
      </c>
      <c r="D61" s="172">
        <f>'Indexed REC Activities'!F61*'Indexed REC Calculator'!D80</f>
        <v>0</v>
      </c>
      <c r="E61" s="172">
        <f>'Indexed REC Activities'!G61*'Indexed REC Calculator'!E80</f>
        <v>0</v>
      </c>
      <c r="F61" s="172">
        <f>'Indexed REC Activities'!H61*'Indexed REC Calculator'!F80</f>
        <v>0</v>
      </c>
      <c r="G61" s="172">
        <f>'Indexed REC Activities'!I61*'Indexed REC Calculator'!G80</f>
        <v>0</v>
      </c>
      <c r="H61" s="172">
        <f>'Indexed REC Activities'!J61*'Indexed REC Calculator'!H80</f>
        <v>0</v>
      </c>
      <c r="I61" s="172">
        <f>'Indexed REC Activities'!K61*'Indexed REC Calculator'!I80</f>
        <v>0</v>
      </c>
      <c r="J61" s="172">
        <f>'Indexed REC Activities'!L61*'Indexed REC Calculator'!J80</f>
        <v>0</v>
      </c>
      <c r="K61" s="172">
        <f>'Indexed REC Activities'!M61*'Indexed REC Calculator'!K80</f>
        <v>0</v>
      </c>
      <c r="L61" s="172">
        <f>'Indexed REC Activities'!N61*'Indexed REC Calculator'!L80</f>
        <v>0</v>
      </c>
      <c r="M61" s="172">
        <f>'Indexed REC Activities'!O61*'Indexed REC Calculator'!M80</f>
        <v>0</v>
      </c>
      <c r="N61" s="172">
        <f>'Indexed REC Activities'!P61*'Indexed REC Calculator'!N80</f>
        <v>0</v>
      </c>
      <c r="O61" s="172">
        <f>'Indexed REC Activities'!Q61*'Indexed REC Calculator'!O80</f>
        <v>0</v>
      </c>
      <c r="P61" s="172">
        <f>'Indexed REC Activities'!R61*'Indexed REC Calculator'!P80</f>
        <v>0</v>
      </c>
      <c r="Q61" s="172">
        <f>'Indexed REC Activities'!S61*'Indexed REC Calculator'!Q80</f>
        <v>0</v>
      </c>
      <c r="R61" s="172">
        <f>'Indexed REC Activities'!T61*'Indexed REC Calculator'!R80</f>
        <v>0</v>
      </c>
      <c r="S61" s="172">
        <f>'Indexed REC Activities'!U61*'Indexed REC Calculator'!S80</f>
        <v>0</v>
      </c>
      <c r="T61" s="172">
        <f>'Indexed REC Activities'!V61*'Indexed REC Calculator'!T80</f>
        <v>0</v>
      </c>
      <c r="U61" s="172">
        <f>'Indexed REC Activities'!W61*'Indexed REC Calculator'!U80</f>
        <v>0</v>
      </c>
      <c r="V61" s="172">
        <f>'Indexed REC Activities'!X61*'Indexed REC Calculator'!V80</f>
        <v>0</v>
      </c>
      <c r="W61" s="172">
        <f>'Indexed REC Activities'!Y61*'Indexed REC Calculator'!W80</f>
        <v>4767045.3869047621</v>
      </c>
      <c r="X61" s="172">
        <f>'Indexed REC Activities'!Z61*'Indexed REC Calculator'!X80</f>
        <v>4807478.7695932537</v>
      </c>
    </row>
    <row r="62" spans="1:24" ht="15.75" x14ac:dyDescent="0.25">
      <c r="A62" s="10" t="s">
        <v>77</v>
      </c>
      <c r="B62" s="9">
        <f t="shared" si="3"/>
        <v>2040</v>
      </c>
      <c r="C62" s="172">
        <f>'Indexed REC Activities'!E62*'Indexed REC Calculator'!C81</f>
        <v>0</v>
      </c>
      <c r="D62" s="172">
        <f>'Indexed REC Activities'!F62*'Indexed REC Calculator'!D81</f>
        <v>0</v>
      </c>
      <c r="E62" s="172">
        <f>'Indexed REC Activities'!G62*'Indexed REC Calculator'!E81</f>
        <v>0</v>
      </c>
      <c r="F62" s="172">
        <f>'Indexed REC Activities'!H62*'Indexed REC Calculator'!F81</f>
        <v>0</v>
      </c>
      <c r="G62" s="172">
        <f>'Indexed REC Activities'!I62*'Indexed REC Calculator'!G81</f>
        <v>0</v>
      </c>
      <c r="H62" s="172">
        <f>'Indexed REC Activities'!J62*'Indexed REC Calculator'!H81</f>
        <v>0</v>
      </c>
      <c r="I62" s="172">
        <f>'Indexed REC Activities'!K62*'Indexed REC Calculator'!I81</f>
        <v>0</v>
      </c>
      <c r="J62" s="172">
        <f>'Indexed REC Activities'!L62*'Indexed REC Calculator'!J81</f>
        <v>0</v>
      </c>
      <c r="K62" s="172">
        <f>'Indexed REC Activities'!M62*'Indexed REC Calculator'!K81</f>
        <v>0</v>
      </c>
      <c r="L62" s="172">
        <f>'Indexed REC Activities'!N62*'Indexed REC Calculator'!L81</f>
        <v>0</v>
      </c>
      <c r="M62" s="172">
        <f>'Indexed REC Activities'!O62*'Indexed REC Calculator'!M81</f>
        <v>0</v>
      </c>
      <c r="N62" s="172">
        <f>'Indexed REC Activities'!P62*'Indexed REC Calculator'!N81</f>
        <v>0</v>
      </c>
      <c r="O62" s="172">
        <f>'Indexed REC Activities'!Q62*'Indexed REC Calculator'!O81</f>
        <v>0</v>
      </c>
      <c r="P62" s="172">
        <f>'Indexed REC Activities'!R62*'Indexed REC Calculator'!P81</f>
        <v>0</v>
      </c>
      <c r="Q62" s="172">
        <f>'Indexed REC Activities'!S62*'Indexed REC Calculator'!Q81</f>
        <v>0</v>
      </c>
      <c r="R62" s="172">
        <f>'Indexed REC Activities'!T62*'Indexed REC Calculator'!R81</f>
        <v>0</v>
      </c>
      <c r="S62" s="172">
        <f>'Indexed REC Activities'!U62*'Indexed REC Calculator'!S81</f>
        <v>0</v>
      </c>
      <c r="T62" s="172">
        <f>'Indexed REC Activities'!V62*'Indexed REC Calculator'!T81</f>
        <v>0</v>
      </c>
      <c r="U62" s="172">
        <f>'Indexed REC Activities'!W62*'Indexed REC Calculator'!U81</f>
        <v>0</v>
      </c>
      <c r="V62" s="172">
        <f>'Indexed REC Activities'!X62*'Indexed REC Calculator'!V81</f>
        <v>0</v>
      </c>
      <c r="W62" s="172">
        <f>'Indexed REC Activities'!Y62*'Indexed REC Calculator'!W81</f>
        <v>0</v>
      </c>
      <c r="X62" s="172">
        <f>'Indexed REC Activities'!Z62*'Indexed REC Calculator'!X81</f>
        <v>4831636.9543650793</v>
      </c>
    </row>
    <row r="63" spans="1:24" ht="15.75" x14ac:dyDescent="0.25">
      <c r="A63" s="10" t="s">
        <v>77</v>
      </c>
      <c r="B63" s="9">
        <f t="shared" si="3"/>
        <v>2041</v>
      </c>
      <c r="C63" s="172">
        <f>'Indexed REC Activities'!E63*'Indexed REC Calculator'!C82</f>
        <v>0</v>
      </c>
      <c r="D63" s="172">
        <f>'Indexed REC Activities'!F63*'Indexed REC Calculator'!D82</f>
        <v>0</v>
      </c>
      <c r="E63" s="172">
        <f>'Indexed REC Activities'!G63*'Indexed REC Calculator'!E82</f>
        <v>0</v>
      </c>
      <c r="F63" s="172">
        <f>'Indexed REC Activities'!H63*'Indexed REC Calculator'!F82</f>
        <v>0</v>
      </c>
      <c r="G63" s="172">
        <f>'Indexed REC Activities'!I63*'Indexed REC Calculator'!G82</f>
        <v>0</v>
      </c>
      <c r="H63" s="172">
        <f>'Indexed REC Activities'!J63*'Indexed REC Calculator'!H82</f>
        <v>0</v>
      </c>
      <c r="I63" s="172">
        <f>'Indexed REC Activities'!K63*'Indexed REC Calculator'!I82</f>
        <v>0</v>
      </c>
      <c r="J63" s="172">
        <f>'Indexed REC Activities'!L63*'Indexed REC Calculator'!J82</f>
        <v>0</v>
      </c>
      <c r="K63" s="172">
        <f>'Indexed REC Activities'!M63*'Indexed REC Calculator'!K82</f>
        <v>0</v>
      </c>
      <c r="L63" s="172">
        <f>'Indexed REC Activities'!N63*'Indexed REC Calculator'!L82</f>
        <v>0</v>
      </c>
      <c r="M63" s="172">
        <f>'Indexed REC Activities'!O63*'Indexed REC Calculator'!M82</f>
        <v>0</v>
      </c>
      <c r="N63" s="172">
        <f>'Indexed REC Activities'!P63*'Indexed REC Calculator'!N82</f>
        <v>0</v>
      </c>
      <c r="O63" s="172">
        <f>'Indexed REC Activities'!Q63*'Indexed REC Calculator'!O82</f>
        <v>0</v>
      </c>
      <c r="P63" s="172">
        <f>'Indexed REC Activities'!R63*'Indexed REC Calculator'!P82</f>
        <v>0</v>
      </c>
      <c r="Q63" s="172">
        <f>'Indexed REC Activities'!S63*'Indexed REC Calculator'!Q82</f>
        <v>0</v>
      </c>
      <c r="R63" s="172">
        <f>'Indexed REC Activities'!T63*'Indexed REC Calculator'!R82</f>
        <v>0</v>
      </c>
      <c r="S63" s="172">
        <f>'Indexed REC Activities'!U63*'Indexed REC Calculator'!S82</f>
        <v>0</v>
      </c>
      <c r="T63" s="172">
        <f>'Indexed REC Activities'!V63*'Indexed REC Calculator'!T82</f>
        <v>0</v>
      </c>
      <c r="U63" s="172">
        <f>'Indexed REC Activities'!W63*'Indexed REC Calculator'!U82</f>
        <v>0</v>
      </c>
      <c r="V63" s="172">
        <f>'Indexed REC Activities'!X63*'Indexed REC Calculator'!V82</f>
        <v>0</v>
      </c>
      <c r="W63" s="172">
        <f>'Indexed REC Activities'!Y63*'Indexed REC Calculator'!W82</f>
        <v>0</v>
      </c>
      <c r="X63" s="172">
        <f>'Indexed REC Activities'!Z63*'Indexed REC Calculator'!X82</f>
        <v>0</v>
      </c>
    </row>
    <row r="64" spans="1:24" ht="15.75" x14ac:dyDescent="0.25">
      <c r="A64" s="10" t="s">
        <v>77</v>
      </c>
      <c r="B64" s="9">
        <f t="shared" si="3"/>
        <v>2042</v>
      </c>
      <c r="C64" s="172">
        <f>'Indexed REC Activities'!E64*'Indexed REC Calculator'!C83</f>
        <v>0</v>
      </c>
      <c r="D64" s="172">
        <f>'Indexed REC Activities'!F64*'Indexed REC Calculator'!D83</f>
        <v>0</v>
      </c>
      <c r="E64" s="172">
        <f>'Indexed REC Activities'!G64*'Indexed REC Calculator'!E83</f>
        <v>0</v>
      </c>
      <c r="F64" s="172">
        <f>'Indexed REC Activities'!H64*'Indexed REC Calculator'!F83</f>
        <v>0</v>
      </c>
      <c r="G64" s="172">
        <f>'Indexed REC Activities'!I64*'Indexed REC Calculator'!G83</f>
        <v>0</v>
      </c>
      <c r="H64" s="172">
        <f>'Indexed REC Activities'!J64*'Indexed REC Calculator'!H83</f>
        <v>0</v>
      </c>
      <c r="I64" s="172">
        <f>'Indexed REC Activities'!K64*'Indexed REC Calculator'!I83</f>
        <v>0</v>
      </c>
      <c r="J64" s="172">
        <f>'Indexed REC Activities'!L64*'Indexed REC Calculator'!J83</f>
        <v>0</v>
      </c>
      <c r="K64" s="172">
        <f>'Indexed REC Activities'!M64*'Indexed REC Calculator'!K83</f>
        <v>0</v>
      </c>
      <c r="L64" s="172">
        <f>'Indexed REC Activities'!N64*'Indexed REC Calculator'!L83</f>
        <v>0</v>
      </c>
      <c r="M64" s="172">
        <f>'Indexed REC Activities'!O64*'Indexed REC Calculator'!M83</f>
        <v>0</v>
      </c>
      <c r="N64" s="172">
        <f>'Indexed REC Activities'!P64*'Indexed REC Calculator'!N83</f>
        <v>0</v>
      </c>
      <c r="O64" s="172">
        <f>'Indexed REC Activities'!Q64*'Indexed REC Calculator'!O83</f>
        <v>0</v>
      </c>
      <c r="P64" s="172">
        <f>'Indexed REC Activities'!R64*'Indexed REC Calculator'!P83</f>
        <v>0</v>
      </c>
      <c r="Q64" s="172">
        <f>'Indexed REC Activities'!S64*'Indexed REC Calculator'!Q83</f>
        <v>0</v>
      </c>
      <c r="R64" s="172">
        <f>'Indexed REC Activities'!T64*'Indexed REC Calculator'!R83</f>
        <v>0</v>
      </c>
      <c r="S64" s="172">
        <f>'Indexed REC Activities'!U64*'Indexed REC Calculator'!S83</f>
        <v>0</v>
      </c>
      <c r="T64" s="172">
        <f>'Indexed REC Activities'!V64*'Indexed REC Calculator'!T83</f>
        <v>0</v>
      </c>
      <c r="U64" s="172">
        <f>'Indexed REC Activities'!W64*'Indexed REC Calculator'!U83</f>
        <v>0</v>
      </c>
      <c r="V64" s="172">
        <f>'Indexed REC Activities'!X64*'Indexed REC Calculator'!V83</f>
        <v>0</v>
      </c>
      <c r="W64" s="172">
        <f>'Indexed REC Activities'!Y64*'Indexed REC Calculator'!W83</f>
        <v>0</v>
      </c>
      <c r="X64" s="172">
        <f>'Indexed REC Activities'!Z64*'Indexed REC Calculator'!X83</f>
        <v>0</v>
      </c>
    </row>
    <row r="67" spans="1:24" ht="15.75" x14ac:dyDescent="0.25">
      <c r="A67" s="168" t="s">
        <v>97</v>
      </c>
      <c r="C67" s="208">
        <v>2022</v>
      </c>
      <c r="D67" s="208">
        <f t="shared" ref="D67:W67" si="4">C67+1</f>
        <v>2023</v>
      </c>
      <c r="E67" s="208">
        <f t="shared" si="4"/>
        <v>2024</v>
      </c>
      <c r="F67" s="208">
        <f t="shared" si="4"/>
        <v>2025</v>
      </c>
      <c r="G67" s="208">
        <f t="shared" si="4"/>
        <v>2026</v>
      </c>
      <c r="H67" s="208">
        <f t="shared" si="4"/>
        <v>2027</v>
      </c>
      <c r="I67" s="208">
        <f t="shared" si="4"/>
        <v>2028</v>
      </c>
      <c r="J67" s="208">
        <f t="shared" si="4"/>
        <v>2029</v>
      </c>
      <c r="K67" s="208">
        <f t="shared" si="4"/>
        <v>2030</v>
      </c>
      <c r="L67" s="208">
        <f t="shared" si="4"/>
        <v>2031</v>
      </c>
      <c r="M67" s="208">
        <f t="shared" si="4"/>
        <v>2032</v>
      </c>
      <c r="N67" s="208">
        <f t="shared" si="4"/>
        <v>2033</v>
      </c>
      <c r="O67" s="208">
        <f t="shared" si="4"/>
        <v>2034</v>
      </c>
      <c r="P67" s="208">
        <f t="shared" si="4"/>
        <v>2035</v>
      </c>
      <c r="Q67" s="208">
        <f t="shared" si="4"/>
        <v>2036</v>
      </c>
      <c r="R67" s="208">
        <f t="shared" si="4"/>
        <v>2037</v>
      </c>
      <c r="S67" s="208">
        <f t="shared" si="4"/>
        <v>2038</v>
      </c>
      <c r="T67" s="208">
        <f t="shared" si="4"/>
        <v>2039</v>
      </c>
      <c r="U67" s="208">
        <f t="shared" si="4"/>
        <v>2040</v>
      </c>
      <c r="V67" s="208">
        <f t="shared" si="4"/>
        <v>2041</v>
      </c>
      <c r="W67" s="208">
        <f t="shared" si="4"/>
        <v>2042</v>
      </c>
      <c r="X67" s="208">
        <f t="shared" ref="X67" si="5">W67+1</f>
        <v>2043</v>
      </c>
    </row>
    <row r="68" spans="1:24" x14ac:dyDescent="0.25">
      <c r="A68" s="10" t="s">
        <v>81</v>
      </c>
      <c r="C68" s="172">
        <f t="shared" ref="C68:X68" si="6">IFERROR(SUMIF($A$2:$A$64,$A$68, C2:C64),"error")</f>
        <v>0</v>
      </c>
      <c r="D68" s="172">
        <f t="shared" si="6"/>
        <v>0</v>
      </c>
      <c r="E68" s="172">
        <f t="shared" si="6"/>
        <v>0</v>
      </c>
      <c r="F68" s="172">
        <f t="shared" si="6"/>
        <v>0</v>
      </c>
      <c r="G68" s="172">
        <f t="shared" si="6"/>
        <v>16849134.070567548</v>
      </c>
      <c r="H68" s="172">
        <f t="shared" si="6"/>
        <v>51893222.803308889</v>
      </c>
      <c r="I68" s="172">
        <f t="shared" si="6"/>
        <v>165660001.40462071</v>
      </c>
      <c r="J68" s="172">
        <f t="shared" si="6"/>
        <v>250830341.43090147</v>
      </c>
      <c r="K68" s="172">
        <f t="shared" si="6"/>
        <v>325881415.54416835</v>
      </c>
      <c r="L68" s="172">
        <f t="shared" si="6"/>
        <v>406978178.33161998</v>
      </c>
      <c r="M68" s="172">
        <f t="shared" si="6"/>
        <v>486278302.53626812</v>
      </c>
      <c r="N68" s="172">
        <f t="shared" si="6"/>
        <v>528370263.86752254</v>
      </c>
      <c r="O68" s="172">
        <f t="shared" si="6"/>
        <v>555524987.75748003</v>
      </c>
      <c r="P68" s="172">
        <f t="shared" si="6"/>
        <v>557247145.16579235</v>
      </c>
      <c r="Q68" s="172">
        <f t="shared" si="6"/>
        <v>572727251.8937453</v>
      </c>
      <c r="R68" s="172">
        <f t="shared" si="6"/>
        <v>658058076.8959552</v>
      </c>
      <c r="S68" s="172">
        <f t="shared" si="6"/>
        <v>715103568.02847505</v>
      </c>
      <c r="T68" s="172">
        <f t="shared" si="6"/>
        <v>758249517.1548301</v>
      </c>
      <c r="U68" s="172">
        <f t="shared" si="6"/>
        <v>814268951.350088</v>
      </c>
      <c r="V68" s="172">
        <f t="shared" si="6"/>
        <v>868506108.17114675</v>
      </c>
      <c r="W68" s="172">
        <f t="shared" si="6"/>
        <v>913052297.96826267</v>
      </c>
      <c r="X68" s="172">
        <f t="shared" si="6"/>
        <v>964079649.88888085</v>
      </c>
    </row>
    <row r="69" spans="1:24" x14ac:dyDescent="0.25">
      <c r="A69" s="10" t="s">
        <v>82</v>
      </c>
      <c r="C69" s="172">
        <f t="shared" ref="C69:X69" si="7">IFERROR(SUMIF($A$2:$A$64,$A$69, C2:C64),"error")</f>
        <v>0</v>
      </c>
      <c r="D69" s="172">
        <f t="shared" si="7"/>
        <v>0</v>
      </c>
      <c r="E69" s="172">
        <f t="shared" si="7"/>
        <v>0</v>
      </c>
      <c r="F69" s="172">
        <f t="shared" si="7"/>
        <v>0</v>
      </c>
      <c r="G69" s="172">
        <f t="shared" si="7"/>
        <v>13255868.443590889</v>
      </c>
      <c r="H69" s="172">
        <f t="shared" si="7"/>
        <v>55090691.542033732</v>
      </c>
      <c r="I69" s="172">
        <f t="shared" si="7"/>
        <v>141061274.55095011</v>
      </c>
      <c r="J69" s="172">
        <f t="shared" si="7"/>
        <v>200421644.4937745</v>
      </c>
      <c r="K69" s="172">
        <f>IFERROR(SUMIF($A$2:$A$64,$A$69, K2:K64),"error")</f>
        <v>248691572.78399947</v>
      </c>
      <c r="L69" s="172">
        <f t="shared" si="7"/>
        <v>277269912.7226575</v>
      </c>
      <c r="M69" s="172">
        <f t="shared" si="7"/>
        <v>314348506.27877975</v>
      </c>
      <c r="N69" s="172">
        <f t="shared" si="7"/>
        <v>336727196.70659864</v>
      </c>
      <c r="O69" s="172">
        <f t="shared" si="7"/>
        <v>338746978.64071208</v>
      </c>
      <c r="P69" s="172">
        <f t="shared" si="7"/>
        <v>338750809.89549476</v>
      </c>
      <c r="Q69" s="172">
        <f t="shared" si="7"/>
        <v>398293435.05301464</v>
      </c>
      <c r="R69" s="172">
        <f t="shared" si="7"/>
        <v>437974048.62623197</v>
      </c>
      <c r="S69" s="172">
        <f t="shared" si="7"/>
        <v>464872020.6703288</v>
      </c>
      <c r="T69" s="172">
        <f t="shared" si="7"/>
        <v>501686618.99639708</v>
      </c>
      <c r="U69" s="172">
        <f t="shared" si="7"/>
        <v>538384696.21729875</v>
      </c>
      <c r="V69" s="172">
        <f t="shared" si="7"/>
        <v>566870288.44347596</v>
      </c>
      <c r="W69" s="172">
        <f t="shared" si="7"/>
        <v>599521186.50882959</v>
      </c>
      <c r="X69" s="172">
        <f t="shared" si="7"/>
        <v>636556031.69814503</v>
      </c>
    </row>
    <row r="70" spans="1:24" x14ac:dyDescent="0.25">
      <c r="A70" s="10" t="s">
        <v>77</v>
      </c>
      <c r="C70" s="172">
        <f t="shared" ref="C70:X70" si="8">IFERROR(SUMIF($A$2:$A$64,$A$70, C2:C64),"error")</f>
        <v>0</v>
      </c>
      <c r="D70" s="172">
        <f t="shared" si="8"/>
        <v>0</v>
      </c>
      <c r="E70" s="172">
        <f t="shared" si="8"/>
        <v>0</v>
      </c>
      <c r="F70" s="172">
        <f t="shared" si="8"/>
        <v>44325.176186843986</v>
      </c>
      <c r="G70" s="172">
        <f t="shared" si="8"/>
        <v>699298.11266848026</v>
      </c>
      <c r="H70" s="172">
        <f t="shared" si="8"/>
        <v>2433744.9193426496</v>
      </c>
      <c r="I70" s="172">
        <f t="shared" si="8"/>
        <v>11887236.791377939</v>
      </c>
      <c r="J70" s="172">
        <f t="shared" si="8"/>
        <v>16015069.356681004</v>
      </c>
      <c r="K70" s="172">
        <f t="shared" si="8"/>
        <v>20477597.468578845</v>
      </c>
      <c r="L70" s="172">
        <f t="shared" si="8"/>
        <v>20402786.086940289</v>
      </c>
      <c r="M70" s="172">
        <f t="shared" si="8"/>
        <v>29387316.104948726</v>
      </c>
      <c r="N70" s="172">
        <f t="shared" si="8"/>
        <v>33702508.01175911</v>
      </c>
      <c r="O70" s="172">
        <f t="shared" si="8"/>
        <v>36791017.38725549</v>
      </c>
      <c r="P70" s="172">
        <f t="shared" si="8"/>
        <v>39621234.114527933</v>
      </c>
      <c r="Q70" s="172">
        <f t="shared" si="8"/>
        <v>46248259.538925581</v>
      </c>
      <c r="R70" s="172">
        <f t="shared" si="8"/>
        <v>51708039.881337211</v>
      </c>
      <c r="S70" s="172">
        <f t="shared" si="8"/>
        <v>56338068.555589959</v>
      </c>
      <c r="T70" s="172">
        <f t="shared" si="8"/>
        <v>61697141.13273111</v>
      </c>
      <c r="U70" s="172">
        <f t="shared" si="8"/>
        <v>67091310.070659675</v>
      </c>
      <c r="V70" s="172">
        <f t="shared" si="8"/>
        <v>71896738.451720908</v>
      </c>
      <c r="W70" s="172">
        <f t="shared" si="8"/>
        <v>77031665.732143119</v>
      </c>
      <c r="X70" s="172">
        <f t="shared" si="8"/>
        <v>68664415.277700439</v>
      </c>
    </row>
    <row r="71" spans="1:24" x14ac:dyDescent="0.25">
      <c r="A71" s="12" t="s">
        <v>98</v>
      </c>
      <c r="C71" s="172">
        <f t="shared" ref="C71:X71" si="9">SUM(C68:C70)</f>
        <v>0</v>
      </c>
      <c r="D71" s="172">
        <f t="shared" si="9"/>
        <v>0</v>
      </c>
      <c r="E71" s="172">
        <f t="shared" si="9"/>
        <v>0</v>
      </c>
      <c r="F71" s="172">
        <f t="shared" si="9"/>
        <v>44325.176186843986</v>
      </c>
      <c r="G71" s="172">
        <f t="shared" si="9"/>
        <v>30804300.626826916</v>
      </c>
      <c r="H71" s="172">
        <f t="shared" si="9"/>
        <v>109417659.26468527</v>
      </c>
      <c r="I71" s="172">
        <f t="shared" si="9"/>
        <v>318608512.74694878</v>
      </c>
      <c r="J71" s="172">
        <f t="shared" si="9"/>
        <v>467267055.28135693</v>
      </c>
      <c r="K71" s="172">
        <f t="shared" si="9"/>
        <v>595050585.79674661</v>
      </c>
      <c r="L71" s="172">
        <f t="shared" si="9"/>
        <v>704650877.14121771</v>
      </c>
      <c r="M71" s="172">
        <f t="shared" si="9"/>
        <v>830014124.91999662</v>
      </c>
      <c r="N71" s="172">
        <f t="shared" si="9"/>
        <v>898799968.5858804</v>
      </c>
      <c r="O71" s="172">
        <f t="shared" si="9"/>
        <v>931062983.7854476</v>
      </c>
      <c r="P71" s="172">
        <f t="shared" si="9"/>
        <v>935619189.17581511</v>
      </c>
      <c r="Q71" s="172">
        <f t="shared" si="9"/>
        <v>1017268946.4856855</v>
      </c>
      <c r="R71" s="172">
        <f t="shared" si="9"/>
        <v>1147740165.4035244</v>
      </c>
      <c r="S71" s="172">
        <f t="shared" si="9"/>
        <v>1236313657.2543938</v>
      </c>
      <c r="T71" s="172">
        <f t="shared" si="9"/>
        <v>1321633277.2839584</v>
      </c>
      <c r="U71" s="172">
        <f t="shared" si="9"/>
        <v>1419744957.6380463</v>
      </c>
      <c r="V71" s="172">
        <f t="shared" si="9"/>
        <v>1507273135.0663435</v>
      </c>
      <c r="W71" s="172">
        <f t="shared" si="9"/>
        <v>1589605150.2092354</v>
      </c>
      <c r="X71" s="172">
        <f t="shared" si="9"/>
        <v>1669300096.8647263</v>
      </c>
    </row>
    <row r="73" spans="1:24" ht="15.75" x14ac:dyDescent="0.25">
      <c r="A73" s="168" t="s">
        <v>85</v>
      </c>
      <c r="C73" s="208">
        <v>2022</v>
      </c>
      <c r="D73" s="208">
        <f>C73+1</f>
        <v>2023</v>
      </c>
      <c r="E73" s="208">
        <f t="shared" ref="E73:W73" si="10">D73+1</f>
        <v>2024</v>
      </c>
      <c r="F73" s="208">
        <f t="shared" si="10"/>
        <v>2025</v>
      </c>
      <c r="G73" s="208">
        <f t="shared" si="10"/>
        <v>2026</v>
      </c>
      <c r="H73" s="208">
        <f t="shared" si="10"/>
        <v>2027</v>
      </c>
      <c r="I73" s="208">
        <f t="shared" si="10"/>
        <v>2028</v>
      </c>
      <c r="J73" s="208">
        <f t="shared" si="10"/>
        <v>2029</v>
      </c>
      <c r="K73" s="208">
        <f t="shared" si="10"/>
        <v>2030</v>
      </c>
      <c r="L73" s="208">
        <f t="shared" si="10"/>
        <v>2031</v>
      </c>
      <c r="M73" s="208">
        <f t="shared" si="10"/>
        <v>2032</v>
      </c>
      <c r="N73" s="208">
        <f t="shared" si="10"/>
        <v>2033</v>
      </c>
      <c r="O73" s="208">
        <f t="shared" si="10"/>
        <v>2034</v>
      </c>
      <c r="P73" s="208">
        <f t="shared" si="10"/>
        <v>2035</v>
      </c>
      <c r="Q73" s="208">
        <f t="shared" si="10"/>
        <v>2036</v>
      </c>
      <c r="R73" s="208">
        <f t="shared" si="10"/>
        <v>2037</v>
      </c>
      <c r="S73" s="208">
        <f t="shared" si="10"/>
        <v>2038</v>
      </c>
      <c r="T73" s="208">
        <f t="shared" si="10"/>
        <v>2039</v>
      </c>
      <c r="U73" s="208">
        <f t="shared" si="10"/>
        <v>2040</v>
      </c>
      <c r="V73" s="208">
        <f t="shared" si="10"/>
        <v>2041</v>
      </c>
      <c r="W73" s="208">
        <f t="shared" si="10"/>
        <v>2042</v>
      </c>
      <c r="X73" s="208">
        <f t="shared" ref="X73" si="11">W73+1</f>
        <v>2043</v>
      </c>
    </row>
    <row r="74" spans="1:24" x14ac:dyDescent="0.25">
      <c r="A74" s="10" t="s">
        <v>81</v>
      </c>
      <c r="C74" s="172">
        <f>SUMIFS(C$2:C$64,$A$2:$A$64,$A74,$B$2:$B$64,"&lt;=2024")</f>
        <v>0</v>
      </c>
      <c r="D74" s="172">
        <f t="shared" ref="D74:X76" si="12">SUMIFS(D$2:D$64,$A$2:$A$64,$A74,$B$2:$B$64,"&lt;=2024")</f>
        <v>0</v>
      </c>
      <c r="E74" s="172">
        <f t="shared" si="12"/>
        <v>0</v>
      </c>
      <c r="F74" s="172">
        <f t="shared" si="12"/>
        <v>0</v>
      </c>
      <c r="G74" s="172">
        <f t="shared" si="12"/>
        <v>16849134.070567548</v>
      </c>
      <c r="H74" s="172">
        <f t="shared" si="12"/>
        <v>51893222.803308889</v>
      </c>
      <c r="I74" s="172">
        <f t="shared" si="12"/>
        <v>86749882.357001692</v>
      </c>
      <c r="J74" s="172">
        <f t="shared" si="12"/>
        <v>102671958.4943936</v>
      </c>
      <c r="K74" s="172">
        <f t="shared" si="12"/>
        <v>105367799.47273979</v>
      </c>
      <c r="L74" s="172">
        <f t="shared" si="12"/>
        <v>105616769.60146141</v>
      </c>
      <c r="M74" s="172">
        <f t="shared" si="12"/>
        <v>108728823.36960153</v>
      </c>
      <c r="N74" s="172">
        <f t="shared" si="12"/>
        <v>109172897.79609405</v>
      </c>
      <c r="O74" s="172">
        <f t="shared" si="12"/>
        <v>103522011.56700371</v>
      </c>
      <c r="P74" s="172">
        <f t="shared" si="12"/>
        <v>97930017.189601943</v>
      </c>
      <c r="Q74" s="172">
        <f t="shared" si="12"/>
        <v>108909796.53660236</v>
      </c>
      <c r="R74" s="172">
        <f t="shared" si="12"/>
        <v>113791410.22928861</v>
      </c>
      <c r="S74" s="172">
        <f t="shared" si="12"/>
        <v>115136271.40149088</v>
      </c>
      <c r="T74" s="172">
        <f t="shared" si="12"/>
        <v>118708133.2262592</v>
      </c>
      <c r="U74" s="172">
        <f t="shared" si="12"/>
        <v>121985171.58818349</v>
      </c>
      <c r="V74" s="172">
        <f t="shared" si="12"/>
        <v>123260651.82194009</v>
      </c>
      <c r="W74" s="172">
        <f t="shared" si="12"/>
        <v>125327074.75397751</v>
      </c>
      <c r="X74" s="172">
        <f t="shared" si="12"/>
        <v>128116807.62697619</v>
      </c>
    </row>
    <row r="75" spans="1:24" x14ac:dyDescent="0.25">
      <c r="A75" s="10" t="s">
        <v>82</v>
      </c>
      <c r="C75" s="172">
        <f>SUMIFS(C$2:C$64,$A$2:$A$64,$A75,$B$2:$B$64,"&lt;=2024")</f>
        <v>0</v>
      </c>
      <c r="D75" s="172">
        <f t="shared" si="12"/>
        <v>0</v>
      </c>
      <c r="E75" s="172">
        <f t="shared" si="12"/>
        <v>0</v>
      </c>
      <c r="F75" s="172">
        <f t="shared" si="12"/>
        <v>0</v>
      </c>
      <c r="G75" s="172">
        <f t="shared" si="12"/>
        <v>13255868.443590889</v>
      </c>
      <c r="H75" s="172">
        <f t="shared" si="12"/>
        <v>55090691.542033732</v>
      </c>
      <c r="I75" s="172">
        <f t="shared" si="12"/>
        <v>121966842.58720012</v>
      </c>
      <c r="J75" s="172">
        <f t="shared" si="12"/>
        <v>138957435.86012003</v>
      </c>
      <c r="K75" s="172">
        <f t="shared" si="12"/>
        <v>142234826.71323323</v>
      </c>
      <c r="L75" s="172">
        <f t="shared" si="12"/>
        <v>141885026.21136856</v>
      </c>
      <c r="M75" s="172">
        <f t="shared" si="12"/>
        <v>145670080.42659914</v>
      </c>
      <c r="N75" s="172">
        <f t="shared" si="12"/>
        <v>145579862.93262011</v>
      </c>
      <c r="O75" s="172">
        <f t="shared" si="12"/>
        <v>136772267.58808047</v>
      </c>
      <c r="P75" s="172">
        <f t="shared" si="12"/>
        <v>128132891.86287358</v>
      </c>
      <c r="Q75" s="172">
        <f t="shared" si="12"/>
        <v>143034632.80233493</v>
      </c>
      <c r="R75" s="172">
        <f t="shared" si="12"/>
        <v>149195067.65657625</v>
      </c>
      <c r="S75" s="172">
        <f t="shared" si="12"/>
        <v>150333818.38367623</v>
      </c>
      <c r="T75" s="172">
        <f t="shared" si="12"/>
        <v>154562827.83027405</v>
      </c>
      <c r="U75" s="172">
        <f t="shared" si="12"/>
        <v>158336736.39840105</v>
      </c>
      <c r="V75" s="172">
        <f t="shared" si="12"/>
        <v>159305867.82734659</v>
      </c>
      <c r="W75" s="172">
        <f t="shared" si="12"/>
        <v>161347795.47474805</v>
      </c>
      <c r="X75" s="172">
        <f t="shared" si="12"/>
        <v>164353898.46595925</v>
      </c>
    </row>
    <row r="76" spans="1:24" x14ac:dyDescent="0.25">
      <c r="A76" s="10" t="s">
        <v>77</v>
      </c>
      <c r="C76" s="172">
        <f>SUMIFS(C$2:C$64,$A$2:$A$64,$A76,$B$2:$B$64,"&lt;=2024")</f>
        <v>0</v>
      </c>
      <c r="D76" s="172">
        <f t="shared" si="12"/>
        <v>0</v>
      </c>
      <c r="E76" s="172">
        <f t="shared" si="12"/>
        <v>0</v>
      </c>
      <c r="F76" s="172">
        <f t="shared" si="12"/>
        <v>44325.176186843986</v>
      </c>
      <c r="G76" s="172">
        <f t="shared" si="12"/>
        <v>699298.11266848026</v>
      </c>
      <c r="H76" s="172">
        <f t="shared" si="12"/>
        <v>2433744.9193426496</v>
      </c>
      <c r="I76" s="172">
        <f t="shared" si="12"/>
        <v>7625194.2814573068</v>
      </c>
      <c r="J76" s="172">
        <f t="shared" si="12"/>
        <v>7551273.2473060042</v>
      </c>
      <c r="K76" s="172">
        <f t="shared" si="12"/>
        <v>7627297.7525235396</v>
      </c>
      <c r="L76" s="172">
        <f t="shared" si="12"/>
        <v>7599616.775880266</v>
      </c>
      <c r="M76" s="172">
        <f t="shared" si="12"/>
        <v>7691656.0803238163</v>
      </c>
      <c r="N76" s="172">
        <f t="shared" si="12"/>
        <v>7671660.7030497445</v>
      </c>
      <c r="O76" s="172">
        <f t="shared" si="12"/>
        <v>7399535.0397987459</v>
      </c>
      <c r="P76" s="172">
        <f t="shared" si="12"/>
        <v>7132362.9141285662</v>
      </c>
      <c r="Q76" s="172">
        <f t="shared" si="12"/>
        <v>7546384.7337663714</v>
      </c>
      <c r="R76" s="172">
        <f t="shared" si="12"/>
        <v>7707582.6617976055</v>
      </c>
      <c r="S76" s="172">
        <f t="shared" si="12"/>
        <v>7723574.9479541089</v>
      </c>
      <c r="T76" s="172">
        <f t="shared" si="12"/>
        <v>7829061.5132002104</v>
      </c>
      <c r="U76" s="172">
        <f t="shared" si="12"/>
        <v>7921465.1350494791</v>
      </c>
      <c r="V76" s="172">
        <f t="shared" si="12"/>
        <v>7932802.9313125582</v>
      </c>
      <c r="W76" s="172">
        <f t="shared" si="12"/>
        <v>7975263.1194741381</v>
      </c>
      <c r="X76" s="172">
        <f t="shared" si="12"/>
        <v>-5809350.6097917501</v>
      </c>
    </row>
    <row r="77" spans="1:24" x14ac:dyDescent="0.25">
      <c r="A77" s="12" t="s">
        <v>98</v>
      </c>
      <c r="C77" s="172">
        <f t="shared" ref="C77:W77" si="13">SUM(C74:C76)</f>
        <v>0</v>
      </c>
      <c r="D77" s="172">
        <f t="shared" si="13"/>
        <v>0</v>
      </c>
      <c r="E77" s="172">
        <f t="shared" si="13"/>
        <v>0</v>
      </c>
      <c r="F77" s="172">
        <f t="shared" si="13"/>
        <v>44325.176186843986</v>
      </c>
      <c r="G77" s="172">
        <f t="shared" si="13"/>
        <v>30804300.626826916</v>
      </c>
      <c r="H77" s="172">
        <f t="shared" si="13"/>
        <v>109417659.26468527</v>
      </c>
      <c r="I77" s="172">
        <f t="shared" si="13"/>
        <v>216341919.22565913</v>
      </c>
      <c r="J77" s="172">
        <f t="shared" si="13"/>
        <v>249180667.60181963</v>
      </c>
      <c r="K77" s="172">
        <f t="shared" si="13"/>
        <v>255229923.93849656</v>
      </c>
      <c r="L77" s="172">
        <f t="shared" si="13"/>
        <v>255101412.58871025</v>
      </c>
      <c r="M77" s="172">
        <f t="shared" si="13"/>
        <v>262090559.87652451</v>
      </c>
      <c r="N77" s="172">
        <f t="shared" si="13"/>
        <v>262424421.43176392</v>
      </c>
      <c r="O77" s="172">
        <f t="shared" si="13"/>
        <v>247693814.19488293</v>
      </c>
      <c r="P77" s="172">
        <f t="shared" si="13"/>
        <v>233195271.96660408</v>
      </c>
      <c r="Q77" s="172">
        <f t="shared" si="13"/>
        <v>259490814.07270366</v>
      </c>
      <c r="R77" s="172">
        <f t="shared" si="13"/>
        <v>270694060.54766244</v>
      </c>
      <c r="S77" s="172">
        <f t="shared" si="13"/>
        <v>273193664.73312122</v>
      </c>
      <c r="T77" s="172">
        <f t="shared" si="13"/>
        <v>281100022.56973344</v>
      </c>
      <c r="U77" s="172">
        <f t="shared" si="13"/>
        <v>288243373.12163401</v>
      </c>
      <c r="V77" s="172">
        <f t="shared" si="13"/>
        <v>290499322.58059925</v>
      </c>
      <c r="W77" s="172">
        <f t="shared" si="13"/>
        <v>294650133.34819967</v>
      </c>
      <c r="X77" s="172">
        <f t="shared" ref="X77" si="14">SUM(X74:X76)</f>
        <v>286661355.48314369</v>
      </c>
    </row>
    <row r="79" spans="1:24" ht="15.75" x14ac:dyDescent="0.25">
      <c r="A79" s="168" t="s">
        <v>86</v>
      </c>
      <c r="C79" s="208">
        <v>2022</v>
      </c>
      <c r="D79" s="208">
        <f t="shared" ref="D79:W79" si="15">C67+1</f>
        <v>2023</v>
      </c>
      <c r="E79" s="208">
        <f>D67+1</f>
        <v>2024</v>
      </c>
      <c r="F79" s="208">
        <f t="shared" si="15"/>
        <v>2025</v>
      </c>
      <c r="G79" s="208">
        <f t="shared" si="15"/>
        <v>2026</v>
      </c>
      <c r="H79" s="208">
        <f t="shared" si="15"/>
        <v>2027</v>
      </c>
      <c r="I79" s="208">
        <f t="shared" si="15"/>
        <v>2028</v>
      </c>
      <c r="J79" s="208">
        <f t="shared" si="15"/>
        <v>2029</v>
      </c>
      <c r="K79" s="208">
        <f t="shared" si="15"/>
        <v>2030</v>
      </c>
      <c r="L79" s="208">
        <f t="shared" si="15"/>
        <v>2031</v>
      </c>
      <c r="M79" s="208">
        <f t="shared" si="15"/>
        <v>2032</v>
      </c>
      <c r="N79" s="208">
        <f t="shared" si="15"/>
        <v>2033</v>
      </c>
      <c r="O79" s="208">
        <f t="shared" si="15"/>
        <v>2034</v>
      </c>
      <c r="P79" s="208">
        <f t="shared" si="15"/>
        <v>2035</v>
      </c>
      <c r="Q79" s="208">
        <f t="shared" si="15"/>
        <v>2036</v>
      </c>
      <c r="R79" s="208">
        <f t="shared" si="15"/>
        <v>2037</v>
      </c>
      <c r="S79" s="208">
        <f t="shared" si="15"/>
        <v>2038</v>
      </c>
      <c r="T79" s="208">
        <f t="shared" si="15"/>
        <v>2039</v>
      </c>
      <c r="U79" s="208">
        <f t="shared" si="15"/>
        <v>2040</v>
      </c>
      <c r="V79" s="208">
        <f t="shared" si="15"/>
        <v>2041</v>
      </c>
      <c r="W79" s="208">
        <f t="shared" si="15"/>
        <v>2042</v>
      </c>
      <c r="X79" s="208">
        <f t="shared" ref="X79" si="16">W67+1</f>
        <v>2043</v>
      </c>
    </row>
    <row r="80" spans="1:24" x14ac:dyDescent="0.25">
      <c r="A80" s="10" t="s">
        <v>81</v>
      </c>
      <c r="C80" s="172">
        <f>SUMIFS(C2:C64,$A$2:$A$64,$A$80,$B$2:$B$64,"=2024 or 2025")</f>
        <v>0</v>
      </c>
      <c r="D80" s="172">
        <f t="shared" ref="D80:X80" si="17">SUMIFS(D2:D64,$A$2:$A$64,$A$80,$B$2:$B$64,"&gt;2024")</f>
        <v>0</v>
      </c>
      <c r="E80" s="172">
        <f t="shared" si="17"/>
        <v>0</v>
      </c>
      <c r="F80" s="172">
        <f t="shared" si="17"/>
        <v>0</v>
      </c>
      <c r="G80" s="172">
        <f t="shared" si="17"/>
        <v>0</v>
      </c>
      <c r="H80" s="172">
        <f t="shared" si="17"/>
        <v>0</v>
      </c>
      <c r="I80" s="172">
        <f>SUMIFS(I2:I64,$A$2:$A$64,$A$80,$B$2:$B$64,"&gt;2024")</f>
        <v>78910119.04761903</v>
      </c>
      <c r="J80" s="172">
        <f t="shared" si="17"/>
        <v>148158382.93650785</v>
      </c>
      <c r="K80" s="172">
        <f t="shared" si="17"/>
        <v>220513616.0714286</v>
      </c>
      <c r="L80" s="172">
        <f t="shared" si="17"/>
        <v>301361408.73015863</v>
      </c>
      <c r="M80" s="172">
        <f t="shared" si="17"/>
        <v>377549479.16666657</v>
      </c>
      <c r="N80" s="172">
        <f t="shared" si="17"/>
        <v>419197366.07142854</v>
      </c>
      <c r="O80" s="172">
        <f t="shared" si="17"/>
        <v>452002976.19047624</v>
      </c>
      <c r="P80" s="172">
        <f t="shared" si="17"/>
        <v>459317127.97619045</v>
      </c>
      <c r="Q80" s="172">
        <f t="shared" si="17"/>
        <v>463817455.35714298</v>
      </c>
      <c r="R80" s="172">
        <f t="shared" si="17"/>
        <v>544266666.66666651</v>
      </c>
      <c r="S80" s="172">
        <f t="shared" si="17"/>
        <v>599967296.62698412</v>
      </c>
      <c r="T80" s="172">
        <f t="shared" si="17"/>
        <v>639541383.92857111</v>
      </c>
      <c r="U80" s="172">
        <f t="shared" si="17"/>
        <v>692283779.76190448</v>
      </c>
      <c r="V80" s="172">
        <f t="shared" si="17"/>
        <v>745245456.34920645</v>
      </c>
      <c r="W80" s="172">
        <f t="shared" si="17"/>
        <v>787725223.21428525</v>
      </c>
      <c r="X80" s="172">
        <f t="shared" si="17"/>
        <v>835962842.26190472</v>
      </c>
    </row>
    <row r="81" spans="1:34" x14ac:dyDescent="0.25">
      <c r="A81" s="10" t="s">
        <v>82</v>
      </c>
      <c r="C81" s="172">
        <f>SUMIFS(C2:C64,$A$2:$A$64,$A$81,$B$2:$B$64,"&gt;2024")</f>
        <v>0</v>
      </c>
      <c r="D81" s="172">
        <f t="shared" ref="D81:X81" si="18">SUMIFS(D2:D64,$A$2:$A$64,$A$81,$B$2:$B$64,"&gt;2024")</f>
        <v>0</v>
      </c>
      <c r="E81" s="172">
        <f t="shared" si="18"/>
        <v>0</v>
      </c>
      <c r="F81" s="172">
        <f t="shared" si="18"/>
        <v>0</v>
      </c>
      <c r="G81" s="172">
        <f t="shared" si="18"/>
        <v>0</v>
      </c>
      <c r="H81" s="172">
        <f t="shared" si="18"/>
        <v>0</v>
      </c>
      <c r="I81" s="172">
        <f t="shared" si="18"/>
        <v>19094431.96374999</v>
      </c>
      <c r="J81" s="172">
        <f t="shared" si="18"/>
        <v>61464208.633654475</v>
      </c>
      <c r="K81" s="172">
        <f t="shared" si="18"/>
        <v>106456746.07076626</v>
      </c>
      <c r="L81" s="172">
        <f t="shared" si="18"/>
        <v>135384886.51128894</v>
      </c>
      <c r="M81" s="172">
        <f t="shared" si="18"/>
        <v>168678425.85218057</v>
      </c>
      <c r="N81" s="172">
        <f t="shared" si="18"/>
        <v>191147333.77397853</v>
      </c>
      <c r="O81" s="172">
        <f t="shared" si="18"/>
        <v>201974711.05263159</v>
      </c>
      <c r="P81" s="172">
        <f t="shared" si="18"/>
        <v>210617918.0326212</v>
      </c>
      <c r="Q81" s="172">
        <f t="shared" si="18"/>
        <v>255258802.2506797</v>
      </c>
      <c r="R81" s="172">
        <f t="shared" si="18"/>
        <v>288778980.96965569</v>
      </c>
      <c r="S81" s="172">
        <f t="shared" si="18"/>
        <v>314538202.28665257</v>
      </c>
      <c r="T81" s="172">
        <f t="shared" si="18"/>
        <v>347123791.16612303</v>
      </c>
      <c r="U81" s="172">
        <f t="shared" si="18"/>
        <v>380047959.8188976</v>
      </c>
      <c r="V81" s="172">
        <f t="shared" si="18"/>
        <v>407564420.61612934</v>
      </c>
      <c r="W81" s="172">
        <f t="shared" si="18"/>
        <v>438173391.03408158</v>
      </c>
      <c r="X81" s="172">
        <f t="shared" si="18"/>
        <v>472202133.23218566</v>
      </c>
    </row>
    <row r="82" spans="1:34" x14ac:dyDescent="0.25">
      <c r="A82" s="10" t="s">
        <v>77</v>
      </c>
      <c r="C82" s="172">
        <f>SUMIFS(C2:C64,$A$2:$A$64,$A$82,$B$2:$B$64,"&gt;2024")</f>
        <v>0</v>
      </c>
      <c r="D82" s="172">
        <f t="shared" ref="D82:X82" si="19">SUMIFS(D2:D64,$A$2:$A$64,$A$82,$B$2:$B$64,"&gt;2024")</f>
        <v>0</v>
      </c>
      <c r="E82" s="172">
        <f t="shared" si="19"/>
        <v>0</v>
      </c>
      <c r="F82" s="172">
        <f t="shared" si="19"/>
        <v>0</v>
      </c>
      <c r="G82" s="172">
        <f t="shared" si="19"/>
        <v>0</v>
      </c>
      <c r="H82" s="172">
        <f t="shared" si="19"/>
        <v>0</v>
      </c>
      <c r="I82" s="172">
        <f t="shared" si="19"/>
        <v>4262042.5099206334</v>
      </c>
      <c r="J82" s="172">
        <f t="shared" si="19"/>
        <v>8463796.109375</v>
      </c>
      <c r="K82" s="172">
        <f t="shared" si="19"/>
        <v>12850299.716055306</v>
      </c>
      <c r="L82" s="172">
        <f t="shared" si="19"/>
        <v>12803169.311060024</v>
      </c>
      <c r="M82" s="172">
        <f t="shared" si="19"/>
        <v>21695660.02462491</v>
      </c>
      <c r="N82" s="172">
        <f t="shared" si="19"/>
        <v>26030847.308709368</v>
      </c>
      <c r="O82" s="172">
        <f t="shared" si="19"/>
        <v>29391482.347456746</v>
      </c>
      <c r="P82" s="172">
        <f t="shared" si="19"/>
        <v>32488871.200399365</v>
      </c>
      <c r="Q82" s="172">
        <f t="shared" si="19"/>
        <v>38701874.805159211</v>
      </c>
      <c r="R82" s="172">
        <f t="shared" si="19"/>
        <v>44000457.219539605</v>
      </c>
      <c r="S82" s="172">
        <f t="shared" si="19"/>
        <v>48614493.607635848</v>
      </c>
      <c r="T82" s="172">
        <f t="shared" si="19"/>
        <v>53868079.619530901</v>
      </c>
      <c r="U82" s="172">
        <f t="shared" si="19"/>
        <v>59169844.935610197</v>
      </c>
      <c r="V82" s="172">
        <f t="shared" si="19"/>
        <v>63963935.520408355</v>
      </c>
      <c r="W82" s="172">
        <f t="shared" si="19"/>
        <v>69056402.612668991</v>
      </c>
      <c r="X82" s="172">
        <f t="shared" si="19"/>
        <v>74473765.88749218</v>
      </c>
    </row>
    <row r="83" spans="1:34" x14ac:dyDescent="0.25">
      <c r="A83" s="12" t="s">
        <v>98</v>
      </c>
      <c r="C83" s="172">
        <f>SUM(C80:C82)</f>
        <v>0</v>
      </c>
      <c r="D83" s="172">
        <f t="shared" ref="D83:W83" si="20">SUM(D80:D82)</f>
        <v>0</v>
      </c>
      <c r="E83" s="172">
        <f t="shared" si="20"/>
        <v>0</v>
      </c>
      <c r="F83" s="172">
        <f t="shared" si="20"/>
        <v>0</v>
      </c>
      <c r="G83" s="172">
        <f t="shared" si="20"/>
        <v>0</v>
      </c>
      <c r="H83" s="172">
        <f t="shared" si="20"/>
        <v>0</v>
      </c>
      <c r="I83" s="172">
        <f t="shared" si="20"/>
        <v>102266593.52128965</v>
      </c>
      <c r="J83" s="172">
        <f t="shared" si="20"/>
        <v>218086387.67953733</v>
      </c>
      <c r="K83" s="172">
        <f t="shared" si="20"/>
        <v>339820661.8582502</v>
      </c>
      <c r="L83" s="172">
        <f t="shared" si="20"/>
        <v>449549464.55250758</v>
      </c>
      <c r="M83" s="172">
        <f t="shared" si="20"/>
        <v>567923565.04347205</v>
      </c>
      <c r="N83" s="172">
        <f t="shared" si="20"/>
        <v>636375547.15411639</v>
      </c>
      <c r="O83" s="172">
        <f t="shared" si="20"/>
        <v>683369169.59056449</v>
      </c>
      <c r="P83" s="172">
        <f t="shared" si="20"/>
        <v>702423917.20921111</v>
      </c>
      <c r="Q83" s="172">
        <f t="shared" si="20"/>
        <v>757778132.41298187</v>
      </c>
      <c r="R83" s="172">
        <f t="shared" si="20"/>
        <v>877046104.8558619</v>
      </c>
      <c r="S83" s="172">
        <f t="shared" si="20"/>
        <v>963119992.52127254</v>
      </c>
      <c r="T83" s="172">
        <f t="shared" si="20"/>
        <v>1040533254.7142251</v>
      </c>
      <c r="U83" s="172">
        <f t="shared" si="20"/>
        <v>1131501584.5164123</v>
      </c>
      <c r="V83" s="172">
        <f t="shared" si="20"/>
        <v>1216773812.4857442</v>
      </c>
      <c r="W83" s="172">
        <f t="shared" si="20"/>
        <v>1294955016.8610358</v>
      </c>
      <c r="X83" s="172">
        <f t="shared" ref="X83" si="21">SUM(X80:X82)</f>
        <v>1382638741.3815825</v>
      </c>
    </row>
    <row r="89" spans="1:34" x14ac:dyDescent="0.25">
      <c r="E89" s="168"/>
      <c r="F89" s="168"/>
      <c r="G89" s="168"/>
      <c r="H89" s="168">
        <f t="shared" ref="H89:V89" si="22">H79</f>
        <v>2027</v>
      </c>
      <c r="I89" s="168">
        <f t="shared" si="22"/>
        <v>2028</v>
      </c>
      <c r="J89" s="168">
        <f t="shared" si="22"/>
        <v>2029</v>
      </c>
      <c r="K89" s="168">
        <f t="shared" si="22"/>
        <v>2030</v>
      </c>
      <c r="L89" s="168">
        <f t="shared" si="22"/>
        <v>2031</v>
      </c>
      <c r="M89" s="168">
        <f t="shared" si="22"/>
        <v>2032</v>
      </c>
      <c r="N89" s="168">
        <f t="shared" si="22"/>
        <v>2033</v>
      </c>
      <c r="O89" s="168">
        <f t="shared" si="22"/>
        <v>2034</v>
      </c>
      <c r="P89" s="168">
        <f t="shared" si="22"/>
        <v>2035</v>
      </c>
      <c r="Q89" s="168">
        <f t="shared" si="22"/>
        <v>2036</v>
      </c>
      <c r="R89" s="168">
        <f t="shared" si="22"/>
        <v>2037</v>
      </c>
      <c r="S89" s="168">
        <f t="shared" si="22"/>
        <v>2038</v>
      </c>
      <c r="T89" s="168">
        <f t="shared" si="22"/>
        <v>2039</v>
      </c>
      <c r="U89" s="168">
        <f t="shared" si="22"/>
        <v>2040</v>
      </c>
      <c r="V89" s="168">
        <f t="shared" si="22"/>
        <v>2041</v>
      </c>
      <c r="W89" s="168">
        <f t="shared" ref="W89:X89" si="23">W79</f>
        <v>2042</v>
      </c>
      <c r="X89" s="168">
        <f t="shared" si="23"/>
        <v>2043</v>
      </c>
      <c r="AA89" s="1"/>
      <c r="AB89" s="1"/>
    </row>
    <row r="90" spans="1:34" x14ac:dyDescent="0.25">
      <c r="E90" s="168">
        <v>2022</v>
      </c>
      <c r="F90" s="168">
        <v>2023</v>
      </c>
      <c r="G90" s="168" t="s">
        <v>99</v>
      </c>
      <c r="H90" s="173">
        <f>SUMIF($B$2:$B$64,$E90,H$2:H$64)+SUMIF($B$2:$B$64,$F90,H$2:H$64)</f>
        <v>62975073.121644765</v>
      </c>
      <c r="I90" s="173">
        <f t="shared" ref="H90:Q99" si="24">SUMIF($B$2:$B$64,$E90,I$2:I$64)+SUMIF($B$2:$B$64,$F90,I$2:I$64)</f>
        <v>107784523.7011541</v>
      </c>
      <c r="J90" s="173">
        <f t="shared" si="24"/>
        <v>114092925.07102001</v>
      </c>
      <c r="K90" s="173">
        <f t="shared" si="24"/>
        <v>116987142.3901422</v>
      </c>
      <c r="L90" s="173">
        <f t="shared" si="24"/>
        <v>116806381.83207819</v>
      </c>
      <c r="M90" s="173">
        <f t="shared" si="24"/>
        <v>120133549.61824942</v>
      </c>
      <c r="N90" s="173">
        <f t="shared" si="24"/>
        <v>120176408.26329741</v>
      </c>
      <c r="O90" s="173">
        <f t="shared" si="24"/>
        <v>112810322.28982303</v>
      </c>
      <c r="P90" s="173">
        <f t="shared" si="24"/>
        <v>105573992.80566765</v>
      </c>
      <c r="Q90" s="173">
        <f t="shared" si="24"/>
        <v>118370524.37060177</v>
      </c>
      <c r="R90" s="173">
        <f t="shared" ref="R90:X99" si="25">SUMIF($B$2:$B$64,$E90,R$2:R$64)+SUMIF($B$2:$B$64,$F90,R$2:R$64)</f>
        <v>123740811.96536151</v>
      </c>
      <c r="S90" s="173">
        <f t="shared" si="25"/>
        <v>124837356.86031598</v>
      </c>
      <c r="T90" s="173">
        <f t="shared" si="25"/>
        <v>128575194.37144965</v>
      </c>
      <c r="U90" s="173">
        <f t="shared" si="25"/>
        <v>131931461.00519383</v>
      </c>
      <c r="V90" s="173">
        <f t="shared" si="25"/>
        <v>132894813.82085082</v>
      </c>
      <c r="W90" s="173">
        <f t="shared" si="25"/>
        <v>134779088.33824369</v>
      </c>
      <c r="X90" s="173">
        <f t="shared" si="25"/>
        <v>123638780.7875742</v>
      </c>
      <c r="AA90" s="1"/>
      <c r="AB90" s="1"/>
    </row>
    <row r="91" spans="1:34" x14ac:dyDescent="0.25">
      <c r="E91" s="168">
        <v>2024</v>
      </c>
      <c r="F91" s="168">
        <v>2025</v>
      </c>
      <c r="G91" s="168" t="s">
        <v>88</v>
      </c>
      <c r="H91" s="173">
        <f t="shared" si="24"/>
        <v>46442586.143040508</v>
      </c>
      <c r="I91" s="173">
        <f t="shared" si="24"/>
        <v>210823989.04579467</v>
      </c>
      <c r="J91" s="173">
        <f t="shared" si="24"/>
        <v>232234711.2123211</v>
      </c>
      <c r="K91" s="173">
        <f t="shared" si="24"/>
        <v>235246220.12461048</v>
      </c>
      <c r="L91" s="173">
        <f t="shared" si="24"/>
        <v>237067003.58029675</v>
      </c>
      <c r="M91" s="173">
        <f t="shared" si="24"/>
        <v>241405906.24282205</v>
      </c>
      <c r="N91" s="173">
        <f t="shared" si="24"/>
        <v>243785132.96959585</v>
      </c>
      <c r="O91" s="173">
        <f t="shared" si="24"/>
        <v>235480750.40101984</v>
      </c>
      <c r="P91" s="173">
        <f t="shared" si="24"/>
        <v>223151597.91217285</v>
      </c>
      <c r="Q91" s="173">
        <f t="shared" si="24"/>
        <v>234895058.14812937</v>
      </c>
      <c r="R91" s="173">
        <f t="shared" si="25"/>
        <v>249042940.15611133</v>
      </c>
      <c r="S91" s="173">
        <f t="shared" si="25"/>
        <v>253910488.79214129</v>
      </c>
      <c r="T91" s="173">
        <f t="shared" si="25"/>
        <v>259564543.13904321</v>
      </c>
      <c r="U91" s="173">
        <f t="shared" si="25"/>
        <v>266290554.15314776</v>
      </c>
      <c r="V91" s="173">
        <f t="shared" si="25"/>
        <v>269931655.96295047</v>
      </c>
      <c r="W91" s="173">
        <f t="shared" si="25"/>
        <v>273332837.46833408</v>
      </c>
      <c r="X91" s="173">
        <f t="shared" si="25"/>
        <v>278291695.37007827</v>
      </c>
      <c r="Y91" s="163"/>
      <c r="Z91" s="163"/>
      <c r="AA91" s="163"/>
      <c r="AB91" s="163"/>
      <c r="AC91" s="163"/>
      <c r="AD91" s="163"/>
      <c r="AE91" s="163"/>
      <c r="AF91" s="163"/>
      <c r="AG91" s="163"/>
      <c r="AH91" s="163"/>
    </row>
    <row r="92" spans="1:34" x14ac:dyDescent="0.25">
      <c r="E92" s="168">
        <v>2026</v>
      </c>
      <c r="F92" s="168">
        <v>2027</v>
      </c>
      <c r="G92" s="168" t="s">
        <v>89</v>
      </c>
      <c r="H92" s="173">
        <f t="shared" si="24"/>
        <v>0</v>
      </c>
      <c r="I92" s="173">
        <f t="shared" si="24"/>
        <v>0</v>
      </c>
      <c r="J92" s="173">
        <f t="shared" si="24"/>
        <v>120939418.99801584</v>
      </c>
      <c r="K92" s="173">
        <f t="shared" si="24"/>
        <v>242817223.28199404</v>
      </c>
      <c r="L92" s="173">
        <f t="shared" si="24"/>
        <v>246223181.2129699</v>
      </c>
      <c r="M92" s="173">
        <f t="shared" si="24"/>
        <v>248738304.24121678</v>
      </c>
      <c r="N92" s="173">
        <f t="shared" si="24"/>
        <v>252864986.87265968</v>
      </c>
      <c r="O92" s="173">
        <f t="shared" si="24"/>
        <v>248211139.29873571</v>
      </c>
      <c r="P92" s="173">
        <f t="shared" si="24"/>
        <v>235355816.32549781</v>
      </c>
      <c r="Q92" s="173">
        <f t="shared" si="24"/>
        <v>236480753.61478284</v>
      </c>
      <c r="R92" s="173">
        <f t="shared" si="25"/>
        <v>255014797.83684108</v>
      </c>
      <c r="S92" s="173">
        <f t="shared" si="25"/>
        <v>262278638.44971573</v>
      </c>
      <c r="T92" s="173">
        <f t="shared" si="25"/>
        <v>266550481.26116592</v>
      </c>
      <c r="U92" s="173">
        <f t="shared" si="25"/>
        <v>273586980.85215068</v>
      </c>
      <c r="V92" s="173">
        <f t="shared" si="25"/>
        <v>278566155.44050932</v>
      </c>
      <c r="W92" s="173">
        <f t="shared" si="25"/>
        <v>281452997.97830045</v>
      </c>
      <c r="X92" s="173">
        <f t="shared" si="25"/>
        <v>285986646.08976328</v>
      </c>
      <c r="Y92" s="163"/>
      <c r="Z92" s="163"/>
      <c r="AA92" s="163"/>
      <c r="AB92" s="163"/>
      <c r="AC92" s="163"/>
      <c r="AD92" s="163"/>
      <c r="AE92" s="163"/>
      <c r="AF92" s="163"/>
      <c r="AG92" s="163"/>
      <c r="AH92" s="163"/>
    </row>
    <row r="93" spans="1:34" x14ac:dyDescent="0.25">
      <c r="E93" s="168">
        <v>2028</v>
      </c>
      <c r="F93" s="168">
        <v>2029</v>
      </c>
      <c r="G93" s="168" t="s">
        <v>90</v>
      </c>
      <c r="H93" s="173">
        <f t="shared" si="24"/>
        <v>0</v>
      </c>
      <c r="I93" s="173">
        <f t="shared" si="24"/>
        <v>0</v>
      </c>
      <c r="J93" s="173">
        <f t="shared" si="24"/>
        <v>0</v>
      </c>
      <c r="K93" s="173">
        <f t="shared" si="24"/>
        <v>0</v>
      </c>
      <c r="L93" s="173">
        <f t="shared" si="24"/>
        <v>104554310.51587299</v>
      </c>
      <c r="M93" s="173">
        <f t="shared" si="24"/>
        <v>219736364.81770831</v>
      </c>
      <c r="N93" s="173">
        <f t="shared" si="24"/>
        <v>223891796.82953376</v>
      </c>
      <c r="O93" s="173">
        <f t="shared" si="24"/>
        <v>220854840.87250581</v>
      </c>
      <c r="P93" s="173">
        <f t="shared" si="24"/>
        <v>209585700.62213826</v>
      </c>
      <c r="Q93" s="173">
        <f t="shared" si="24"/>
        <v>208007844.87558252</v>
      </c>
      <c r="R93" s="173">
        <f t="shared" si="25"/>
        <v>225431598.66032296</v>
      </c>
      <c r="S93" s="173">
        <f t="shared" si="25"/>
        <v>232499980.32865596</v>
      </c>
      <c r="T93" s="173">
        <f t="shared" si="25"/>
        <v>236013295.33231002</v>
      </c>
      <c r="U93" s="173">
        <f t="shared" si="25"/>
        <v>242374121.40728116</v>
      </c>
      <c r="V93" s="173">
        <f t="shared" si="25"/>
        <v>247188560.47217858</v>
      </c>
      <c r="W93" s="173">
        <f t="shared" si="25"/>
        <v>249715157.47848859</v>
      </c>
      <c r="X93" s="173">
        <f t="shared" si="25"/>
        <v>253712839.79305452</v>
      </c>
      <c r="Y93" s="163"/>
      <c r="Z93" s="163"/>
      <c r="AA93" s="163"/>
      <c r="AB93" s="163"/>
      <c r="AC93" s="163"/>
      <c r="AD93" s="163"/>
      <c r="AE93" s="163"/>
      <c r="AF93" s="163"/>
      <c r="AG93" s="163"/>
      <c r="AH93" s="163"/>
    </row>
    <row r="94" spans="1:34" x14ac:dyDescent="0.25">
      <c r="E94" s="168">
        <v>2030</v>
      </c>
      <c r="F94" s="168">
        <v>2031</v>
      </c>
      <c r="G94" s="168" t="s">
        <v>91</v>
      </c>
      <c r="H94" s="173">
        <f t="shared" si="24"/>
        <v>0</v>
      </c>
      <c r="I94" s="173">
        <f t="shared" si="24"/>
        <v>0</v>
      </c>
      <c r="J94" s="173">
        <f t="shared" si="24"/>
        <v>0</v>
      </c>
      <c r="K94" s="173">
        <f t="shared" si="24"/>
        <v>0</v>
      </c>
      <c r="L94" s="173">
        <f t="shared" si="24"/>
        <v>0</v>
      </c>
      <c r="M94" s="173">
        <f t="shared" si="24"/>
        <v>0</v>
      </c>
      <c r="N94" s="173">
        <f t="shared" si="24"/>
        <v>58081643.650793657</v>
      </c>
      <c r="O94" s="173">
        <f t="shared" si="24"/>
        <v>113705930.92336312</v>
      </c>
      <c r="P94" s="173">
        <f t="shared" si="24"/>
        <v>107845894.1591481</v>
      </c>
      <c r="Q94" s="173">
        <f t="shared" si="24"/>
        <v>109489028.10754138</v>
      </c>
      <c r="R94" s="173">
        <f t="shared" si="25"/>
        <v>117386299.42604193</v>
      </c>
      <c r="S94" s="173">
        <f t="shared" si="25"/>
        <v>120367929.08954078</v>
      </c>
      <c r="T94" s="173">
        <f t="shared" si="25"/>
        <v>122403697.51207563</v>
      </c>
      <c r="U94" s="173">
        <f t="shared" si="25"/>
        <v>125508466.50793368</v>
      </c>
      <c r="V94" s="173">
        <f t="shared" si="25"/>
        <v>127562704.64422894</v>
      </c>
      <c r="W94" s="173">
        <f t="shared" si="25"/>
        <v>128867176.231233</v>
      </c>
      <c r="X94" s="173">
        <f t="shared" si="25"/>
        <v>130908718.46204644</v>
      </c>
      <c r="Y94" s="163"/>
      <c r="Z94" s="163"/>
      <c r="AA94" s="163"/>
      <c r="AB94" s="163"/>
      <c r="AC94" s="163"/>
      <c r="AD94" s="163"/>
      <c r="AE94" s="163"/>
      <c r="AF94" s="163"/>
      <c r="AG94" s="163"/>
      <c r="AH94" s="163"/>
    </row>
    <row r="95" spans="1:34" x14ac:dyDescent="0.25">
      <c r="E95" s="168">
        <v>2032</v>
      </c>
      <c r="F95" s="168">
        <v>2033</v>
      </c>
      <c r="G95" s="168" t="s">
        <v>92</v>
      </c>
      <c r="H95" s="173">
        <f t="shared" si="24"/>
        <v>0</v>
      </c>
      <c r="I95" s="173">
        <f t="shared" si="24"/>
        <v>0</v>
      </c>
      <c r="J95" s="173">
        <f t="shared" si="24"/>
        <v>0</v>
      </c>
      <c r="K95" s="173">
        <f t="shared" si="24"/>
        <v>0</v>
      </c>
      <c r="L95" s="173">
        <f t="shared" si="24"/>
        <v>0</v>
      </c>
      <c r="M95" s="173">
        <f t="shared" si="24"/>
        <v>0</v>
      </c>
      <c r="N95" s="173">
        <f t="shared" si="24"/>
        <v>0</v>
      </c>
      <c r="O95" s="173">
        <f t="shared" si="24"/>
        <v>0</v>
      </c>
      <c r="P95" s="173">
        <f t="shared" si="24"/>
        <v>54106187.351190485</v>
      </c>
      <c r="Q95" s="173">
        <f t="shared" si="24"/>
        <v>110025737.36904764</v>
      </c>
      <c r="R95" s="173">
        <f t="shared" si="25"/>
        <v>117942309.96797246</v>
      </c>
      <c r="S95" s="173">
        <f t="shared" si="25"/>
        <v>120927186.00956959</v>
      </c>
      <c r="T95" s="173">
        <f t="shared" si="25"/>
        <v>122976083.91790676</v>
      </c>
      <c r="U95" s="173">
        <f t="shared" si="25"/>
        <v>126092529.17394377</v>
      </c>
      <c r="V95" s="173">
        <f t="shared" si="25"/>
        <v>128149477.22117683</v>
      </c>
      <c r="W95" s="173">
        <f t="shared" si="25"/>
        <v>129460090.9404473</v>
      </c>
      <c r="X95" s="173">
        <f t="shared" si="25"/>
        <v>131510860.19877926</v>
      </c>
      <c r="Y95" s="163"/>
      <c r="Z95" s="163"/>
      <c r="AA95" s="163"/>
      <c r="AB95" s="163"/>
      <c r="AC95" s="163"/>
      <c r="AD95" s="163"/>
      <c r="AE95" s="163"/>
      <c r="AF95" s="163"/>
      <c r="AG95" s="163"/>
      <c r="AH95" s="163"/>
    </row>
    <row r="96" spans="1:34" x14ac:dyDescent="0.25">
      <c r="E96" s="168">
        <v>2034</v>
      </c>
      <c r="F96" s="168">
        <v>2035</v>
      </c>
      <c r="G96" s="168" t="s">
        <v>93</v>
      </c>
      <c r="H96" s="173">
        <f t="shared" si="24"/>
        <v>0</v>
      </c>
      <c r="I96" s="173">
        <f t="shared" si="24"/>
        <v>0</v>
      </c>
      <c r="J96" s="173">
        <f t="shared" si="24"/>
        <v>0</v>
      </c>
      <c r="K96" s="173">
        <f t="shared" si="24"/>
        <v>0</v>
      </c>
      <c r="L96" s="173">
        <f t="shared" si="24"/>
        <v>0</v>
      </c>
      <c r="M96" s="173">
        <f t="shared" si="24"/>
        <v>0</v>
      </c>
      <c r="N96" s="173">
        <f t="shared" si="24"/>
        <v>0</v>
      </c>
      <c r="O96" s="173">
        <f t="shared" si="24"/>
        <v>0</v>
      </c>
      <c r="P96" s="173">
        <f t="shared" si="24"/>
        <v>0</v>
      </c>
      <c r="Q96" s="173">
        <f t="shared" si="24"/>
        <v>0</v>
      </c>
      <c r="R96" s="173">
        <f t="shared" si="25"/>
        <v>59181407.390873007</v>
      </c>
      <c r="S96" s="173">
        <f t="shared" si="25"/>
        <v>121492077.72445434</v>
      </c>
      <c r="T96" s="173">
        <f t="shared" si="25"/>
        <v>123554237.40476933</v>
      </c>
      <c r="U96" s="173">
        <f t="shared" si="25"/>
        <v>126682476.56518146</v>
      </c>
      <c r="V96" s="173">
        <f t="shared" si="25"/>
        <v>128742161.82706852</v>
      </c>
      <c r="W96" s="173">
        <f t="shared" si="25"/>
        <v>130058979.56367832</v>
      </c>
      <c r="X96" s="173">
        <f t="shared" si="25"/>
        <v>132119068.81647357</v>
      </c>
      <c r="Y96" s="163"/>
      <c r="Z96" s="163"/>
      <c r="AA96" s="163"/>
      <c r="AB96" s="163"/>
      <c r="AC96" s="163"/>
      <c r="AD96" s="163"/>
      <c r="AE96" s="163"/>
      <c r="AF96" s="163"/>
      <c r="AG96" s="163"/>
      <c r="AH96" s="163"/>
    </row>
    <row r="97" spans="5:34" x14ac:dyDescent="0.25">
      <c r="E97" s="168">
        <v>2036</v>
      </c>
      <c r="F97" s="168">
        <v>2037</v>
      </c>
      <c r="G97" s="168" t="s">
        <v>94</v>
      </c>
      <c r="H97" s="173">
        <f t="shared" si="24"/>
        <v>0</v>
      </c>
      <c r="I97" s="173">
        <f t="shared" si="24"/>
        <v>0</v>
      </c>
      <c r="J97" s="173">
        <f t="shared" si="24"/>
        <v>0</v>
      </c>
      <c r="K97" s="173">
        <f t="shared" si="24"/>
        <v>0</v>
      </c>
      <c r="L97" s="173">
        <f t="shared" si="24"/>
        <v>0</v>
      </c>
      <c r="M97" s="173">
        <f t="shared" si="24"/>
        <v>0</v>
      </c>
      <c r="N97" s="173">
        <f t="shared" si="24"/>
        <v>0</v>
      </c>
      <c r="O97" s="173">
        <f t="shared" si="24"/>
        <v>0</v>
      </c>
      <c r="P97" s="173">
        <f t="shared" si="24"/>
        <v>0</v>
      </c>
      <c r="Q97" s="173">
        <f t="shared" si="24"/>
        <v>0</v>
      </c>
      <c r="R97" s="173">
        <f t="shared" si="25"/>
        <v>0</v>
      </c>
      <c r="S97" s="173">
        <f t="shared" si="25"/>
        <v>0</v>
      </c>
      <c r="T97" s="173">
        <f t="shared" si="25"/>
        <v>61995744.34523809</v>
      </c>
      <c r="U97" s="173">
        <f t="shared" si="25"/>
        <v>127278367.97321427</v>
      </c>
      <c r="V97" s="173">
        <f t="shared" si="25"/>
        <v>129340818.02857018</v>
      </c>
      <c r="W97" s="173">
        <f t="shared" si="25"/>
        <v>130663902.29111552</v>
      </c>
      <c r="X97" s="173">
        <f t="shared" si="25"/>
        <v>132733405.4420076</v>
      </c>
      <c r="Y97" s="163"/>
      <c r="Z97" s="163"/>
      <c r="AA97" s="163"/>
      <c r="AB97" s="163"/>
      <c r="AC97" s="163"/>
      <c r="AD97" s="163"/>
      <c r="AE97" s="163"/>
      <c r="AF97" s="163"/>
      <c r="AG97" s="163"/>
      <c r="AH97" s="163"/>
    </row>
    <row r="98" spans="5:34" x14ac:dyDescent="0.25">
      <c r="E98" s="168">
        <v>2038</v>
      </c>
      <c r="F98" s="168">
        <v>2039</v>
      </c>
      <c r="G98" s="168" t="s">
        <v>95</v>
      </c>
      <c r="H98" s="173">
        <f t="shared" si="24"/>
        <v>0</v>
      </c>
      <c r="I98" s="173">
        <f t="shared" si="24"/>
        <v>0</v>
      </c>
      <c r="J98" s="173">
        <f t="shared" si="24"/>
        <v>0</v>
      </c>
      <c r="K98" s="173">
        <f t="shared" si="24"/>
        <v>0</v>
      </c>
      <c r="L98" s="173">
        <f t="shared" si="24"/>
        <v>0</v>
      </c>
      <c r="M98" s="173">
        <f t="shared" si="24"/>
        <v>0</v>
      </c>
      <c r="N98" s="173">
        <f t="shared" si="24"/>
        <v>0</v>
      </c>
      <c r="O98" s="173">
        <f t="shared" si="24"/>
        <v>0</v>
      </c>
      <c r="P98" s="173">
        <f t="shared" si="24"/>
        <v>0</v>
      </c>
      <c r="Q98" s="173">
        <f t="shared" si="24"/>
        <v>0</v>
      </c>
      <c r="R98" s="173">
        <f t="shared" si="25"/>
        <v>0</v>
      </c>
      <c r="S98" s="173">
        <f t="shared" si="25"/>
        <v>0</v>
      </c>
      <c r="T98" s="173">
        <f t="shared" si="25"/>
        <v>0</v>
      </c>
      <c r="U98" s="173">
        <f t="shared" si="25"/>
        <v>0</v>
      </c>
      <c r="V98" s="173">
        <f t="shared" si="25"/>
        <v>64896787.648809522</v>
      </c>
      <c r="W98" s="173">
        <f t="shared" si="25"/>
        <v>131274919.91939484</v>
      </c>
      <c r="X98" s="173">
        <f t="shared" si="25"/>
        <v>133486467.27201262</v>
      </c>
      <c r="Y98" s="163"/>
      <c r="Z98" s="163"/>
      <c r="AA98" s="163"/>
      <c r="AB98" s="163"/>
      <c r="AC98" s="163"/>
      <c r="AD98" s="163"/>
      <c r="AE98" s="163"/>
      <c r="AF98" s="163"/>
      <c r="AG98" s="163"/>
      <c r="AH98" s="163"/>
    </row>
    <row r="99" spans="5:34" x14ac:dyDescent="0.25">
      <c r="E99" s="168">
        <v>2040</v>
      </c>
      <c r="F99" s="168">
        <v>2041</v>
      </c>
      <c r="G99" s="168" t="s">
        <v>96</v>
      </c>
      <c r="H99" s="173">
        <f t="shared" si="24"/>
        <v>0</v>
      </c>
      <c r="I99" s="173">
        <f t="shared" si="24"/>
        <v>0</v>
      </c>
      <c r="J99" s="173">
        <f t="shared" si="24"/>
        <v>0</v>
      </c>
      <c r="K99" s="173">
        <f t="shared" si="24"/>
        <v>0</v>
      </c>
      <c r="L99" s="173">
        <f t="shared" si="24"/>
        <v>0</v>
      </c>
      <c r="M99" s="173">
        <f t="shared" si="24"/>
        <v>0</v>
      </c>
      <c r="N99" s="173">
        <f t="shared" si="24"/>
        <v>0</v>
      </c>
      <c r="O99" s="173">
        <f t="shared" si="24"/>
        <v>0</v>
      </c>
      <c r="P99" s="173">
        <f t="shared" si="24"/>
        <v>0</v>
      </c>
      <c r="Q99" s="173">
        <f t="shared" si="24"/>
        <v>0</v>
      </c>
      <c r="R99" s="173">
        <f t="shared" si="25"/>
        <v>0</v>
      </c>
      <c r="S99" s="173">
        <f t="shared" si="25"/>
        <v>0</v>
      </c>
      <c r="T99" s="173">
        <f t="shared" si="25"/>
        <v>0</v>
      </c>
      <c r="U99" s="173">
        <f t="shared" si="25"/>
        <v>0</v>
      </c>
      <c r="V99" s="173">
        <f t="shared" si="25"/>
        <v>0</v>
      </c>
      <c r="W99" s="173">
        <f t="shared" si="25"/>
        <v>0</v>
      </c>
      <c r="X99" s="173">
        <f t="shared" si="25"/>
        <v>66911614.6329365</v>
      </c>
      <c r="Y99" s="163"/>
      <c r="Z99" s="163"/>
      <c r="AA99" s="163"/>
      <c r="AB99" s="163"/>
      <c r="AC99" s="163"/>
      <c r="AD99" s="163"/>
      <c r="AE99" s="163"/>
      <c r="AF99" s="163"/>
      <c r="AG99" s="163"/>
      <c r="AH99" s="163"/>
    </row>
    <row r="100" spans="5:34" x14ac:dyDescent="0.25">
      <c r="G100" s="1"/>
      <c r="H100" s="191"/>
      <c r="I100" s="191"/>
      <c r="J100" s="191"/>
      <c r="K100" s="191"/>
      <c r="L100" s="191"/>
      <c r="M100" s="191"/>
      <c r="N100" s="191"/>
      <c r="O100" s="191"/>
      <c r="P100" s="191"/>
      <c r="Q100" s="191"/>
      <c r="R100" s="179"/>
      <c r="S100" s="179"/>
      <c r="T100" s="179"/>
      <c r="U100" s="179"/>
      <c r="V100" s="179"/>
    </row>
    <row r="101" spans="5:34" x14ac:dyDescent="0.25">
      <c r="G101" s="238" cm="1">
        <f t="array" ref="G101:Q118">TRANSPOSE(G89:X99)</f>
        <v>0</v>
      </c>
      <c r="H101" s="239" t="str">
        <v>22 Plan</v>
      </c>
      <c r="I101" s="239" t="str">
        <v>24-25 Plan</v>
      </c>
      <c r="J101" s="239" t="str">
        <v>26-27 Plan</v>
      </c>
      <c r="K101" s="239" t="str">
        <v>28-29 Plan</v>
      </c>
      <c r="L101" s="239" t="str">
        <v>30-31 Plan</v>
      </c>
      <c r="M101" s="239" t="str">
        <v>32-33 Plan</v>
      </c>
      <c r="N101" s="239" t="str">
        <v>34-35 Plan</v>
      </c>
      <c r="O101" s="239" t="str">
        <v>36-37 Plan</v>
      </c>
      <c r="P101" s="239" t="str">
        <v>38-39 Plan</v>
      </c>
      <c r="Q101" s="168" t="str">
        <v>40-41 Plan</v>
      </c>
    </row>
    <row r="102" spans="5:34" x14ac:dyDescent="0.25">
      <c r="G102" s="209">
        <v>2027</v>
      </c>
      <c r="H102" s="173">
        <v>62975073.121644765</v>
      </c>
      <c r="I102" s="173">
        <v>46442586.143040508</v>
      </c>
      <c r="J102" s="173">
        <v>0</v>
      </c>
      <c r="K102" s="173">
        <v>0</v>
      </c>
      <c r="L102" s="173">
        <v>0</v>
      </c>
      <c r="M102" s="173">
        <v>0</v>
      </c>
      <c r="N102" s="173">
        <v>0</v>
      </c>
      <c r="O102" s="173">
        <v>0</v>
      </c>
      <c r="P102" s="173">
        <v>0</v>
      </c>
      <c r="Q102" s="209">
        <v>0</v>
      </c>
    </row>
    <row r="103" spans="5:34" x14ac:dyDescent="0.25">
      <c r="G103" s="209">
        <v>2028</v>
      </c>
      <c r="H103" s="173">
        <v>107784523.7011541</v>
      </c>
      <c r="I103" s="173">
        <v>210823989.04579467</v>
      </c>
      <c r="J103" s="173">
        <v>0</v>
      </c>
      <c r="K103" s="173">
        <v>0</v>
      </c>
      <c r="L103" s="173">
        <v>0</v>
      </c>
      <c r="M103" s="173">
        <v>0</v>
      </c>
      <c r="N103" s="173">
        <v>0</v>
      </c>
      <c r="O103" s="173">
        <v>0</v>
      </c>
      <c r="P103" s="173">
        <v>0</v>
      </c>
      <c r="Q103" s="209">
        <v>0</v>
      </c>
    </row>
    <row r="104" spans="5:34" x14ac:dyDescent="0.25">
      <c r="G104" s="209">
        <v>2029</v>
      </c>
      <c r="H104" s="173">
        <v>114092925.07102001</v>
      </c>
      <c r="I104" s="173">
        <v>232234711.2123211</v>
      </c>
      <c r="J104" s="173">
        <v>120939418.99801584</v>
      </c>
      <c r="K104" s="173">
        <v>0</v>
      </c>
      <c r="L104" s="173">
        <v>0</v>
      </c>
      <c r="M104" s="173">
        <v>0</v>
      </c>
      <c r="N104" s="173">
        <v>0</v>
      </c>
      <c r="O104" s="173">
        <v>0</v>
      </c>
      <c r="P104" s="173">
        <v>0</v>
      </c>
      <c r="Q104" s="209">
        <v>0</v>
      </c>
    </row>
    <row r="105" spans="5:34" x14ac:dyDescent="0.25">
      <c r="G105" s="209">
        <v>2030</v>
      </c>
      <c r="H105" s="173">
        <v>116987142.3901422</v>
      </c>
      <c r="I105" s="173">
        <v>235246220.12461048</v>
      </c>
      <c r="J105" s="173">
        <v>242817223.28199404</v>
      </c>
      <c r="K105" s="173">
        <v>0</v>
      </c>
      <c r="L105" s="173">
        <v>0</v>
      </c>
      <c r="M105" s="173">
        <v>0</v>
      </c>
      <c r="N105" s="173">
        <v>0</v>
      </c>
      <c r="O105" s="173">
        <v>0</v>
      </c>
      <c r="P105" s="173">
        <v>0</v>
      </c>
      <c r="Q105" s="209">
        <v>0</v>
      </c>
    </row>
    <row r="106" spans="5:34" x14ac:dyDescent="0.25">
      <c r="G106" s="209">
        <v>2031</v>
      </c>
      <c r="H106" s="173">
        <v>116806381.83207819</v>
      </c>
      <c r="I106" s="173">
        <v>237067003.58029675</v>
      </c>
      <c r="J106" s="173">
        <v>246223181.2129699</v>
      </c>
      <c r="K106" s="173">
        <v>104554310.51587299</v>
      </c>
      <c r="L106" s="173">
        <v>0</v>
      </c>
      <c r="M106" s="173">
        <v>0</v>
      </c>
      <c r="N106" s="173">
        <v>0</v>
      </c>
      <c r="O106" s="173">
        <v>0</v>
      </c>
      <c r="P106" s="173">
        <v>0</v>
      </c>
      <c r="Q106" s="209">
        <v>0</v>
      </c>
    </row>
    <row r="107" spans="5:34" x14ac:dyDescent="0.25">
      <c r="G107" s="209">
        <v>2032</v>
      </c>
      <c r="H107" s="173">
        <v>120133549.61824942</v>
      </c>
      <c r="I107" s="173">
        <v>241405906.24282205</v>
      </c>
      <c r="J107" s="173">
        <v>248738304.24121678</v>
      </c>
      <c r="K107" s="173">
        <v>219736364.81770831</v>
      </c>
      <c r="L107" s="173">
        <v>0</v>
      </c>
      <c r="M107" s="173">
        <v>0</v>
      </c>
      <c r="N107" s="173">
        <v>0</v>
      </c>
      <c r="O107" s="173">
        <v>0</v>
      </c>
      <c r="P107" s="173">
        <v>0</v>
      </c>
      <c r="Q107" s="209">
        <v>0</v>
      </c>
    </row>
    <row r="108" spans="5:34" x14ac:dyDescent="0.25">
      <c r="G108" s="209">
        <v>2033</v>
      </c>
      <c r="H108" s="173">
        <v>120176408.26329741</v>
      </c>
      <c r="I108" s="173">
        <v>243785132.96959585</v>
      </c>
      <c r="J108" s="173">
        <v>252864986.87265968</v>
      </c>
      <c r="K108" s="173">
        <v>223891796.82953376</v>
      </c>
      <c r="L108" s="173">
        <v>58081643.650793657</v>
      </c>
      <c r="M108" s="173">
        <v>0</v>
      </c>
      <c r="N108" s="173">
        <v>0</v>
      </c>
      <c r="O108" s="173">
        <v>0</v>
      </c>
      <c r="P108" s="173">
        <v>0</v>
      </c>
      <c r="Q108" s="209">
        <v>0</v>
      </c>
    </row>
    <row r="109" spans="5:34" x14ac:dyDescent="0.25">
      <c r="G109" s="209">
        <v>2034</v>
      </c>
      <c r="H109" s="173">
        <v>112810322.28982303</v>
      </c>
      <c r="I109" s="173">
        <v>235480750.40101984</v>
      </c>
      <c r="J109" s="173">
        <v>248211139.29873571</v>
      </c>
      <c r="K109" s="173">
        <v>220854840.87250581</v>
      </c>
      <c r="L109" s="173">
        <v>113705930.92336312</v>
      </c>
      <c r="M109" s="173">
        <v>0</v>
      </c>
      <c r="N109" s="173">
        <v>0</v>
      </c>
      <c r="O109" s="173">
        <v>0</v>
      </c>
      <c r="P109" s="173">
        <v>0</v>
      </c>
      <c r="Q109" s="209">
        <v>0</v>
      </c>
    </row>
    <row r="110" spans="5:34" x14ac:dyDescent="0.25">
      <c r="G110" s="209">
        <v>2035</v>
      </c>
      <c r="H110" s="173">
        <v>105573992.80566765</v>
      </c>
      <c r="I110" s="173">
        <v>223151597.91217285</v>
      </c>
      <c r="J110" s="173">
        <v>235355816.32549781</v>
      </c>
      <c r="K110" s="173">
        <v>209585700.62213826</v>
      </c>
      <c r="L110" s="173">
        <v>107845894.1591481</v>
      </c>
      <c r="M110" s="173">
        <v>54106187.351190485</v>
      </c>
      <c r="N110" s="173">
        <v>0</v>
      </c>
      <c r="O110" s="173">
        <v>0</v>
      </c>
      <c r="P110" s="173">
        <v>0</v>
      </c>
      <c r="Q110" s="209">
        <v>0</v>
      </c>
    </row>
    <row r="111" spans="5:34" x14ac:dyDescent="0.25">
      <c r="G111" s="209">
        <v>2036</v>
      </c>
      <c r="H111" s="173">
        <v>118370524.37060177</v>
      </c>
      <c r="I111" s="173">
        <v>234895058.14812937</v>
      </c>
      <c r="J111" s="173">
        <v>236480753.61478284</v>
      </c>
      <c r="K111" s="173">
        <v>208007844.87558252</v>
      </c>
      <c r="L111" s="173">
        <v>109489028.10754138</v>
      </c>
      <c r="M111" s="173">
        <v>110025737.36904764</v>
      </c>
      <c r="N111" s="173">
        <v>0</v>
      </c>
      <c r="O111" s="173">
        <v>0</v>
      </c>
      <c r="P111" s="173">
        <v>0</v>
      </c>
      <c r="Q111" s="209">
        <v>0</v>
      </c>
    </row>
    <row r="112" spans="5:34" x14ac:dyDescent="0.25">
      <c r="G112" s="209">
        <v>2037</v>
      </c>
      <c r="H112" s="173">
        <v>123740811.96536151</v>
      </c>
      <c r="I112" s="173">
        <v>249042940.15611133</v>
      </c>
      <c r="J112" s="173">
        <v>255014797.83684108</v>
      </c>
      <c r="K112" s="173">
        <v>225431598.66032296</v>
      </c>
      <c r="L112" s="173">
        <v>117386299.42604193</v>
      </c>
      <c r="M112" s="173">
        <v>117942309.96797246</v>
      </c>
      <c r="N112" s="173">
        <v>59181407.390873007</v>
      </c>
      <c r="O112" s="173">
        <v>0</v>
      </c>
      <c r="P112" s="173">
        <v>0</v>
      </c>
      <c r="Q112" s="209">
        <v>0</v>
      </c>
    </row>
    <row r="113" spans="1:17" x14ac:dyDescent="0.25">
      <c r="G113" s="209">
        <v>2038</v>
      </c>
      <c r="H113" s="173">
        <v>124837356.86031598</v>
      </c>
      <c r="I113" s="173">
        <v>253910488.79214129</v>
      </c>
      <c r="J113" s="173">
        <v>262278638.44971573</v>
      </c>
      <c r="K113" s="173">
        <v>232499980.32865596</v>
      </c>
      <c r="L113" s="173">
        <v>120367929.08954078</v>
      </c>
      <c r="M113" s="173">
        <v>120927186.00956959</v>
      </c>
      <c r="N113" s="173">
        <v>121492077.72445434</v>
      </c>
      <c r="O113" s="173">
        <v>0</v>
      </c>
      <c r="P113" s="173">
        <v>0</v>
      </c>
      <c r="Q113" s="209">
        <v>0</v>
      </c>
    </row>
    <row r="114" spans="1:17" x14ac:dyDescent="0.25">
      <c r="G114" s="209">
        <v>2039</v>
      </c>
      <c r="H114" s="173">
        <v>128575194.37144965</v>
      </c>
      <c r="I114" s="173">
        <v>259564543.13904321</v>
      </c>
      <c r="J114" s="173">
        <v>266550481.26116592</v>
      </c>
      <c r="K114" s="173">
        <v>236013295.33231002</v>
      </c>
      <c r="L114" s="173">
        <v>122403697.51207563</v>
      </c>
      <c r="M114" s="173">
        <v>122976083.91790676</v>
      </c>
      <c r="N114" s="173">
        <v>123554237.40476933</v>
      </c>
      <c r="O114" s="173">
        <v>61995744.34523809</v>
      </c>
      <c r="P114" s="173">
        <v>0</v>
      </c>
      <c r="Q114" s="209">
        <v>0</v>
      </c>
    </row>
    <row r="115" spans="1:17" x14ac:dyDescent="0.25">
      <c r="G115" s="209">
        <v>2040</v>
      </c>
      <c r="H115" s="173">
        <v>131931461.00519383</v>
      </c>
      <c r="I115" s="173">
        <v>266290554.15314776</v>
      </c>
      <c r="J115" s="173">
        <v>273586980.85215068</v>
      </c>
      <c r="K115" s="173">
        <v>242374121.40728116</v>
      </c>
      <c r="L115" s="173">
        <v>125508466.50793368</v>
      </c>
      <c r="M115" s="173">
        <v>126092529.17394377</v>
      </c>
      <c r="N115" s="173">
        <v>126682476.56518146</v>
      </c>
      <c r="O115" s="173">
        <v>127278367.97321427</v>
      </c>
      <c r="P115" s="173">
        <v>0</v>
      </c>
      <c r="Q115" s="209">
        <v>0</v>
      </c>
    </row>
    <row r="116" spans="1:17" x14ac:dyDescent="0.25">
      <c r="G116" s="209">
        <v>2041</v>
      </c>
      <c r="H116" s="173">
        <v>132894813.82085082</v>
      </c>
      <c r="I116" s="173">
        <v>269931655.96295047</v>
      </c>
      <c r="J116" s="173">
        <v>278566155.44050932</v>
      </c>
      <c r="K116" s="173">
        <v>247188560.47217858</v>
      </c>
      <c r="L116" s="173">
        <v>127562704.64422894</v>
      </c>
      <c r="M116" s="173">
        <v>128149477.22117683</v>
      </c>
      <c r="N116" s="173">
        <v>128742161.82706852</v>
      </c>
      <c r="O116" s="173">
        <v>129340818.02857018</v>
      </c>
      <c r="P116" s="173">
        <v>64896787.648809522</v>
      </c>
      <c r="Q116" s="209">
        <v>0</v>
      </c>
    </row>
    <row r="117" spans="1:17" x14ac:dyDescent="0.25">
      <c r="G117" s="209">
        <v>2042</v>
      </c>
      <c r="H117" s="173">
        <v>134779088.33824369</v>
      </c>
      <c r="I117" s="173">
        <v>273332837.46833408</v>
      </c>
      <c r="J117" s="173">
        <v>281452997.97830045</v>
      </c>
      <c r="K117" s="173">
        <v>249715157.47848859</v>
      </c>
      <c r="L117" s="173">
        <v>128867176.231233</v>
      </c>
      <c r="M117" s="173">
        <v>129460090.9404473</v>
      </c>
      <c r="N117" s="173">
        <v>130058979.56367832</v>
      </c>
      <c r="O117" s="173">
        <v>130663902.29111552</v>
      </c>
      <c r="P117" s="173">
        <v>131274919.91939484</v>
      </c>
      <c r="Q117" s="209">
        <v>0</v>
      </c>
    </row>
    <row r="118" spans="1:17" x14ac:dyDescent="0.25">
      <c r="G118" s="209">
        <v>2043</v>
      </c>
      <c r="H118" s="278">
        <v>123638780.7875742</v>
      </c>
      <c r="I118" s="278">
        <v>278291695.37007827</v>
      </c>
      <c r="J118" s="209">
        <v>285986646.08976328</v>
      </c>
      <c r="K118" s="209">
        <v>253712839.79305452</v>
      </c>
      <c r="L118" s="209">
        <v>130908718.46204644</v>
      </c>
      <c r="M118" s="209">
        <v>131510860.19877926</v>
      </c>
      <c r="N118" s="209">
        <v>132119068.81647357</v>
      </c>
      <c r="O118" s="209">
        <v>132733405.4420076</v>
      </c>
      <c r="P118" s="209">
        <v>133486467.27201262</v>
      </c>
      <c r="Q118" s="209">
        <v>66911614.6329365</v>
      </c>
    </row>
    <row r="119" spans="1:17" x14ac:dyDescent="0.25">
      <c r="A119"/>
    </row>
    <row r="120" spans="1:17" x14ac:dyDescent="0.25">
      <c r="A120"/>
    </row>
    <row r="121" spans="1:17" x14ac:dyDescent="0.25">
      <c r="A121"/>
    </row>
    <row r="122" spans="1:17" x14ac:dyDescent="0.25">
      <c r="A122"/>
    </row>
    <row r="123" spans="1:17" x14ac:dyDescent="0.25">
      <c r="A123"/>
    </row>
    <row r="124" spans="1:17" x14ac:dyDescent="0.25">
      <c r="A124"/>
    </row>
    <row r="125" spans="1:17" x14ac:dyDescent="0.25">
      <c r="A125"/>
    </row>
    <row r="126" spans="1:17" x14ac:dyDescent="0.25">
      <c r="A126"/>
    </row>
    <row r="127" spans="1:17" x14ac:dyDescent="0.25">
      <c r="A127"/>
    </row>
    <row r="128" spans="1:17"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sheetData>
  <pageMargins left="0.7" right="0.7" top="0.75" bottom="0.75" header="0.3" footer="0.3"/>
  <pageSetup scale="25" fitToHeight="3" orientation="portrait" r:id="rId1"/>
  <customProperties>
    <customPr name="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FE936-7A56-4E58-A039-E9D231AC805D}">
  <sheetPr>
    <tabColor theme="7" tint="0.59999389629810485"/>
    <pageSetUpPr fitToPage="1"/>
  </sheetPr>
  <dimension ref="A1:Z103"/>
  <sheetViews>
    <sheetView zoomScale="80" zoomScaleNormal="80" workbookViewId="0">
      <selection activeCell="A94" sqref="A94"/>
    </sheetView>
  </sheetViews>
  <sheetFormatPr defaultRowHeight="15" x14ac:dyDescent="0.25"/>
  <cols>
    <col min="1" max="1" width="32.5703125" bestFit="1" customWidth="1"/>
    <col min="2" max="2" width="26.42578125" bestFit="1" customWidth="1"/>
    <col min="3" max="3" width="16.42578125" bestFit="1" customWidth="1"/>
    <col min="4" max="4" width="25.42578125" bestFit="1" customWidth="1"/>
    <col min="5" max="5" width="15.42578125" customWidth="1"/>
    <col min="6" max="6" width="14" customWidth="1"/>
    <col min="7" max="7" width="23.5703125" style="265" customWidth="1"/>
    <col min="8" max="8" width="13.42578125" customWidth="1"/>
    <col min="9" max="9" width="21.140625" style="179" customWidth="1"/>
    <col min="10" max="10" width="14.140625" style="125" customWidth="1"/>
    <col min="11" max="26" width="11.42578125" bestFit="1" customWidth="1"/>
  </cols>
  <sheetData>
    <row r="1" spans="1:26" ht="18.75" x14ac:dyDescent="0.3">
      <c r="A1" s="97"/>
      <c r="B1" s="97"/>
      <c r="C1" s="97"/>
      <c r="D1" s="97"/>
      <c r="E1" s="97"/>
      <c r="F1" s="97"/>
      <c r="G1" s="257"/>
      <c r="H1" s="97"/>
      <c r="I1" s="199"/>
      <c r="J1" s="120"/>
      <c r="K1" s="97"/>
      <c r="L1" s="97"/>
      <c r="M1" s="97"/>
      <c r="N1" s="97"/>
      <c r="O1" s="97"/>
      <c r="P1" s="97"/>
    </row>
    <row r="2" spans="1:26" ht="18.75" x14ac:dyDescent="0.3">
      <c r="A2" s="97"/>
      <c r="B2" s="97"/>
      <c r="C2" s="97"/>
      <c r="D2" s="315"/>
      <c r="E2" s="97"/>
      <c r="F2" s="97"/>
      <c r="G2" s="257"/>
      <c r="H2" s="97"/>
      <c r="I2" s="199"/>
      <c r="J2" s="120"/>
      <c r="K2" s="97"/>
      <c r="L2" s="97"/>
      <c r="M2" s="97"/>
      <c r="N2" s="97"/>
      <c r="O2" s="97"/>
      <c r="P2" s="97"/>
    </row>
    <row r="3" spans="1:26" ht="75" x14ac:dyDescent="0.3">
      <c r="A3" s="98"/>
      <c r="B3" s="2" t="s">
        <v>100</v>
      </c>
      <c r="C3" s="2" t="s">
        <v>101</v>
      </c>
      <c r="D3" s="2" t="s">
        <v>102</v>
      </c>
      <c r="E3" s="2" t="s">
        <v>103</v>
      </c>
      <c r="F3" s="2" t="s">
        <v>104</v>
      </c>
      <c r="G3" s="258" t="s">
        <v>363</v>
      </c>
      <c r="H3" s="2" t="s">
        <v>361</v>
      </c>
      <c r="I3" s="200" t="s">
        <v>364</v>
      </c>
      <c r="J3" s="271" t="s">
        <v>105</v>
      </c>
      <c r="K3" s="2" t="s">
        <v>106</v>
      </c>
      <c r="L3" s="2" t="s">
        <v>107</v>
      </c>
      <c r="M3" s="2" t="s">
        <v>108</v>
      </c>
      <c r="N3" s="2" t="s">
        <v>109</v>
      </c>
      <c r="O3" s="2" t="s">
        <v>110</v>
      </c>
      <c r="P3" s="2" t="s">
        <v>111</v>
      </c>
      <c r="Q3" s="2" t="s">
        <v>112</v>
      </c>
      <c r="R3" s="2" t="s">
        <v>113</v>
      </c>
      <c r="S3" s="2" t="s">
        <v>114</v>
      </c>
      <c r="T3" s="2" t="s">
        <v>115</v>
      </c>
      <c r="U3" s="2" t="s">
        <v>116</v>
      </c>
      <c r="V3" s="2" t="s">
        <v>117</v>
      </c>
      <c r="W3" s="2" t="s">
        <v>118</v>
      </c>
      <c r="X3" s="2" t="s">
        <v>119</v>
      </c>
      <c r="Y3" s="2" t="s">
        <v>120</v>
      </c>
      <c r="Z3" s="2" t="s">
        <v>121</v>
      </c>
    </row>
    <row r="4" spans="1:26" ht="18.75" x14ac:dyDescent="0.3">
      <c r="A4" s="99" t="s">
        <v>122</v>
      </c>
      <c r="B4" s="100">
        <v>800000</v>
      </c>
      <c r="C4" s="101">
        <f>C6+C13+C26+C43+C58+C75</f>
        <v>800000</v>
      </c>
      <c r="D4" s="100">
        <v>800000</v>
      </c>
      <c r="E4" s="101">
        <f>E6+E13+E26+E43+E58+E75</f>
        <v>800000</v>
      </c>
      <c r="F4" s="101"/>
      <c r="G4" s="259"/>
      <c r="H4" s="101"/>
      <c r="I4" s="201"/>
      <c r="J4" s="121"/>
      <c r="K4" s="101"/>
      <c r="L4" s="101"/>
      <c r="M4" s="101"/>
      <c r="N4" s="101"/>
      <c r="O4" s="101"/>
      <c r="P4" s="101"/>
      <c r="Q4" s="101"/>
      <c r="R4" s="101"/>
      <c r="S4" s="101"/>
      <c r="T4" s="101"/>
      <c r="U4" s="101"/>
      <c r="V4" s="101"/>
      <c r="W4" s="101"/>
      <c r="X4" s="101"/>
      <c r="Y4" s="101"/>
      <c r="Z4" s="101"/>
    </row>
    <row r="5" spans="1:26" ht="18.75" x14ac:dyDescent="0.3">
      <c r="A5" s="102" t="s">
        <v>123</v>
      </c>
      <c r="B5" s="102"/>
      <c r="C5" s="103">
        <f>C6+C13+C26+C43+C58+C75</f>
        <v>800000</v>
      </c>
      <c r="D5" s="102"/>
      <c r="E5" s="103">
        <f>E6+E13+E26+E43+E58+E75</f>
        <v>800000</v>
      </c>
      <c r="F5" s="101"/>
      <c r="G5" s="259"/>
      <c r="H5" s="101"/>
      <c r="I5" s="201"/>
      <c r="J5" s="121"/>
      <c r="K5" s="101"/>
      <c r="L5" s="101"/>
      <c r="M5" s="101"/>
      <c r="N5" s="101"/>
      <c r="O5" s="101"/>
      <c r="P5" s="101"/>
      <c r="Q5" s="101"/>
      <c r="R5" s="101"/>
      <c r="S5" s="101"/>
      <c r="T5" s="101"/>
      <c r="U5" s="101"/>
      <c r="V5" s="101"/>
      <c r="W5" s="101"/>
      <c r="X5" s="101"/>
      <c r="Y5" s="101"/>
      <c r="Z5" s="101"/>
    </row>
    <row r="6" spans="1:26" ht="18.75" x14ac:dyDescent="0.3">
      <c r="A6" s="102" t="s">
        <v>124</v>
      </c>
      <c r="B6" s="104">
        <v>0.18</v>
      </c>
      <c r="C6" s="105">
        <f>B4*B6</f>
        <v>144000</v>
      </c>
      <c r="D6" s="104">
        <v>0.18</v>
      </c>
      <c r="E6" s="105">
        <f>D4*D6</f>
        <v>144000</v>
      </c>
      <c r="F6" s="105"/>
      <c r="G6" s="105">
        <v>17250.450999999244</v>
      </c>
      <c r="H6" s="106"/>
      <c r="I6" s="202">
        <f>SUM(I8:I12)</f>
        <v>22900840.018733297</v>
      </c>
      <c r="J6" s="266"/>
      <c r="K6" s="106"/>
      <c r="L6" s="106"/>
      <c r="M6" s="106"/>
      <c r="N6" s="106"/>
      <c r="O6" s="106"/>
      <c r="P6" s="106"/>
      <c r="Q6" s="106"/>
      <c r="R6" s="106"/>
      <c r="S6" s="106"/>
      <c r="T6" s="106"/>
      <c r="U6" s="106"/>
      <c r="V6" s="106"/>
      <c r="W6" s="106"/>
      <c r="X6" s="106"/>
      <c r="Y6" s="106"/>
      <c r="Z6" s="106"/>
    </row>
    <row r="7" spans="1:26" ht="18.75" x14ac:dyDescent="0.3">
      <c r="A7" s="107" t="s">
        <v>125</v>
      </c>
      <c r="B7" s="108"/>
      <c r="C7" s="109">
        <f>C6*0.3</f>
        <v>43200</v>
      </c>
      <c r="D7" s="108"/>
      <c r="E7" s="109">
        <f>E6*0.3</f>
        <v>43200</v>
      </c>
      <c r="F7" s="109"/>
      <c r="G7" s="261">
        <f>G6*(C7/C6)</f>
        <v>5175.1352999997735</v>
      </c>
      <c r="H7" s="110"/>
      <c r="I7" s="201"/>
      <c r="J7" s="267"/>
      <c r="K7" s="110"/>
      <c r="L7" s="110"/>
      <c r="M7" s="110"/>
      <c r="N7" s="110"/>
      <c r="O7" s="110"/>
      <c r="P7" s="110"/>
      <c r="Q7" s="110"/>
      <c r="R7" s="110"/>
      <c r="S7" s="110"/>
      <c r="T7" s="110"/>
      <c r="U7" s="110"/>
      <c r="V7" s="110"/>
      <c r="W7" s="110"/>
      <c r="X7" s="110"/>
      <c r="Y7" s="110"/>
      <c r="Z7" s="110"/>
    </row>
    <row r="8" spans="1:26" ht="18.75" x14ac:dyDescent="0.3">
      <c r="A8" s="98" t="s">
        <v>126</v>
      </c>
      <c r="B8" s="111">
        <v>0.38</v>
      </c>
      <c r="C8" s="109">
        <f>$C$7*$B$8</f>
        <v>16416</v>
      </c>
      <c r="D8" s="111">
        <v>0.38</v>
      </c>
      <c r="E8" s="109">
        <f>$E$7*$D$8</f>
        <v>16416</v>
      </c>
      <c r="F8" s="112">
        <v>0.14884</v>
      </c>
      <c r="G8" s="262">
        <f>F8*D8*$G$7*8760/1000</f>
        <v>2564.0652491473857</v>
      </c>
      <c r="H8" s="113">
        <f>J8</f>
        <v>73.709999999999994</v>
      </c>
      <c r="I8" s="203">
        <f>H8*G8*15*0.96</f>
        <v>2721560.3930110144</v>
      </c>
      <c r="J8" s="268">
        <v>73.709999999999994</v>
      </c>
      <c r="K8" s="113">
        <f>J8*$B$93</f>
        <v>70.761599999999987</v>
      </c>
      <c r="L8" s="113">
        <f>K8*$B$93*(IF('Indexed REC Activities'!$A$86="Yes",0,1))</f>
        <v>67.931135999999981</v>
      </c>
      <c r="M8" s="113">
        <f t="shared" ref="M8:Z8" si="0">L8*$B$93</f>
        <v>65.213890559999982</v>
      </c>
      <c r="N8" s="113">
        <f t="shared" si="0"/>
        <v>62.605334937599977</v>
      </c>
      <c r="O8" s="113">
        <f t="shared" si="0"/>
        <v>60.101121540095974</v>
      </c>
      <c r="P8" s="113">
        <f t="shared" si="0"/>
        <v>57.697076678492131</v>
      </c>
      <c r="Q8" s="113">
        <f t="shared" si="0"/>
        <v>55.389193611352447</v>
      </c>
      <c r="R8" s="113">
        <f t="shared" si="0"/>
        <v>53.173625866898348</v>
      </c>
      <c r="S8" s="113">
        <f t="shared" si="0"/>
        <v>51.046680832222414</v>
      </c>
      <c r="T8" s="113">
        <f t="shared" si="0"/>
        <v>49.004813598933517</v>
      </c>
      <c r="U8" s="113">
        <f t="shared" si="0"/>
        <v>47.044621054976176</v>
      </c>
      <c r="V8" s="113">
        <f t="shared" si="0"/>
        <v>45.16283621277713</v>
      </c>
      <c r="W8" s="113">
        <f t="shared" si="0"/>
        <v>43.356322764266039</v>
      </c>
      <c r="X8" s="113">
        <f t="shared" si="0"/>
        <v>41.622069853695393</v>
      </c>
      <c r="Y8" s="113">
        <f t="shared" si="0"/>
        <v>39.957187059547579</v>
      </c>
      <c r="Z8" s="113">
        <f t="shared" si="0"/>
        <v>38.358899577165673</v>
      </c>
    </row>
    <row r="9" spans="1:26" ht="18.75" x14ac:dyDescent="0.3">
      <c r="A9" s="98" t="s">
        <v>127</v>
      </c>
      <c r="B9" s="111">
        <v>0.62</v>
      </c>
      <c r="C9" s="109">
        <f>$C$7*$B$9</f>
        <v>26784</v>
      </c>
      <c r="D9" s="111">
        <v>0.62</v>
      </c>
      <c r="E9" s="109">
        <f>$E$7*$D$9</f>
        <v>26784</v>
      </c>
      <c r="F9" s="112">
        <v>0.15130000000000002</v>
      </c>
      <c r="G9" s="262">
        <f>F9*D9*$G$7*8760/1000</f>
        <v>4252.6185794975827</v>
      </c>
      <c r="H9" s="113">
        <f>J9</f>
        <v>63.53</v>
      </c>
      <c r="I9" s="203">
        <f>H9*G9*15*0.96</f>
        <v>3890431.5603189324</v>
      </c>
      <c r="J9" s="268">
        <v>63.53</v>
      </c>
      <c r="K9" s="113">
        <f t="shared" ref="K9:Z9" si="1">J9*$B$93</f>
        <v>60.988799999999998</v>
      </c>
      <c r="L9" s="113">
        <f t="shared" si="1"/>
        <v>58.549247999999999</v>
      </c>
      <c r="M9" s="113">
        <f t="shared" si="1"/>
        <v>56.207278079999995</v>
      </c>
      <c r="N9" s="113">
        <f t="shared" si="1"/>
        <v>53.95898695679999</v>
      </c>
      <c r="O9" s="113">
        <f t="shared" si="1"/>
        <v>51.800627478527986</v>
      </c>
      <c r="P9" s="113">
        <f t="shared" si="1"/>
        <v>49.728602379386864</v>
      </c>
      <c r="Q9" s="113">
        <f t="shared" si="1"/>
        <v>47.739458284211388</v>
      </c>
      <c r="R9" s="113">
        <f t="shared" si="1"/>
        <v>45.82987995284293</v>
      </c>
      <c r="S9" s="113">
        <f t="shared" si="1"/>
        <v>43.996684754729209</v>
      </c>
      <c r="T9" s="113">
        <f t="shared" si="1"/>
        <v>42.236817364540038</v>
      </c>
      <c r="U9" s="113">
        <f t="shared" si="1"/>
        <v>40.547344669958434</v>
      </c>
      <c r="V9" s="113">
        <f t="shared" si="1"/>
        <v>38.925450883160096</v>
      </c>
      <c r="W9" s="113">
        <f t="shared" si="1"/>
        <v>37.368432847833688</v>
      </c>
      <c r="X9" s="113">
        <f t="shared" si="1"/>
        <v>35.87369553392034</v>
      </c>
      <c r="Y9" s="113">
        <f t="shared" si="1"/>
        <v>34.438747712563526</v>
      </c>
      <c r="Z9" s="113">
        <f t="shared" si="1"/>
        <v>33.061197804060981</v>
      </c>
    </row>
    <row r="10" spans="1:26" ht="18.75" x14ac:dyDescent="0.3">
      <c r="A10" s="107" t="s">
        <v>128</v>
      </c>
      <c r="B10" s="108"/>
      <c r="C10" s="109">
        <f>C6*0.7</f>
        <v>100800</v>
      </c>
      <c r="D10" s="108"/>
      <c r="E10" s="109">
        <f>E6*0.7</f>
        <v>100800</v>
      </c>
      <c r="F10" s="109"/>
      <c r="G10" s="263">
        <f>G6*(C10/C6)</f>
        <v>12075.31569999947</v>
      </c>
      <c r="H10" s="114"/>
      <c r="I10" s="201"/>
      <c r="J10" s="269"/>
      <c r="K10" s="114"/>
      <c r="L10" s="114"/>
      <c r="M10" s="114"/>
      <c r="N10" s="114"/>
      <c r="O10" s="114"/>
      <c r="P10" s="114"/>
      <c r="Q10" s="114"/>
      <c r="R10" s="114"/>
      <c r="S10" s="114"/>
      <c r="T10" s="114"/>
      <c r="U10" s="114"/>
      <c r="V10" s="114"/>
      <c r="W10" s="114"/>
      <c r="X10" s="114"/>
      <c r="Y10" s="114"/>
      <c r="Z10" s="114"/>
    </row>
    <row r="11" spans="1:26" ht="18.75" x14ac:dyDescent="0.3">
      <c r="A11" s="98" t="s">
        <v>129</v>
      </c>
      <c r="B11" s="111">
        <v>0.38</v>
      </c>
      <c r="C11" s="109">
        <f>$C$10*B11</f>
        <v>38304</v>
      </c>
      <c r="D11" s="111">
        <v>0.38</v>
      </c>
      <c r="E11" s="109">
        <f>$E$10*D11</f>
        <v>38304</v>
      </c>
      <c r="F11" s="112">
        <v>0.13464999999999999</v>
      </c>
      <c r="G11" s="262">
        <f>F11*D11*$G$10*8760/1000</f>
        <v>5412.4332629756063</v>
      </c>
      <c r="H11" s="113">
        <f>J11</f>
        <v>83.87</v>
      </c>
      <c r="I11" s="203">
        <f>H11*G11*15*0.96</f>
        <v>6536747.1998270042</v>
      </c>
      <c r="J11" s="268">
        <v>83.87</v>
      </c>
      <c r="K11" s="113">
        <f t="shared" ref="K11:Z12" si="2">J11*$B$93</f>
        <v>80.515200000000007</v>
      </c>
      <c r="L11" s="113">
        <f t="shared" si="2"/>
        <v>77.294592000000009</v>
      </c>
      <c r="M11" s="113">
        <f t="shared" si="2"/>
        <v>74.202808320000003</v>
      </c>
      <c r="N11" s="113">
        <f t="shared" si="2"/>
        <v>71.234695987199999</v>
      </c>
      <c r="O11" s="113">
        <f t="shared" si="2"/>
        <v>68.385308147711996</v>
      </c>
      <c r="P11" s="113">
        <f t="shared" si="2"/>
        <v>65.649895821803511</v>
      </c>
      <c r="Q11" s="113">
        <f t="shared" si="2"/>
        <v>63.023899988931369</v>
      </c>
      <c r="R11" s="113">
        <f t="shared" si="2"/>
        <v>60.50294398937411</v>
      </c>
      <c r="S11" s="113">
        <f t="shared" si="2"/>
        <v>58.082826229799146</v>
      </c>
      <c r="T11" s="113">
        <f t="shared" si="2"/>
        <v>55.759513180607179</v>
      </c>
      <c r="U11" s="113">
        <f t="shared" si="2"/>
        <v>53.529132653382888</v>
      </c>
      <c r="V11" s="113">
        <f t="shared" si="2"/>
        <v>51.387967347247567</v>
      </c>
      <c r="W11" s="113">
        <f t="shared" si="2"/>
        <v>49.332448653357666</v>
      </c>
      <c r="X11" s="113">
        <f t="shared" si="2"/>
        <v>47.359150707223357</v>
      </c>
      <c r="Y11" s="113">
        <f t="shared" si="2"/>
        <v>45.464784678934421</v>
      </c>
      <c r="Z11" s="113">
        <f t="shared" si="2"/>
        <v>43.646193291777045</v>
      </c>
    </row>
    <row r="12" spans="1:26" ht="18.75" x14ac:dyDescent="0.3">
      <c r="A12" s="98" t="s">
        <v>127</v>
      </c>
      <c r="B12" s="111">
        <v>0.62</v>
      </c>
      <c r="C12" s="109">
        <f>$C$10*B12</f>
        <v>62496</v>
      </c>
      <c r="D12" s="111">
        <v>0.62</v>
      </c>
      <c r="E12" s="109">
        <f>$E$10*D12</f>
        <v>62496</v>
      </c>
      <c r="F12" s="112">
        <v>0.13319</v>
      </c>
      <c r="G12" s="262">
        <f>F12*D12*$G$10*8760/1000</f>
        <v>8735.0603221480069</v>
      </c>
      <c r="H12" s="113">
        <f>J12</f>
        <v>77.53</v>
      </c>
      <c r="I12" s="203">
        <f>H12*G12*15*0.96</f>
        <v>9752100.8655763455</v>
      </c>
      <c r="J12" s="268">
        <v>77.53</v>
      </c>
      <c r="K12" s="113">
        <f t="shared" si="2"/>
        <v>74.428799999999995</v>
      </c>
      <c r="L12" s="113">
        <f t="shared" si="2"/>
        <v>71.451647999999992</v>
      </c>
      <c r="M12" s="113">
        <f t="shared" si="2"/>
        <v>68.59358207999999</v>
      </c>
      <c r="N12" s="113">
        <f t="shared" si="2"/>
        <v>65.849838796799986</v>
      </c>
      <c r="O12" s="113">
        <f t="shared" si="2"/>
        <v>63.215845244927984</v>
      </c>
      <c r="P12" s="113">
        <f t="shared" si="2"/>
        <v>60.687211435130862</v>
      </c>
      <c r="Q12" s="113">
        <f t="shared" si="2"/>
        <v>58.259722977725623</v>
      </c>
      <c r="R12" s="113">
        <f t="shared" si="2"/>
        <v>55.929334058616597</v>
      </c>
      <c r="S12" s="113">
        <f t="shared" si="2"/>
        <v>53.692160696271934</v>
      </c>
      <c r="T12" s="113">
        <f t="shared" si="2"/>
        <v>51.544474268421055</v>
      </c>
      <c r="U12" s="113">
        <f t="shared" si="2"/>
        <v>49.482695297684209</v>
      </c>
      <c r="V12" s="113">
        <f t="shared" si="2"/>
        <v>47.503387485776841</v>
      </c>
      <c r="W12" s="113">
        <f t="shared" si="2"/>
        <v>45.603251986345768</v>
      </c>
      <c r="X12" s="113">
        <f t="shared" si="2"/>
        <v>43.779121906891937</v>
      </c>
      <c r="Y12" s="113">
        <f t="shared" si="2"/>
        <v>42.027957030616257</v>
      </c>
      <c r="Z12" s="113">
        <f t="shared" si="2"/>
        <v>40.346838749391608</v>
      </c>
    </row>
    <row r="13" spans="1:26" ht="18.75" x14ac:dyDescent="0.3">
      <c r="A13" s="102" t="s">
        <v>130</v>
      </c>
      <c r="B13" s="104">
        <v>0.18</v>
      </c>
      <c r="C13" s="105">
        <f>B4*B13</f>
        <v>144000</v>
      </c>
      <c r="D13" s="104">
        <v>0.18</v>
      </c>
      <c r="E13" s="105">
        <f>D4*D13</f>
        <v>144000</v>
      </c>
      <c r="F13" s="105"/>
      <c r="G13" s="260">
        <v>36114.059000000008</v>
      </c>
      <c r="H13" s="106"/>
      <c r="I13" s="202">
        <f>SUM(I15:I25)</f>
        <v>33371929.206459019</v>
      </c>
      <c r="J13" s="266"/>
      <c r="K13" s="106"/>
      <c r="L13" s="106"/>
      <c r="M13" s="106"/>
      <c r="N13" s="106"/>
      <c r="O13" s="106"/>
      <c r="P13" s="106"/>
      <c r="Q13" s="106"/>
      <c r="R13" s="106"/>
      <c r="S13" s="106"/>
      <c r="T13" s="106"/>
      <c r="U13" s="106"/>
      <c r="V13" s="106"/>
      <c r="W13" s="106"/>
      <c r="X13" s="106"/>
      <c r="Y13" s="106"/>
      <c r="Z13" s="106"/>
    </row>
    <row r="14" spans="1:26" ht="18.75" x14ac:dyDescent="0.3">
      <c r="A14" s="107" t="s">
        <v>131</v>
      </c>
      <c r="B14" s="108"/>
      <c r="C14" s="109">
        <f>C13*0.3</f>
        <v>43200</v>
      </c>
      <c r="D14" s="108"/>
      <c r="E14" s="109">
        <f>E13*0.3</f>
        <v>43200</v>
      </c>
      <c r="F14" s="109"/>
      <c r="G14" s="261">
        <f>G13*(C14/C13)</f>
        <v>10834.217700000003</v>
      </c>
      <c r="H14" s="114"/>
      <c r="I14" s="201"/>
      <c r="J14" s="269"/>
      <c r="K14" s="114"/>
      <c r="L14" s="114"/>
      <c r="M14" s="114"/>
      <c r="N14" s="114"/>
      <c r="O14" s="114"/>
      <c r="P14" s="114"/>
      <c r="Q14" s="114"/>
      <c r="R14" s="114"/>
      <c r="S14" s="114"/>
      <c r="T14" s="114"/>
      <c r="U14" s="114"/>
      <c r="V14" s="114"/>
      <c r="W14" s="114"/>
      <c r="X14" s="114"/>
      <c r="Y14" s="114"/>
      <c r="Z14" s="114"/>
    </row>
    <row r="15" spans="1:26" ht="18.75" x14ac:dyDescent="0.3">
      <c r="A15" s="98" t="s">
        <v>132</v>
      </c>
      <c r="B15" s="111">
        <v>8.2589858081657974E-2</v>
      </c>
      <c r="C15" s="109">
        <f>$C$14*B15</f>
        <v>3567.8818691276247</v>
      </c>
      <c r="D15" s="111">
        <v>8.2589858081657974E-2</v>
      </c>
      <c r="E15" s="109">
        <f>$E$14*D15</f>
        <v>3567.8818691276247</v>
      </c>
      <c r="F15" s="112">
        <v>0.15196999999999999</v>
      </c>
      <c r="G15" s="262">
        <f>F15*D15*$G$14*8760/1000</f>
        <v>1191.204286180139</v>
      </c>
      <c r="H15" s="113">
        <f>J15</f>
        <v>55.89</v>
      </c>
      <c r="I15" s="203">
        <f>H15*G15*15*0.96</f>
        <v>958700.26878635469</v>
      </c>
      <c r="J15" s="268">
        <v>55.89</v>
      </c>
      <c r="K15" s="113">
        <f t="shared" ref="K15:Z19" si="3">J15*$B$93</f>
        <v>53.654399999999995</v>
      </c>
      <c r="L15" s="113">
        <f t="shared" si="3"/>
        <v>51.508223999999991</v>
      </c>
      <c r="M15" s="113">
        <f t="shared" si="3"/>
        <v>49.447895039999992</v>
      </c>
      <c r="N15" s="113">
        <f t="shared" si="3"/>
        <v>47.469979238399993</v>
      </c>
      <c r="O15" s="113">
        <f t="shared" si="3"/>
        <v>45.571180068863995</v>
      </c>
      <c r="P15" s="113">
        <f t="shared" si="3"/>
        <v>43.748332866109436</v>
      </c>
      <c r="Q15" s="113">
        <f t="shared" si="3"/>
        <v>41.998399551465056</v>
      </c>
      <c r="R15" s="113">
        <f t="shared" si="3"/>
        <v>40.318463569406454</v>
      </c>
      <c r="S15" s="113">
        <f t="shared" si="3"/>
        <v>38.705725026630198</v>
      </c>
      <c r="T15" s="113">
        <f t="shared" si="3"/>
        <v>37.157496025564988</v>
      </c>
      <c r="U15" s="113">
        <f t="shared" si="3"/>
        <v>35.671196184542389</v>
      </c>
      <c r="V15" s="113">
        <f t="shared" si="3"/>
        <v>34.244348337160694</v>
      </c>
      <c r="W15" s="113">
        <f t="shared" si="3"/>
        <v>32.874574403674266</v>
      </c>
      <c r="X15" s="113">
        <f t="shared" si="3"/>
        <v>31.559591427527295</v>
      </c>
      <c r="Y15" s="113">
        <f t="shared" si="3"/>
        <v>30.297207770426201</v>
      </c>
      <c r="Z15" s="113">
        <f t="shared" si="3"/>
        <v>29.085319459609153</v>
      </c>
    </row>
    <row r="16" spans="1:26" ht="18.75" x14ac:dyDescent="0.3">
      <c r="A16" s="98" t="s">
        <v>133</v>
      </c>
      <c r="B16" s="111">
        <v>6.3796727298494463E-2</v>
      </c>
      <c r="C16" s="109">
        <f>$C$14*B16</f>
        <v>2756.0186192949609</v>
      </c>
      <c r="D16" s="111">
        <v>6.3796727298494463E-2</v>
      </c>
      <c r="E16" s="109">
        <f>$E$14*D16</f>
        <v>2756.0186192949609</v>
      </c>
      <c r="F16" s="112">
        <v>0.14819000000000002</v>
      </c>
      <c r="G16" s="262">
        <f t="shared" ref="G16:G18" si="4">F16*D16*$G$14*8760/1000</f>
        <v>897.26135395912513</v>
      </c>
      <c r="H16" s="113">
        <f>J16</f>
        <v>53.63</v>
      </c>
      <c r="I16" s="203">
        <f>H16*G16*15*0.96</f>
        <v>692929.82034472155</v>
      </c>
      <c r="J16" s="268">
        <v>53.63</v>
      </c>
      <c r="K16" s="113">
        <f t="shared" si="3"/>
        <v>51.4848</v>
      </c>
      <c r="L16" s="113">
        <f t="shared" si="3"/>
        <v>49.425407999999997</v>
      </c>
      <c r="M16" s="113">
        <f t="shared" si="3"/>
        <v>47.448391679999993</v>
      </c>
      <c r="N16" s="113">
        <f t="shared" si="3"/>
        <v>45.550456012799991</v>
      </c>
      <c r="O16" s="113">
        <f t="shared" si="3"/>
        <v>43.72843777228799</v>
      </c>
      <c r="P16" s="113">
        <f t="shared" si="3"/>
        <v>41.979300261396467</v>
      </c>
      <c r="Q16" s="113">
        <f t="shared" si="3"/>
        <v>40.30012825094061</v>
      </c>
      <c r="R16" s="113">
        <f t="shared" si="3"/>
        <v>38.688123120902986</v>
      </c>
      <c r="S16" s="113">
        <f t="shared" si="3"/>
        <v>37.140598196066868</v>
      </c>
      <c r="T16" s="113">
        <f t="shared" si="3"/>
        <v>35.654974268224194</v>
      </c>
      <c r="U16" s="113">
        <f t="shared" si="3"/>
        <v>34.228775297495226</v>
      </c>
      <c r="V16" s="113">
        <f t="shared" si="3"/>
        <v>32.859624285595416</v>
      </c>
      <c r="W16" s="113">
        <f t="shared" si="3"/>
        <v>31.545239314171599</v>
      </c>
      <c r="X16" s="113">
        <f t="shared" si="3"/>
        <v>30.283429741604735</v>
      </c>
      <c r="Y16" s="113">
        <f t="shared" si="3"/>
        <v>29.072092551940543</v>
      </c>
      <c r="Z16" s="113">
        <f t="shared" si="3"/>
        <v>27.909208849862921</v>
      </c>
    </row>
    <row r="17" spans="1:26" ht="18.75" x14ac:dyDescent="0.3">
      <c r="A17" s="98" t="s">
        <v>134</v>
      </c>
      <c r="B17" s="111">
        <v>0.14809231752718796</v>
      </c>
      <c r="C17" s="109">
        <f>$C$14*B17</f>
        <v>6397.5881171745195</v>
      </c>
      <c r="D17" s="111">
        <v>0.14809231752718796</v>
      </c>
      <c r="E17" s="109">
        <f>$E$14*D17</f>
        <v>6397.5881171745195</v>
      </c>
      <c r="F17" s="112">
        <v>0.15303</v>
      </c>
      <c r="G17" s="262">
        <f t="shared" si="4"/>
        <v>2150.8532097152352</v>
      </c>
      <c r="H17" s="113">
        <f>J17</f>
        <v>46.58</v>
      </c>
      <c r="I17" s="203">
        <f>H17*G17*15*0.96</f>
        <v>1442689.0921229133</v>
      </c>
      <c r="J17" s="268">
        <v>46.58</v>
      </c>
      <c r="K17" s="113">
        <f t="shared" si="3"/>
        <v>44.716799999999999</v>
      </c>
      <c r="L17" s="113">
        <f>K17*$B$93</f>
        <v>42.928128000000001</v>
      </c>
      <c r="M17" s="113">
        <f t="shared" si="3"/>
        <v>41.211002880000002</v>
      </c>
      <c r="N17" s="113">
        <f t="shared" si="3"/>
        <v>39.562562764799999</v>
      </c>
      <c r="O17" s="113">
        <f t="shared" si="3"/>
        <v>37.980060254207999</v>
      </c>
      <c r="P17" s="113">
        <f t="shared" si="3"/>
        <v>36.46085784403968</v>
      </c>
      <c r="Q17" s="113">
        <f t="shared" si="3"/>
        <v>35.002423530278094</v>
      </c>
      <c r="R17" s="113">
        <f t="shared" si="3"/>
        <v>33.602326589066969</v>
      </c>
      <c r="S17" s="113">
        <f t="shared" si="3"/>
        <v>32.258233525504288</v>
      </c>
      <c r="T17" s="113">
        <f t="shared" si="3"/>
        <v>30.967904184484116</v>
      </c>
      <c r="U17" s="113">
        <f t="shared" si="3"/>
        <v>29.72918801710475</v>
      </c>
      <c r="V17" s="113">
        <f t="shared" si="3"/>
        <v>28.54002049642056</v>
      </c>
      <c r="W17" s="113">
        <f t="shared" si="3"/>
        <v>27.398419676563737</v>
      </c>
      <c r="X17" s="113">
        <f t="shared" si="3"/>
        <v>26.302482889501185</v>
      </c>
      <c r="Y17" s="113">
        <f t="shared" si="3"/>
        <v>25.250383573921138</v>
      </c>
      <c r="Z17" s="113">
        <f t="shared" si="3"/>
        <v>24.24036823096429</v>
      </c>
    </row>
    <row r="18" spans="1:26" ht="18.75" x14ac:dyDescent="0.3">
      <c r="A18" s="98" t="s">
        <v>135</v>
      </c>
      <c r="B18" s="111">
        <v>0.7055190579627767</v>
      </c>
      <c r="C18" s="109">
        <f>$C$14*B18</f>
        <v>30478.423303991953</v>
      </c>
      <c r="D18" s="111">
        <v>0.7055190579627767</v>
      </c>
      <c r="E18" s="109">
        <f>$E$14*D18</f>
        <v>30478.423303991953</v>
      </c>
      <c r="F18" s="112">
        <v>0.14410999999999999</v>
      </c>
      <c r="G18" s="262">
        <f t="shared" si="4"/>
        <v>9649.4938129357888</v>
      </c>
      <c r="H18" s="113">
        <f>J18</f>
        <v>43.77</v>
      </c>
      <c r="I18" s="203">
        <f>H18*G18*15*0.96</f>
        <v>6081960.1563676726</v>
      </c>
      <c r="J18" s="268">
        <v>43.77</v>
      </c>
      <c r="K18" s="113">
        <f t="shared" si="3"/>
        <v>42.019200000000005</v>
      </c>
      <c r="L18" s="113">
        <f t="shared" si="3"/>
        <v>40.338432000000005</v>
      </c>
      <c r="M18" s="113">
        <f t="shared" si="3"/>
        <v>38.724894720000002</v>
      </c>
      <c r="N18" s="113">
        <f t="shared" si="3"/>
        <v>37.175898931200003</v>
      </c>
      <c r="O18" s="113">
        <f t="shared" si="3"/>
        <v>35.688862973951998</v>
      </c>
      <c r="P18" s="113">
        <f t="shared" si="3"/>
        <v>34.261308454993916</v>
      </c>
      <c r="Q18" s="113">
        <f t="shared" si="3"/>
        <v>32.890856116794161</v>
      </c>
      <c r="R18" s="113">
        <f t="shared" si="3"/>
        <v>31.575221872122395</v>
      </c>
      <c r="S18" s="113">
        <f t="shared" si="3"/>
        <v>30.312212997237499</v>
      </c>
      <c r="T18" s="113">
        <f t="shared" si="3"/>
        <v>29.099724477347998</v>
      </c>
      <c r="U18" s="113">
        <f t="shared" si="3"/>
        <v>27.935735498254076</v>
      </c>
      <c r="V18" s="113">
        <f t="shared" si="3"/>
        <v>26.818306078323911</v>
      </c>
      <c r="W18" s="113">
        <f t="shared" si="3"/>
        <v>25.745573835190953</v>
      </c>
      <c r="X18" s="113">
        <f t="shared" si="3"/>
        <v>24.715750881783315</v>
      </c>
      <c r="Y18" s="113">
        <f t="shared" si="3"/>
        <v>23.72712084651198</v>
      </c>
      <c r="Z18" s="113">
        <f t="shared" si="3"/>
        <v>22.778036012651501</v>
      </c>
    </row>
    <row r="19" spans="1:26" ht="18.75" x14ac:dyDescent="0.3">
      <c r="A19" s="98" t="s">
        <v>136</v>
      </c>
      <c r="B19" s="111">
        <v>0</v>
      </c>
      <c r="C19" s="109">
        <f>$C$14*B19</f>
        <v>0</v>
      </c>
      <c r="D19" s="111">
        <v>0</v>
      </c>
      <c r="E19" s="109">
        <f>$E$14*D19</f>
        <v>0</v>
      </c>
      <c r="F19" s="112"/>
      <c r="G19" s="262"/>
      <c r="H19" s="113">
        <f>J19</f>
        <v>33.03</v>
      </c>
      <c r="I19" s="203">
        <f>H19*G19*15.96</f>
        <v>0</v>
      </c>
      <c r="J19" s="268">
        <v>33.03</v>
      </c>
      <c r="K19" s="113">
        <f t="shared" si="3"/>
        <v>31.7088</v>
      </c>
      <c r="L19" s="113">
        <f t="shared" ref="L19" si="5">K19*$B$93</f>
        <v>30.440448</v>
      </c>
      <c r="M19" s="113">
        <f t="shared" ref="M19" si="6">L19*$B$93</f>
        <v>29.222830079999998</v>
      </c>
      <c r="N19" s="113">
        <f t="shared" ref="N19" si="7">M19*$B$93</f>
        <v>28.053916876799995</v>
      </c>
      <c r="O19" s="113">
        <f t="shared" ref="O19" si="8">N19*$B$93</f>
        <v>26.931760201727993</v>
      </c>
      <c r="P19" s="113">
        <f t="shared" ref="P19" si="9">O19*$B$93</f>
        <v>25.854489793658871</v>
      </c>
      <c r="Q19" s="113">
        <f t="shared" ref="Q19" si="10">P19*$B$93</f>
        <v>24.820310201912516</v>
      </c>
      <c r="R19" s="113">
        <f t="shared" ref="R19" si="11">Q19*$B$93</f>
        <v>23.827497793836013</v>
      </c>
      <c r="S19" s="113">
        <f t="shared" ref="S19" si="12">R19*$B$93</f>
        <v>22.874397882082572</v>
      </c>
      <c r="T19" s="113">
        <f t="shared" ref="T19" si="13">S19*$B$93</f>
        <v>21.959421966799269</v>
      </c>
      <c r="U19" s="113">
        <f t="shared" ref="U19" si="14">T19*$B$93</f>
        <v>21.081045088127297</v>
      </c>
      <c r="V19" s="113">
        <f t="shared" ref="V19" si="15">U19*$B$93</f>
        <v>20.237803284602204</v>
      </c>
      <c r="W19" s="113">
        <f t="shared" ref="W19" si="16">V19*$B$93</f>
        <v>19.428291153218115</v>
      </c>
      <c r="X19" s="113">
        <f t="shared" ref="X19" si="17">W19*$B$93</f>
        <v>18.651159507089389</v>
      </c>
      <c r="Y19" s="113">
        <f t="shared" ref="Y19" si="18">X19*$B$93</f>
        <v>17.905113126805812</v>
      </c>
      <c r="Z19" s="113">
        <f t="shared" ref="Z19" si="19">Y19*$B$93</f>
        <v>17.18890860173358</v>
      </c>
    </row>
    <row r="20" spans="1:26" ht="18.75" x14ac:dyDescent="0.3">
      <c r="A20" s="107" t="s">
        <v>137</v>
      </c>
      <c r="B20" s="108"/>
      <c r="C20" s="109">
        <f>C13*0.7</f>
        <v>100800</v>
      </c>
      <c r="D20" s="108"/>
      <c r="E20" s="109">
        <f>E13*0.7</f>
        <v>100800</v>
      </c>
      <c r="F20" s="109"/>
      <c r="G20" s="259">
        <f>G13*(C20/C13)</f>
        <v>25279.841300000004</v>
      </c>
      <c r="H20" s="114"/>
      <c r="I20" s="201"/>
      <c r="J20" s="269"/>
      <c r="K20" s="114"/>
      <c r="L20" s="114"/>
      <c r="M20" s="114"/>
      <c r="N20" s="114"/>
      <c r="O20" s="114"/>
      <c r="P20" s="114"/>
      <c r="Q20" s="114"/>
      <c r="R20" s="114"/>
      <c r="S20" s="114"/>
      <c r="T20" s="114"/>
      <c r="U20" s="114"/>
      <c r="V20" s="114"/>
      <c r="W20" s="114"/>
      <c r="X20" s="114"/>
      <c r="Y20" s="114"/>
      <c r="Z20" s="114"/>
    </row>
    <row r="21" spans="1:26" ht="18.75" x14ac:dyDescent="0.3">
      <c r="A21" s="98" t="s">
        <v>138</v>
      </c>
      <c r="B21" s="111">
        <v>3.7818107834294019E-2</v>
      </c>
      <c r="C21" s="109">
        <f>$C$20*B21</f>
        <v>3812.0652696968373</v>
      </c>
      <c r="D21" s="111">
        <v>3.7818107834294019E-2</v>
      </c>
      <c r="E21" s="109">
        <f>$E$20*D21</f>
        <v>3812.0652696968373</v>
      </c>
      <c r="F21" s="112">
        <v>0.14305999999999999</v>
      </c>
      <c r="G21" s="262">
        <f>F21*D21*$G$20*8760/1000</f>
        <v>1198.1093736426446</v>
      </c>
      <c r="H21" s="113">
        <f>J21</f>
        <v>70.23</v>
      </c>
      <c r="I21" s="203">
        <f>H21*G21*15*0.96</f>
        <v>1211662.3868772902</v>
      </c>
      <c r="J21" s="268">
        <v>70.23</v>
      </c>
      <c r="K21" s="113">
        <f t="shared" ref="K21:Z25" si="20">J21*$B$93</f>
        <v>67.4208</v>
      </c>
      <c r="L21" s="113">
        <f t="shared" si="20"/>
        <v>64.723967999999999</v>
      </c>
      <c r="M21" s="113">
        <f t="shared" si="20"/>
        <v>62.135009279999998</v>
      </c>
      <c r="N21" s="113">
        <f t="shared" si="20"/>
        <v>59.649608908799998</v>
      </c>
      <c r="O21" s="113">
        <f t="shared" si="20"/>
        <v>57.263624552447993</v>
      </c>
      <c r="P21" s="113">
        <f t="shared" si="20"/>
        <v>54.973079570350073</v>
      </c>
      <c r="Q21" s="113">
        <f t="shared" si="20"/>
        <v>52.774156387536067</v>
      </c>
      <c r="R21" s="113">
        <f t="shared" si="20"/>
        <v>50.663190132034622</v>
      </c>
      <c r="S21" s="113">
        <f t="shared" si="20"/>
        <v>48.636662526753234</v>
      </c>
      <c r="T21" s="113">
        <f t="shared" si="20"/>
        <v>46.691196025683105</v>
      </c>
      <c r="U21" s="113">
        <f t="shared" si="20"/>
        <v>44.823548184655778</v>
      </c>
      <c r="V21" s="113">
        <f t="shared" si="20"/>
        <v>43.030606257269547</v>
      </c>
      <c r="W21" s="113">
        <f t="shared" si="20"/>
        <v>41.309382006978765</v>
      </c>
      <c r="X21" s="113">
        <f t="shared" si="20"/>
        <v>39.657006726699613</v>
      </c>
      <c r="Y21" s="113">
        <f t="shared" si="20"/>
        <v>38.070726457631629</v>
      </c>
      <c r="Z21" s="113">
        <f t="shared" si="20"/>
        <v>36.547897399326359</v>
      </c>
    </row>
    <row r="22" spans="1:26" ht="18.75" x14ac:dyDescent="0.3">
      <c r="A22" s="98" t="s">
        <v>133</v>
      </c>
      <c r="B22" s="111">
        <v>2.9448996157951057E-2</v>
      </c>
      <c r="C22" s="109">
        <f>$C$20*B22</f>
        <v>2968.4588127214665</v>
      </c>
      <c r="D22" s="111">
        <v>2.9448996157951057E-2</v>
      </c>
      <c r="E22" s="109">
        <f>$E$20*D22</f>
        <v>2968.4588127214665</v>
      </c>
      <c r="F22" s="112">
        <v>0.14176</v>
      </c>
      <c r="G22" s="262">
        <f t="shared" ref="G22:G24" si="21">F22*D22*$G$20*8760/1000</f>
        <v>924.49091846294664</v>
      </c>
      <c r="H22" s="113">
        <f>J22</f>
        <v>63.34</v>
      </c>
      <c r="I22" s="203">
        <f>H22*G22*15*0.96</f>
        <v>843224.46876637975</v>
      </c>
      <c r="J22" s="268">
        <v>63.34</v>
      </c>
      <c r="K22" s="113">
        <f t="shared" si="20"/>
        <v>60.806400000000004</v>
      </c>
      <c r="L22" s="113">
        <f t="shared" si="20"/>
        <v>58.374144000000001</v>
      </c>
      <c r="M22" s="113">
        <f t="shared" si="20"/>
        <v>56.039178239999998</v>
      </c>
      <c r="N22" s="113">
        <f t="shared" si="20"/>
        <v>53.797611110399998</v>
      </c>
      <c r="O22" s="113">
        <f t="shared" si="20"/>
        <v>51.645706665983994</v>
      </c>
      <c r="P22" s="113">
        <f t="shared" si="20"/>
        <v>49.579878399344629</v>
      </c>
      <c r="Q22" s="113">
        <f t="shared" si="20"/>
        <v>47.596683263370842</v>
      </c>
      <c r="R22" s="113">
        <f t="shared" si="20"/>
        <v>45.692815932836005</v>
      </c>
      <c r="S22" s="113">
        <f t="shared" si="20"/>
        <v>43.865103295522566</v>
      </c>
      <c r="T22" s="113">
        <f t="shared" si="20"/>
        <v>42.110499163701661</v>
      </c>
      <c r="U22" s="113">
        <f t="shared" si="20"/>
        <v>40.426079197153591</v>
      </c>
      <c r="V22" s="113">
        <f t="shared" si="20"/>
        <v>38.809036029267446</v>
      </c>
      <c r="W22" s="113">
        <f t="shared" si="20"/>
        <v>37.25667458809675</v>
      </c>
      <c r="X22" s="113">
        <f t="shared" si="20"/>
        <v>35.766407604572876</v>
      </c>
      <c r="Y22" s="113">
        <f t="shared" si="20"/>
        <v>34.335751300389958</v>
      </c>
      <c r="Z22" s="113">
        <f t="shared" si="20"/>
        <v>32.962321248374359</v>
      </c>
    </row>
    <row r="23" spans="1:26" ht="18.75" x14ac:dyDescent="0.3">
      <c r="A23" s="98" t="s">
        <v>134</v>
      </c>
      <c r="B23" s="111">
        <v>0.1091491177452943</v>
      </c>
      <c r="C23" s="109">
        <f>$C$20*B23</f>
        <v>11002.231068725665</v>
      </c>
      <c r="D23" s="111">
        <v>0.1091491177452943</v>
      </c>
      <c r="E23" s="109">
        <f>$E$20*D23</f>
        <v>11002.231068725665</v>
      </c>
      <c r="F23" s="112">
        <v>0.14119000000000001</v>
      </c>
      <c r="G23" s="262">
        <f t="shared" si="21"/>
        <v>3412.735399195813</v>
      </c>
      <c r="H23" s="113">
        <f>J23</f>
        <v>54.6</v>
      </c>
      <c r="I23" s="203">
        <f>H23*G23*15*0.96</f>
        <v>2683229.0802637162</v>
      </c>
      <c r="J23" s="268">
        <v>54.6</v>
      </c>
      <c r="K23" s="113">
        <f t="shared" si="20"/>
        <v>52.415999999999997</v>
      </c>
      <c r="L23" s="113">
        <f t="shared" si="20"/>
        <v>50.319359999999996</v>
      </c>
      <c r="M23" s="113">
        <f t="shared" si="20"/>
        <v>48.306585599999991</v>
      </c>
      <c r="N23" s="113">
        <f t="shared" si="20"/>
        <v>46.374322175999993</v>
      </c>
      <c r="O23" s="113">
        <f t="shared" si="20"/>
        <v>44.519349288959994</v>
      </c>
      <c r="P23" s="113">
        <f t="shared" si="20"/>
        <v>42.73857531740159</v>
      </c>
      <c r="Q23" s="113">
        <f t="shared" si="20"/>
        <v>41.029032304705524</v>
      </c>
      <c r="R23" s="113">
        <f t="shared" si="20"/>
        <v>39.387871012517301</v>
      </c>
      <c r="S23" s="113">
        <f t="shared" si="20"/>
        <v>37.812356172016607</v>
      </c>
      <c r="T23" s="113">
        <f t="shared" si="20"/>
        <v>36.299861925135943</v>
      </c>
      <c r="U23" s="113">
        <f t="shared" si="20"/>
        <v>34.847867448130501</v>
      </c>
      <c r="V23" s="113">
        <f t="shared" si="20"/>
        <v>33.453952750205282</v>
      </c>
      <c r="W23" s="113">
        <f t="shared" si="20"/>
        <v>32.115794640197066</v>
      </c>
      <c r="X23" s="113">
        <f t="shared" si="20"/>
        <v>30.831162854589181</v>
      </c>
      <c r="Y23" s="113">
        <f t="shared" si="20"/>
        <v>29.597916340405611</v>
      </c>
      <c r="Z23" s="113">
        <f t="shared" si="20"/>
        <v>28.413999686789385</v>
      </c>
    </row>
    <row r="24" spans="1:26" ht="18.75" x14ac:dyDescent="0.3">
      <c r="A24" s="98" t="s">
        <v>135</v>
      </c>
      <c r="B24" s="111">
        <v>0.82358343106844789</v>
      </c>
      <c r="C24" s="109">
        <f>$C$20*B24</f>
        <v>83017.209851699547</v>
      </c>
      <c r="D24" s="111">
        <v>0.82358343106844789</v>
      </c>
      <c r="E24" s="109">
        <f>$E$20*D24</f>
        <v>83017.209851699547</v>
      </c>
      <c r="F24" s="112">
        <v>0.1497</v>
      </c>
      <c r="G24" s="262">
        <f t="shared" si="21"/>
        <v>27302.841669655445</v>
      </c>
      <c r="H24" s="113">
        <f>J24</f>
        <v>49.49</v>
      </c>
      <c r="I24" s="203">
        <f>H24*G24*15*0.96</f>
        <v>19457533.93292997</v>
      </c>
      <c r="J24" s="268">
        <v>49.49</v>
      </c>
      <c r="K24" s="113">
        <f t="shared" si="20"/>
        <v>47.510399999999997</v>
      </c>
      <c r="L24" s="113">
        <f t="shared" si="20"/>
        <v>45.609983999999997</v>
      </c>
      <c r="M24" s="113">
        <f t="shared" si="20"/>
        <v>43.785584639999996</v>
      </c>
      <c r="N24" s="113">
        <f t="shared" si="20"/>
        <v>42.034161254399997</v>
      </c>
      <c r="O24" s="113">
        <f t="shared" si="20"/>
        <v>40.352794804223997</v>
      </c>
      <c r="P24" s="113">
        <f t="shared" si="20"/>
        <v>38.738683012055034</v>
      </c>
      <c r="Q24" s="113">
        <f t="shared" si="20"/>
        <v>37.18913569157283</v>
      </c>
      <c r="R24" s="113">
        <f t="shared" si="20"/>
        <v>35.701570263909915</v>
      </c>
      <c r="S24" s="113">
        <f t="shared" si="20"/>
        <v>34.273507453353517</v>
      </c>
      <c r="T24" s="113">
        <f t="shared" si="20"/>
        <v>32.902567155219373</v>
      </c>
      <c r="U24" s="113">
        <f t="shared" si="20"/>
        <v>31.586464469010597</v>
      </c>
      <c r="V24" s="113">
        <f t="shared" si="20"/>
        <v>30.323005890250172</v>
      </c>
      <c r="W24" s="113">
        <f t="shared" si="20"/>
        <v>29.110085654640166</v>
      </c>
      <c r="X24" s="113">
        <f t="shared" si="20"/>
        <v>27.945682228454558</v>
      </c>
      <c r="Y24" s="113">
        <f t="shared" si="20"/>
        <v>26.827854939316374</v>
      </c>
      <c r="Z24" s="113">
        <f t="shared" si="20"/>
        <v>25.754740741743717</v>
      </c>
    </row>
    <row r="25" spans="1:26" ht="18.75" x14ac:dyDescent="0.3">
      <c r="A25" s="98" t="s">
        <v>136</v>
      </c>
      <c r="B25" s="111">
        <v>0</v>
      </c>
      <c r="C25" s="109">
        <f>$C$20*B25</f>
        <v>0</v>
      </c>
      <c r="D25" s="111">
        <v>0</v>
      </c>
      <c r="E25" s="109">
        <f>$E$20*D25</f>
        <v>0</v>
      </c>
      <c r="F25" s="112"/>
      <c r="G25" s="262"/>
      <c r="H25" s="113">
        <f>J25</f>
        <v>37.049999999999997</v>
      </c>
      <c r="I25" s="203"/>
      <c r="J25" s="268">
        <v>37.049999999999997</v>
      </c>
      <c r="K25" s="113">
        <f t="shared" si="20"/>
        <v>35.567999999999998</v>
      </c>
      <c r="L25" s="113">
        <f t="shared" si="20"/>
        <v>34.14528</v>
      </c>
      <c r="M25" s="113">
        <f t="shared" si="20"/>
        <v>32.779468799999997</v>
      </c>
      <c r="N25" s="113">
        <f t="shared" si="20"/>
        <v>31.468290047999997</v>
      </c>
      <c r="O25" s="113">
        <f t="shared" si="20"/>
        <v>30.209558446079996</v>
      </c>
      <c r="P25" s="113">
        <f t="shared" si="20"/>
        <v>29.001176108236795</v>
      </c>
      <c r="Q25" s="113">
        <f t="shared" si="20"/>
        <v>27.841129063907321</v>
      </c>
      <c r="R25" s="113">
        <f t="shared" si="20"/>
        <v>26.727483901351025</v>
      </c>
      <c r="S25" s="113">
        <f t="shared" si="20"/>
        <v>25.658384545296983</v>
      </c>
      <c r="T25" s="113">
        <f t="shared" si="20"/>
        <v>24.632049163485103</v>
      </c>
      <c r="U25" s="113">
        <f t="shared" si="20"/>
        <v>23.646767196945699</v>
      </c>
      <c r="V25" s="113">
        <f t="shared" si="20"/>
        <v>22.700896509067871</v>
      </c>
      <c r="W25" s="113">
        <f t="shared" si="20"/>
        <v>21.792860648705155</v>
      </c>
      <c r="X25" s="113">
        <f t="shared" si="20"/>
        <v>20.921146222756949</v>
      </c>
      <c r="Y25" s="113">
        <f t="shared" si="20"/>
        <v>20.08430037384667</v>
      </c>
      <c r="Z25" s="113">
        <f t="shared" si="20"/>
        <v>19.280928358892801</v>
      </c>
    </row>
    <row r="26" spans="1:26" ht="18.75" x14ac:dyDescent="0.3">
      <c r="A26" s="102" t="s">
        <v>139</v>
      </c>
      <c r="B26" s="104">
        <v>0.27</v>
      </c>
      <c r="C26" s="105">
        <f>B4*B26</f>
        <v>216000</v>
      </c>
      <c r="D26" s="104">
        <v>0.27</v>
      </c>
      <c r="E26" s="105">
        <f>D4*D26</f>
        <v>216000</v>
      </c>
      <c r="F26" s="105"/>
      <c r="G26" s="260">
        <v>19291.03</v>
      </c>
      <c r="H26" s="106"/>
      <c r="I26" s="202">
        <f>SUM(I27:I42)</f>
        <v>18976701.957179997</v>
      </c>
      <c r="J26" s="266"/>
      <c r="K26" s="106"/>
      <c r="L26" s="106"/>
      <c r="M26" s="106"/>
      <c r="N26" s="106"/>
      <c r="O26" s="106"/>
      <c r="P26" s="106"/>
      <c r="Q26" s="114"/>
      <c r="R26" s="114"/>
      <c r="S26" s="114"/>
      <c r="T26" s="114"/>
      <c r="U26" s="114"/>
      <c r="V26" s="114"/>
      <c r="W26" s="114"/>
      <c r="X26" s="114"/>
      <c r="Y26" s="114"/>
      <c r="Z26" s="114"/>
    </row>
    <row r="27" spans="1:26" ht="18.75" x14ac:dyDescent="0.3">
      <c r="A27" s="107" t="s">
        <v>140</v>
      </c>
      <c r="B27" s="111">
        <v>0.3</v>
      </c>
      <c r="C27" s="109">
        <f>C26*0.3</f>
        <v>64800</v>
      </c>
      <c r="D27" s="111">
        <v>0.3</v>
      </c>
      <c r="E27" s="109">
        <f>E26*0.3</f>
        <v>64800</v>
      </c>
      <c r="F27" s="112">
        <v>0.16907</v>
      </c>
      <c r="G27" s="262">
        <f>G26*(C27/C26)</f>
        <v>5787.3089999999993</v>
      </c>
      <c r="H27" s="114"/>
      <c r="I27" s="203"/>
      <c r="J27" s="269"/>
      <c r="K27" s="114"/>
      <c r="L27" s="114"/>
      <c r="M27" s="114"/>
      <c r="N27" s="114"/>
      <c r="O27" s="114"/>
      <c r="P27" s="114"/>
      <c r="Q27" s="114"/>
      <c r="R27" s="114"/>
      <c r="S27" s="114"/>
      <c r="T27" s="114"/>
      <c r="U27" s="114"/>
      <c r="V27" s="114"/>
      <c r="W27" s="114"/>
      <c r="X27" s="114"/>
      <c r="Y27" s="114"/>
      <c r="Z27" s="114"/>
    </row>
    <row r="28" spans="1:26" ht="18.75" x14ac:dyDescent="0.3">
      <c r="A28" s="98" t="s">
        <v>126</v>
      </c>
      <c r="B28" s="111">
        <v>0</v>
      </c>
      <c r="C28" s="109">
        <v>0</v>
      </c>
      <c r="D28" s="111"/>
      <c r="E28" s="109">
        <v>0</v>
      </c>
      <c r="F28" s="112">
        <v>0.16907</v>
      </c>
      <c r="G28" s="262">
        <f t="shared" ref="G28:G34" si="22">F28*E28*8760/1000</f>
        <v>0</v>
      </c>
      <c r="H28" s="113">
        <v>0</v>
      </c>
      <c r="I28" s="203">
        <f t="shared" ref="I28:I34" si="23">H28*G28*20*0.95</f>
        <v>0</v>
      </c>
      <c r="J28" s="268">
        <v>0</v>
      </c>
      <c r="K28" s="113">
        <f t="shared" ref="K28:L34" si="24">J28*$B$93</f>
        <v>0</v>
      </c>
      <c r="L28" s="113">
        <f>K28*$B$93</f>
        <v>0</v>
      </c>
      <c r="M28" s="113">
        <f t="shared" ref="M28:N34" si="25">L28*$B$93</f>
        <v>0</v>
      </c>
      <c r="N28" s="113">
        <f t="shared" ref="N28:Z28" si="26">M28*$B$93</f>
        <v>0</v>
      </c>
      <c r="O28" s="113">
        <f t="shared" si="26"/>
        <v>0</v>
      </c>
      <c r="P28" s="113">
        <f t="shared" si="26"/>
        <v>0</v>
      </c>
      <c r="Q28" s="113">
        <f t="shared" si="26"/>
        <v>0</v>
      </c>
      <c r="R28" s="113">
        <f t="shared" si="26"/>
        <v>0</v>
      </c>
      <c r="S28" s="113">
        <f t="shared" si="26"/>
        <v>0</v>
      </c>
      <c r="T28" s="113">
        <f t="shared" si="26"/>
        <v>0</v>
      </c>
      <c r="U28" s="113">
        <f t="shared" si="26"/>
        <v>0</v>
      </c>
      <c r="V28" s="113">
        <f t="shared" si="26"/>
        <v>0</v>
      </c>
      <c r="W28" s="113">
        <f t="shared" si="26"/>
        <v>0</v>
      </c>
      <c r="X28" s="113">
        <f t="shared" si="26"/>
        <v>0</v>
      </c>
      <c r="Y28" s="113">
        <f t="shared" si="26"/>
        <v>0</v>
      </c>
      <c r="Z28" s="113">
        <f t="shared" si="26"/>
        <v>0</v>
      </c>
    </row>
    <row r="29" spans="1:26" ht="18.75" x14ac:dyDescent="0.3">
      <c r="A29" s="98" t="s">
        <v>127</v>
      </c>
      <c r="B29" s="111">
        <v>0</v>
      </c>
      <c r="C29" s="109">
        <v>0</v>
      </c>
      <c r="D29" s="111"/>
      <c r="E29" s="109">
        <v>0</v>
      </c>
      <c r="F29" s="112">
        <v>0.16907</v>
      </c>
      <c r="G29" s="262">
        <f t="shared" si="22"/>
        <v>0</v>
      </c>
      <c r="H29" s="113">
        <f t="shared" ref="H29:H34" si="27">J29</f>
        <v>57.49</v>
      </c>
      <c r="I29" s="203">
        <f t="shared" si="23"/>
        <v>0</v>
      </c>
      <c r="J29" s="268">
        <v>57.49</v>
      </c>
      <c r="K29" s="113">
        <f t="shared" si="24"/>
        <v>55.190399999999997</v>
      </c>
      <c r="L29" s="113">
        <f t="shared" si="24"/>
        <v>52.982783999999995</v>
      </c>
      <c r="M29" s="113">
        <f t="shared" si="25"/>
        <v>50.863472639999991</v>
      </c>
      <c r="N29" s="113">
        <f t="shared" si="25"/>
        <v>48.828933734399989</v>
      </c>
      <c r="O29" s="113">
        <f t="shared" ref="O29:P34" si="28">N29*$B$93</f>
        <v>46.87577638502399</v>
      </c>
      <c r="P29" s="113">
        <f t="shared" si="28"/>
        <v>45.00074532962303</v>
      </c>
      <c r="Q29" s="113">
        <f t="shared" ref="Q29:Z34" si="29">P29*$B$93</f>
        <v>43.200715516438109</v>
      </c>
      <c r="R29" s="113">
        <f t="shared" si="29"/>
        <v>41.472686895780583</v>
      </c>
      <c r="S29" s="113">
        <f t="shared" si="29"/>
        <v>39.813779419949356</v>
      </c>
      <c r="T29" s="113">
        <f t="shared" si="29"/>
        <v>38.22122824315138</v>
      </c>
      <c r="U29" s="113">
        <f t="shared" si="29"/>
        <v>36.692379113425325</v>
      </c>
      <c r="V29" s="113">
        <f t="shared" si="29"/>
        <v>35.224683948888313</v>
      </c>
      <c r="W29" s="113">
        <f t="shared" si="29"/>
        <v>33.815696590932781</v>
      </c>
      <c r="X29" s="113">
        <f t="shared" si="29"/>
        <v>32.463068727295472</v>
      </c>
      <c r="Y29" s="113">
        <f t="shared" si="29"/>
        <v>31.164545978203652</v>
      </c>
      <c r="Z29" s="113">
        <f t="shared" si="29"/>
        <v>29.917964139075504</v>
      </c>
    </row>
    <row r="30" spans="1:26" ht="18.75" x14ac:dyDescent="0.3">
      <c r="A30" s="98" t="s">
        <v>138</v>
      </c>
      <c r="B30" s="111">
        <v>0</v>
      </c>
      <c r="C30" s="109">
        <v>0</v>
      </c>
      <c r="D30" s="111"/>
      <c r="E30" s="109">
        <v>0</v>
      </c>
      <c r="F30" s="112">
        <v>0.16907</v>
      </c>
      <c r="G30" s="262">
        <f t="shared" si="22"/>
        <v>0</v>
      </c>
      <c r="H30" s="113">
        <f t="shared" si="27"/>
        <v>58.84</v>
      </c>
      <c r="I30" s="203">
        <f t="shared" si="23"/>
        <v>0</v>
      </c>
      <c r="J30" s="268">
        <v>58.84</v>
      </c>
      <c r="K30" s="113">
        <f t="shared" si="24"/>
        <v>56.486400000000003</v>
      </c>
      <c r="L30" s="113">
        <f t="shared" si="24"/>
        <v>54.226944000000003</v>
      </c>
      <c r="M30" s="113">
        <f t="shared" si="25"/>
        <v>52.057866240000003</v>
      </c>
      <c r="N30" s="113">
        <f t="shared" si="25"/>
        <v>49.975551590400002</v>
      </c>
      <c r="O30" s="113">
        <f t="shared" si="28"/>
        <v>47.976529526783999</v>
      </c>
      <c r="P30" s="113">
        <f t="shared" si="28"/>
        <v>46.057468345712635</v>
      </c>
      <c r="Q30" s="113">
        <f t="shared" si="29"/>
        <v>44.215169611884129</v>
      </c>
      <c r="R30" s="113">
        <f t="shared" si="29"/>
        <v>42.446562827408762</v>
      </c>
      <c r="S30" s="113">
        <f t="shared" si="29"/>
        <v>40.748700314312408</v>
      </c>
      <c r="T30" s="113">
        <f t="shared" si="29"/>
        <v>39.11875230173991</v>
      </c>
      <c r="U30" s="113">
        <f t="shared" si="29"/>
        <v>37.554002209670315</v>
      </c>
      <c r="V30" s="113">
        <f t="shared" si="29"/>
        <v>36.051842121283499</v>
      </c>
      <c r="W30" s="113">
        <f t="shared" si="29"/>
        <v>34.609768436432155</v>
      </c>
      <c r="X30" s="113">
        <f t="shared" si="29"/>
        <v>33.225377698974867</v>
      </c>
      <c r="Y30" s="113">
        <f t="shared" si="29"/>
        <v>31.896362591015873</v>
      </c>
      <c r="Z30" s="113">
        <f t="shared" si="29"/>
        <v>30.620508087375235</v>
      </c>
    </row>
    <row r="31" spans="1:26" ht="18.75" x14ac:dyDescent="0.3">
      <c r="A31" s="98" t="s">
        <v>133</v>
      </c>
      <c r="B31" s="111">
        <v>0</v>
      </c>
      <c r="C31" s="109">
        <v>0</v>
      </c>
      <c r="D31" s="111"/>
      <c r="E31" s="109">
        <v>0</v>
      </c>
      <c r="F31" s="112">
        <v>0.16907</v>
      </c>
      <c r="G31" s="262">
        <f t="shared" si="22"/>
        <v>0</v>
      </c>
      <c r="H31" s="113">
        <f t="shared" si="27"/>
        <v>57.5</v>
      </c>
      <c r="I31" s="203">
        <f t="shared" si="23"/>
        <v>0</v>
      </c>
      <c r="J31" s="268">
        <v>57.5</v>
      </c>
      <c r="K31" s="113">
        <f t="shared" si="24"/>
        <v>55.199999999999996</v>
      </c>
      <c r="L31" s="113">
        <f t="shared" si="24"/>
        <v>52.991999999999997</v>
      </c>
      <c r="M31" s="113">
        <f t="shared" si="25"/>
        <v>50.872319999999995</v>
      </c>
      <c r="N31" s="113">
        <f t="shared" si="25"/>
        <v>48.837427199999993</v>
      </c>
      <c r="O31" s="113">
        <f t="shared" si="28"/>
        <v>46.883930111999994</v>
      </c>
      <c r="P31" s="113">
        <f t="shared" si="28"/>
        <v>45.008572907519991</v>
      </c>
      <c r="Q31" s="113">
        <f t="shared" si="29"/>
        <v>43.208229991219191</v>
      </c>
      <c r="R31" s="113">
        <f t="shared" si="29"/>
        <v>41.479900791570422</v>
      </c>
      <c r="S31" s="113">
        <f t="shared" si="29"/>
        <v>39.820704759907606</v>
      </c>
      <c r="T31" s="113">
        <f t="shared" si="29"/>
        <v>38.227876569511302</v>
      </c>
      <c r="U31" s="113">
        <f t="shared" si="29"/>
        <v>36.698761506730847</v>
      </c>
      <c r="V31" s="113">
        <f t="shared" si="29"/>
        <v>35.230811046461611</v>
      </c>
      <c r="W31" s="113">
        <f t="shared" si="29"/>
        <v>33.821578604603147</v>
      </c>
      <c r="X31" s="113">
        <f t="shared" si="29"/>
        <v>32.46871546041902</v>
      </c>
      <c r="Y31" s="113">
        <f t="shared" si="29"/>
        <v>31.169966842002257</v>
      </c>
      <c r="Z31" s="113">
        <f t="shared" si="29"/>
        <v>29.923168168322164</v>
      </c>
    </row>
    <row r="32" spans="1:26" ht="18.75" x14ac:dyDescent="0.3">
      <c r="A32" s="98" t="s">
        <v>134</v>
      </c>
      <c r="B32" s="111">
        <v>0</v>
      </c>
      <c r="C32" s="109">
        <v>0</v>
      </c>
      <c r="D32" s="111"/>
      <c r="E32" s="109">
        <v>0</v>
      </c>
      <c r="F32" s="112">
        <v>0.16907</v>
      </c>
      <c r="G32" s="262">
        <f t="shared" si="22"/>
        <v>0</v>
      </c>
      <c r="H32" s="113">
        <f t="shared" si="27"/>
        <v>53.46</v>
      </c>
      <c r="I32" s="203">
        <f t="shared" si="23"/>
        <v>0</v>
      </c>
      <c r="J32" s="268">
        <v>53.46</v>
      </c>
      <c r="K32" s="113">
        <f t="shared" si="24"/>
        <v>51.321599999999997</v>
      </c>
      <c r="L32" s="113">
        <f t="shared" si="24"/>
        <v>49.268735999999997</v>
      </c>
      <c r="M32" s="113">
        <f t="shared" si="25"/>
        <v>47.297986559999998</v>
      </c>
      <c r="N32" s="113">
        <f t="shared" si="25"/>
        <v>45.406067097599994</v>
      </c>
      <c r="O32" s="113">
        <f t="shared" si="28"/>
        <v>43.589824413695993</v>
      </c>
      <c r="P32" s="113">
        <f t="shared" si="28"/>
        <v>41.846231437148155</v>
      </c>
      <c r="Q32" s="113">
        <f t="shared" si="29"/>
        <v>40.172382179662229</v>
      </c>
      <c r="R32" s="113">
        <f t="shared" si="29"/>
        <v>38.565486892475739</v>
      </c>
      <c r="S32" s="113">
        <f t="shared" si="29"/>
        <v>37.022867416776705</v>
      </c>
      <c r="T32" s="113">
        <f t="shared" si="29"/>
        <v>35.541952720105634</v>
      </c>
      <c r="U32" s="113">
        <f t="shared" si="29"/>
        <v>34.120274611301404</v>
      </c>
      <c r="V32" s="113">
        <f t="shared" si="29"/>
        <v>32.755463626849348</v>
      </c>
      <c r="W32" s="113">
        <f t="shared" si="29"/>
        <v>31.445245081775372</v>
      </c>
      <c r="X32" s="113">
        <f t="shared" si="29"/>
        <v>30.187435278504356</v>
      </c>
      <c r="Y32" s="113">
        <f t="shared" si="29"/>
        <v>28.979937867364182</v>
      </c>
      <c r="Z32" s="113">
        <f t="shared" si="29"/>
        <v>27.820740352669613</v>
      </c>
    </row>
    <row r="33" spans="1:26" ht="18.75" x14ac:dyDescent="0.3">
      <c r="A33" s="98" t="s">
        <v>141</v>
      </c>
      <c r="B33" s="111">
        <v>1</v>
      </c>
      <c r="C33" s="109">
        <v>60030</v>
      </c>
      <c r="D33" s="111"/>
      <c r="E33" s="109">
        <v>60030</v>
      </c>
      <c r="F33" s="112">
        <v>0.16907</v>
      </c>
      <c r="G33" s="262">
        <f>G27</f>
        <v>5787.3089999999993</v>
      </c>
      <c r="H33" s="113">
        <f t="shared" si="27"/>
        <v>46.02</v>
      </c>
      <c r="I33" s="203">
        <f t="shared" si="23"/>
        <v>5060307.2434199993</v>
      </c>
      <c r="J33" s="268">
        <v>46.02</v>
      </c>
      <c r="K33" s="113">
        <f t="shared" si="24"/>
        <v>44.179200000000002</v>
      </c>
      <c r="L33" s="113">
        <f t="shared" si="24"/>
        <v>42.412031999999996</v>
      </c>
      <c r="M33" s="113">
        <f t="shared" si="25"/>
        <v>40.715550719999996</v>
      </c>
      <c r="N33" s="113">
        <f t="shared" si="25"/>
        <v>39.086928691199994</v>
      </c>
      <c r="O33" s="113">
        <f t="shared" si="28"/>
        <v>37.523451543551992</v>
      </c>
      <c r="P33" s="113">
        <f t="shared" si="28"/>
        <v>36.022513481809909</v>
      </c>
      <c r="Q33" s="113">
        <f t="shared" si="29"/>
        <v>34.581612942537511</v>
      </c>
      <c r="R33" s="113">
        <f t="shared" si="29"/>
        <v>33.198348424836013</v>
      </c>
      <c r="S33" s="113">
        <f t="shared" si="29"/>
        <v>31.87041448784257</v>
      </c>
      <c r="T33" s="113">
        <f t="shared" si="29"/>
        <v>30.595597908328866</v>
      </c>
      <c r="U33" s="113">
        <f t="shared" si="29"/>
        <v>29.37177399199571</v>
      </c>
      <c r="V33" s="113">
        <f t="shared" si="29"/>
        <v>28.19690303231588</v>
      </c>
      <c r="W33" s="113">
        <f t="shared" si="29"/>
        <v>27.069026911023244</v>
      </c>
      <c r="X33" s="113">
        <f t="shared" si="29"/>
        <v>25.986265834582312</v>
      </c>
      <c r="Y33" s="113">
        <f t="shared" si="29"/>
        <v>24.946815201199019</v>
      </c>
      <c r="Z33" s="113">
        <f t="shared" si="29"/>
        <v>23.948942593151056</v>
      </c>
    </row>
    <row r="34" spans="1:26" ht="18.75" x14ac:dyDescent="0.3">
      <c r="A34" s="98" t="s">
        <v>142</v>
      </c>
      <c r="B34" s="111">
        <v>0</v>
      </c>
      <c r="C34" s="109">
        <v>0</v>
      </c>
      <c r="D34" s="111"/>
      <c r="E34" s="109">
        <v>0</v>
      </c>
      <c r="F34" s="112">
        <v>0.16907</v>
      </c>
      <c r="G34" s="262">
        <f t="shared" si="22"/>
        <v>0</v>
      </c>
      <c r="H34" s="113">
        <f t="shared" si="27"/>
        <v>33.99</v>
      </c>
      <c r="I34" s="203">
        <f t="shared" si="23"/>
        <v>0</v>
      </c>
      <c r="J34" s="268">
        <v>33.99</v>
      </c>
      <c r="K34" s="113">
        <f t="shared" si="24"/>
        <v>32.630400000000002</v>
      </c>
      <c r="L34" s="113">
        <f t="shared" si="24"/>
        <v>31.325184</v>
      </c>
      <c r="M34" s="113">
        <f t="shared" si="25"/>
        <v>30.072176639999999</v>
      </c>
      <c r="N34" s="113">
        <f t="shared" si="25"/>
        <v>28.869289574399996</v>
      </c>
      <c r="O34" s="113">
        <f t="shared" si="28"/>
        <v>27.714517991423996</v>
      </c>
      <c r="P34" s="113">
        <f t="shared" si="28"/>
        <v>26.605937271767036</v>
      </c>
      <c r="Q34" s="113">
        <f t="shared" si="29"/>
        <v>25.541699780896355</v>
      </c>
      <c r="R34" s="113">
        <f t="shared" si="29"/>
        <v>24.5200317896605</v>
      </c>
      <c r="S34" s="113">
        <f t="shared" si="29"/>
        <v>23.539230518074078</v>
      </c>
      <c r="T34" s="113">
        <f t="shared" si="29"/>
        <v>22.597661297351113</v>
      </c>
      <c r="U34" s="113">
        <f t="shared" si="29"/>
        <v>21.693754845457068</v>
      </c>
      <c r="V34" s="113">
        <f t="shared" si="29"/>
        <v>20.826004651638783</v>
      </c>
      <c r="W34" s="113">
        <f t="shared" si="29"/>
        <v>19.99296446557323</v>
      </c>
      <c r="X34" s="113">
        <f t="shared" si="29"/>
        <v>19.193245886950301</v>
      </c>
      <c r="Y34" s="113">
        <f t="shared" si="29"/>
        <v>18.42551605147229</v>
      </c>
      <c r="Z34" s="113">
        <f t="shared" si="29"/>
        <v>17.688495409413399</v>
      </c>
    </row>
    <row r="35" spans="1:26" ht="18.75" x14ac:dyDescent="0.3">
      <c r="A35" s="107" t="s">
        <v>143</v>
      </c>
      <c r="B35" s="111">
        <v>0.7</v>
      </c>
      <c r="C35" s="109">
        <f>C26*0.7</f>
        <v>151200</v>
      </c>
      <c r="D35" s="111">
        <v>0.7</v>
      </c>
      <c r="E35" s="109">
        <f>E26*0.7</f>
        <v>151200</v>
      </c>
      <c r="F35" s="112">
        <v>0.16907</v>
      </c>
      <c r="G35" s="262">
        <f>G26*(C35/C26)</f>
        <v>13503.720999999998</v>
      </c>
      <c r="H35" s="114"/>
      <c r="I35" s="203"/>
      <c r="J35" s="269"/>
      <c r="K35" s="114"/>
      <c r="L35" s="114"/>
      <c r="M35" s="114"/>
      <c r="N35" s="114"/>
      <c r="O35" s="114"/>
      <c r="P35" s="114"/>
      <c r="Q35" s="114"/>
      <c r="R35" s="114"/>
      <c r="S35" s="114"/>
      <c r="T35" s="114"/>
      <c r="U35" s="114"/>
      <c r="V35" s="114"/>
      <c r="W35" s="114"/>
      <c r="X35" s="114"/>
      <c r="Y35" s="114"/>
      <c r="Z35" s="114"/>
    </row>
    <row r="36" spans="1:26" ht="18.75" x14ac:dyDescent="0.3">
      <c r="A36" s="98" t="s">
        <v>126</v>
      </c>
      <c r="B36" s="111">
        <v>0</v>
      </c>
      <c r="C36" s="109">
        <v>0</v>
      </c>
      <c r="D36" s="111"/>
      <c r="E36" s="109">
        <v>0</v>
      </c>
      <c r="F36" s="112">
        <v>0.16907</v>
      </c>
      <c r="G36" s="262">
        <f t="shared" ref="G36:G42" si="30">F36*E36*8760/1000</f>
        <v>0</v>
      </c>
      <c r="H36" s="113"/>
      <c r="I36" s="203">
        <f t="shared" ref="I36:I42" si="31">H36*G36*20*0.95</f>
        <v>0</v>
      </c>
      <c r="J36" s="268">
        <v>0</v>
      </c>
      <c r="K36" s="113">
        <f t="shared" ref="K36:Z42" si="32">J36*$B$93</f>
        <v>0</v>
      </c>
      <c r="L36" s="113">
        <f t="shared" si="32"/>
        <v>0</v>
      </c>
      <c r="M36" s="113">
        <f t="shared" si="32"/>
        <v>0</v>
      </c>
      <c r="N36" s="113">
        <f t="shared" si="32"/>
        <v>0</v>
      </c>
      <c r="O36" s="113">
        <f t="shared" si="32"/>
        <v>0</v>
      </c>
      <c r="P36" s="113">
        <f t="shared" si="32"/>
        <v>0</v>
      </c>
      <c r="Q36" s="113">
        <f t="shared" si="32"/>
        <v>0</v>
      </c>
      <c r="R36" s="113">
        <f t="shared" si="32"/>
        <v>0</v>
      </c>
      <c r="S36" s="113">
        <f t="shared" si="32"/>
        <v>0</v>
      </c>
      <c r="T36" s="113">
        <f t="shared" si="32"/>
        <v>0</v>
      </c>
      <c r="U36" s="113">
        <f t="shared" si="32"/>
        <v>0</v>
      </c>
      <c r="V36" s="113">
        <f t="shared" si="32"/>
        <v>0</v>
      </c>
      <c r="W36" s="113">
        <f t="shared" si="32"/>
        <v>0</v>
      </c>
      <c r="X36" s="113">
        <f t="shared" si="32"/>
        <v>0</v>
      </c>
      <c r="Y36" s="113">
        <f t="shared" si="32"/>
        <v>0</v>
      </c>
      <c r="Z36" s="113">
        <f t="shared" si="32"/>
        <v>0</v>
      </c>
    </row>
    <row r="37" spans="1:26" ht="18.75" x14ac:dyDescent="0.3">
      <c r="A37" s="98" t="s">
        <v>127</v>
      </c>
      <c r="B37" s="111">
        <v>0</v>
      </c>
      <c r="C37" s="109">
        <v>0</v>
      </c>
      <c r="D37" s="111">
        <v>0</v>
      </c>
      <c r="E37" s="109">
        <v>0</v>
      </c>
      <c r="F37" s="112">
        <v>0.16907</v>
      </c>
      <c r="G37" s="262">
        <f t="shared" si="30"/>
        <v>0</v>
      </c>
      <c r="H37" s="113">
        <f t="shared" ref="H37:H42" si="33">J37</f>
        <v>70.91</v>
      </c>
      <c r="I37" s="203">
        <f t="shared" si="31"/>
        <v>0</v>
      </c>
      <c r="J37" s="268">
        <v>70.91</v>
      </c>
      <c r="K37" s="113">
        <f t="shared" si="32"/>
        <v>68.073599999999999</v>
      </c>
      <c r="L37" s="113">
        <f t="shared" si="32"/>
        <v>65.350656000000001</v>
      </c>
      <c r="M37" s="113">
        <f t="shared" si="32"/>
        <v>62.73662976</v>
      </c>
      <c r="N37" s="113">
        <f t="shared" si="32"/>
        <v>60.227164569599999</v>
      </c>
      <c r="O37" s="113">
        <f t="shared" si="32"/>
        <v>57.818077986816</v>
      </c>
      <c r="P37" s="113">
        <f t="shared" si="32"/>
        <v>55.505354867343357</v>
      </c>
      <c r="Q37" s="113">
        <f t="shared" si="32"/>
        <v>53.285140672649618</v>
      </c>
      <c r="R37" s="113">
        <f t="shared" si="32"/>
        <v>51.15373504574363</v>
      </c>
      <c r="S37" s="113">
        <f t="shared" si="32"/>
        <v>49.107585643913886</v>
      </c>
      <c r="T37" s="113">
        <f t="shared" si="32"/>
        <v>47.143282218157331</v>
      </c>
      <c r="U37" s="113">
        <f t="shared" si="32"/>
        <v>45.257550929431034</v>
      </c>
      <c r="V37" s="113">
        <f t="shared" si="32"/>
        <v>43.447248892253789</v>
      </c>
      <c r="W37" s="113">
        <f t="shared" si="32"/>
        <v>41.709358936563639</v>
      </c>
      <c r="X37" s="113">
        <f t="shared" si="32"/>
        <v>40.040984579101092</v>
      </c>
      <c r="Y37" s="113">
        <f t="shared" si="32"/>
        <v>38.439345195937044</v>
      </c>
      <c r="Z37" s="113">
        <f t="shared" si="32"/>
        <v>36.901771388099561</v>
      </c>
    </row>
    <row r="38" spans="1:26" ht="18.75" x14ac:dyDescent="0.3">
      <c r="A38" s="98" t="s">
        <v>138</v>
      </c>
      <c r="B38" s="111">
        <v>0</v>
      </c>
      <c r="C38" s="109">
        <v>0</v>
      </c>
      <c r="D38" s="111"/>
      <c r="E38" s="109">
        <v>0</v>
      </c>
      <c r="F38" s="112">
        <v>0.16907</v>
      </c>
      <c r="G38" s="262">
        <f t="shared" si="30"/>
        <v>0</v>
      </c>
      <c r="H38" s="113">
        <f t="shared" si="33"/>
        <v>72.150000000000006</v>
      </c>
      <c r="I38" s="203">
        <f t="shared" si="31"/>
        <v>0</v>
      </c>
      <c r="J38" s="268">
        <v>72.150000000000006</v>
      </c>
      <c r="K38" s="113">
        <f t="shared" si="32"/>
        <v>69.263999999999996</v>
      </c>
      <c r="L38" s="113">
        <f t="shared" si="32"/>
        <v>66.493439999999993</v>
      </c>
      <c r="M38" s="113">
        <f t="shared" si="32"/>
        <v>63.833702399999993</v>
      </c>
      <c r="N38" s="113">
        <f t="shared" si="32"/>
        <v>61.280354303999992</v>
      </c>
      <c r="O38" s="113">
        <f t="shared" si="32"/>
        <v>58.829140131839992</v>
      </c>
      <c r="P38" s="113">
        <f t="shared" si="32"/>
        <v>56.475974526566389</v>
      </c>
      <c r="Q38" s="113">
        <f t="shared" si="32"/>
        <v>54.216935545503731</v>
      </c>
      <c r="R38" s="113">
        <f t="shared" si="32"/>
        <v>52.048258123683581</v>
      </c>
      <c r="S38" s="113">
        <f t="shared" si="32"/>
        <v>49.966327798736238</v>
      </c>
      <c r="T38" s="113">
        <f t="shared" si="32"/>
        <v>47.967674686786786</v>
      </c>
      <c r="U38" s="113">
        <f t="shared" si="32"/>
        <v>46.048967699315313</v>
      </c>
      <c r="V38" s="113">
        <f t="shared" si="32"/>
        <v>44.207008991342697</v>
      </c>
      <c r="W38" s="113">
        <f t="shared" si="32"/>
        <v>42.438728631688988</v>
      </c>
      <c r="X38" s="113">
        <f t="shared" si="32"/>
        <v>40.74117948642143</v>
      </c>
      <c r="Y38" s="113">
        <f t="shared" si="32"/>
        <v>39.11153230696457</v>
      </c>
      <c r="Z38" s="113">
        <f t="shared" si="32"/>
        <v>37.547071014685983</v>
      </c>
    </row>
    <row r="39" spans="1:26" ht="18.75" x14ac:dyDescent="0.3">
      <c r="A39" s="98" t="s">
        <v>133</v>
      </c>
      <c r="B39" s="111">
        <v>0</v>
      </c>
      <c r="C39" s="109">
        <v>0</v>
      </c>
      <c r="D39" s="111"/>
      <c r="E39" s="109">
        <v>0</v>
      </c>
      <c r="F39" s="112">
        <v>0.16907</v>
      </c>
      <c r="G39" s="262">
        <f t="shared" si="30"/>
        <v>0</v>
      </c>
      <c r="H39" s="113">
        <f t="shared" si="33"/>
        <v>69.58</v>
      </c>
      <c r="I39" s="203">
        <f t="shared" si="31"/>
        <v>0</v>
      </c>
      <c r="J39" s="268">
        <v>69.58</v>
      </c>
      <c r="K39" s="113">
        <f t="shared" si="32"/>
        <v>66.79679999999999</v>
      </c>
      <c r="L39" s="113">
        <f t="shared" si="32"/>
        <v>64.124927999999983</v>
      </c>
      <c r="M39" s="113">
        <f t="shared" si="32"/>
        <v>61.559930879999982</v>
      </c>
      <c r="N39" s="113">
        <f t="shared" si="32"/>
        <v>59.097533644799981</v>
      </c>
      <c r="O39" s="113">
        <f t="shared" si="32"/>
        <v>56.733632299007979</v>
      </c>
      <c r="P39" s="113">
        <f t="shared" si="32"/>
        <v>54.464287007047659</v>
      </c>
      <c r="Q39" s="113">
        <f t="shared" si="32"/>
        <v>52.285715526765749</v>
      </c>
      <c r="R39" s="113">
        <f t="shared" si="32"/>
        <v>50.194286905695115</v>
      </c>
      <c r="S39" s="113">
        <f t="shared" si="32"/>
        <v>48.186515429467306</v>
      </c>
      <c r="T39" s="113">
        <f t="shared" si="32"/>
        <v>46.25905481228861</v>
      </c>
      <c r="U39" s="113">
        <f t="shared" si="32"/>
        <v>44.408692619797066</v>
      </c>
      <c r="V39" s="113">
        <f t="shared" si="32"/>
        <v>42.632344915005184</v>
      </c>
      <c r="W39" s="113">
        <f t="shared" si="32"/>
        <v>40.927051118404975</v>
      </c>
      <c r="X39" s="113">
        <f t="shared" si="32"/>
        <v>39.289969073668772</v>
      </c>
      <c r="Y39" s="113">
        <f t="shared" si="32"/>
        <v>37.718370310722023</v>
      </c>
      <c r="Z39" s="113">
        <f t="shared" si="32"/>
        <v>36.209635498293139</v>
      </c>
    </row>
    <row r="40" spans="1:26" ht="18.75" x14ac:dyDescent="0.3">
      <c r="A40" s="98" t="s">
        <v>134</v>
      </c>
      <c r="B40" s="111">
        <v>0</v>
      </c>
      <c r="C40" s="109">
        <v>0</v>
      </c>
      <c r="D40" s="111"/>
      <c r="E40" s="109">
        <v>0</v>
      </c>
      <c r="F40" s="112">
        <v>0.16907</v>
      </c>
      <c r="G40" s="262">
        <f t="shared" si="30"/>
        <v>0</v>
      </c>
      <c r="H40" s="113">
        <f t="shared" si="33"/>
        <v>64.2</v>
      </c>
      <c r="I40" s="203">
        <f t="shared" si="31"/>
        <v>0</v>
      </c>
      <c r="J40" s="268">
        <v>64.2</v>
      </c>
      <c r="K40" s="113">
        <f t="shared" si="32"/>
        <v>61.631999999999998</v>
      </c>
      <c r="L40" s="113">
        <f t="shared" si="32"/>
        <v>59.166719999999998</v>
      </c>
      <c r="M40" s="113">
        <f t="shared" si="32"/>
        <v>56.800051199999999</v>
      </c>
      <c r="N40" s="113">
        <f t="shared" si="32"/>
        <v>54.528049151999994</v>
      </c>
      <c r="O40" s="113">
        <f t="shared" si="32"/>
        <v>52.346927185919995</v>
      </c>
      <c r="P40" s="113">
        <f t="shared" si="32"/>
        <v>50.253050098483193</v>
      </c>
      <c r="Q40" s="113">
        <f t="shared" si="32"/>
        <v>48.242928094543863</v>
      </c>
      <c r="R40" s="113">
        <f t="shared" si="32"/>
        <v>46.313210970762107</v>
      </c>
      <c r="S40" s="113">
        <f t="shared" si="32"/>
        <v>44.460682531931624</v>
      </c>
      <c r="T40" s="113">
        <f t="shared" si="32"/>
        <v>42.682255230654356</v>
      </c>
      <c r="U40" s="113">
        <f t="shared" si="32"/>
        <v>40.974965021428183</v>
      </c>
      <c r="V40" s="113">
        <f t="shared" si="32"/>
        <v>39.335966420571054</v>
      </c>
      <c r="W40" s="113">
        <f t="shared" si="32"/>
        <v>37.76252776374821</v>
      </c>
      <c r="X40" s="113">
        <f t="shared" si="32"/>
        <v>36.252026653198278</v>
      </c>
      <c r="Y40" s="113">
        <f t="shared" si="32"/>
        <v>34.801945587070342</v>
      </c>
      <c r="Z40" s="113">
        <f t="shared" si="32"/>
        <v>33.409867763587528</v>
      </c>
    </row>
    <row r="41" spans="1:26" ht="18.75" x14ac:dyDescent="0.3">
      <c r="A41" s="98" t="s">
        <v>141</v>
      </c>
      <c r="B41" s="111">
        <v>1</v>
      </c>
      <c r="C41" s="109">
        <v>140070</v>
      </c>
      <c r="D41" s="111"/>
      <c r="E41" s="109">
        <v>140070</v>
      </c>
      <c r="F41" s="112">
        <v>0.16907</v>
      </c>
      <c r="G41" s="262">
        <f>G35</f>
        <v>13503.720999999998</v>
      </c>
      <c r="H41" s="113">
        <f t="shared" si="33"/>
        <v>54.24</v>
      </c>
      <c r="I41" s="203">
        <f t="shared" si="31"/>
        <v>13916394.713759998</v>
      </c>
      <c r="J41" s="268">
        <v>54.24</v>
      </c>
      <c r="K41" s="113">
        <f t="shared" si="32"/>
        <v>52.070399999999999</v>
      </c>
      <c r="L41" s="113">
        <f t="shared" si="32"/>
        <v>49.987583999999998</v>
      </c>
      <c r="M41" s="113">
        <f t="shared" si="32"/>
        <v>47.98808064</v>
      </c>
      <c r="N41" s="113">
        <f t="shared" si="32"/>
        <v>46.068557414399997</v>
      </c>
      <c r="O41" s="113">
        <f t="shared" si="32"/>
        <v>44.225815117823998</v>
      </c>
      <c r="P41" s="113">
        <f t="shared" si="32"/>
        <v>42.456782513111037</v>
      </c>
      <c r="Q41" s="113">
        <f t="shared" si="32"/>
        <v>40.75851121258659</v>
      </c>
      <c r="R41" s="113">
        <f t="shared" si="32"/>
        <v>39.128170764083123</v>
      </c>
      <c r="S41" s="113">
        <f t="shared" si="32"/>
        <v>37.563043933519793</v>
      </c>
      <c r="T41" s="113">
        <f t="shared" si="32"/>
        <v>36.060522176178999</v>
      </c>
      <c r="U41" s="113">
        <f t="shared" si="32"/>
        <v>34.618101289131836</v>
      </c>
      <c r="V41" s="113">
        <f t="shared" si="32"/>
        <v>33.233377237566565</v>
      </c>
      <c r="W41" s="113">
        <f t="shared" si="32"/>
        <v>31.904042148063901</v>
      </c>
      <c r="X41" s="113">
        <f t="shared" si="32"/>
        <v>30.627880462141345</v>
      </c>
      <c r="Y41" s="113">
        <f t="shared" si="32"/>
        <v>29.40276524365569</v>
      </c>
      <c r="Z41" s="113">
        <f t="shared" si="32"/>
        <v>28.226654633909462</v>
      </c>
    </row>
    <row r="42" spans="1:26" ht="18.75" x14ac:dyDescent="0.3">
      <c r="A42" s="98" t="s">
        <v>142</v>
      </c>
      <c r="B42" s="108">
        <v>0</v>
      </c>
      <c r="C42" s="109">
        <v>0</v>
      </c>
      <c r="D42" s="111"/>
      <c r="E42" s="109">
        <v>0</v>
      </c>
      <c r="F42" s="112">
        <v>0.16907</v>
      </c>
      <c r="G42" s="262">
        <f t="shared" si="30"/>
        <v>0</v>
      </c>
      <c r="H42" s="113">
        <f t="shared" si="33"/>
        <v>39.979999999999997</v>
      </c>
      <c r="I42" s="203">
        <f t="shared" si="31"/>
        <v>0</v>
      </c>
      <c r="J42" s="268">
        <v>39.979999999999997</v>
      </c>
      <c r="K42" s="113">
        <f t="shared" si="32"/>
        <v>38.380799999999994</v>
      </c>
      <c r="L42" s="113">
        <f t="shared" si="32"/>
        <v>36.845567999999993</v>
      </c>
      <c r="M42" s="113">
        <f t="shared" si="32"/>
        <v>35.371745279999992</v>
      </c>
      <c r="N42" s="113">
        <f t="shared" si="32"/>
        <v>33.956875468799993</v>
      </c>
      <c r="O42" s="113">
        <f t="shared" si="32"/>
        <v>32.598600450047989</v>
      </c>
      <c r="P42" s="113">
        <f t="shared" si="32"/>
        <v>31.294656432046068</v>
      </c>
      <c r="Q42" s="113">
        <f t="shared" si="32"/>
        <v>30.042870174764225</v>
      </c>
      <c r="R42" s="113">
        <f t="shared" si="32"/>
        <v>28.841155367773656</v>
      </c>
      <c r="S42" s="113">
        <f t="shared" si="32"/>
        <v>27.68750915306271</v>
      </c>
      <c r="T42" s="113">
        <f t="shared" si="32"/>
        <v>26.580008786940201</v>
      </c>
      <c r="U42" s="113">
        <f t="shared" si="32"/>
        <v>25.516808435462593</v>
      </c>
      <c r="V42" s="113">
        <f t="shared" si="32"/>
        <v>24.49613609804409</v>
      </c>
      <c r="W42" s="113">
        <f t="shared" si="32"/>
        <v>23.516290654122326</v>
      </c>
      <c r="X42" s="113">
        <f t="shared" si="32"/>
        <v>22.575639027957433</v>
      </c>
      <c r="Y42" s="113">
        <f t="shared" si="32"/>
        <v>21.672613466839135</v>
      </c>
      <c r="Z42" s="113">
        <f t="shared" si="32"/>
        <v>20.805708928165568</v>
      </c>
    </row>
    <row r="43" spans="1:26" ht="18.75" x14ac:dyDescent="0.3">
      <c r="A43" s="102" t="s">
        <v>144</v>
      </c>
      <c r="B43" s="104">
        <v>0.13</v>
      </c>
      <c r="C43" s="105">
        <f>B4*B43</f>
        <v>104000</v>
      </c>
      <c r="D43" s="104">
        <v>0.13</v>
      </c>
      <c r="E43" s="105">
        <f>D4*D43</f>
        <v>104000</v>
      </c>
      <c r="F43" s="105"/>
      <c r="G43" s="260">
        <v>96415.42</v>
      </c>
      <c r="H43" s="106"/>
      <c r="I43" s="202">
        <f>SUM(I45:I74)</f>
        <v>181728048.98647547</v>
      </c>
      <c r="J43" s="122"/>
      <c r="K43" s="106"/>
      <c r="L43" s="106"/>
      <c r="M43" s="106"/>
      <c r="N43" s="106"/>
      <c r="O43" s="106"/>
      <c r="P43" s="106"/>
      <c r="Q43" s="114"/>
      <c r="R43" s="114"/>
      <c r="S43" s="114"/>
      <c r="T43" s="114"/>
      <c r="U43" s="114"/>
      <c r="V43" s="114"/>
      <c r="W43" s="114"/>
      <c r="X43" s="114"/>
      <c r="Y43" s="114"/>
      <c r="Z43" s="114"/>
    </row>
    <row r="44" spans="1:26" ht="18.75" x14ac:dyDescent="0.3">
      <c r="A44" s="107" t="s">
        <v>145</v>
      </c>
      <c r="B44" s="108"/>
      <c r="C44" s="109">
        <f>C43*0.3</f>
        <v>31200</v>
      </c>
      <c r="D44" s="108"/>
      <c r="E44" s="109">
        <f>E43*0.3</f>
        <v>31200</v>
      </c>
      <c r="F44" s="115"/>
      <c r="G44" s="263">
        <f>G43*(C44/C43)</f>
        <v>28924.626</v>
      </c>
      <c r="H44" s="114"/>
      <c r="I44" s="201"/>
      <c r="J44" s="123"/>
      <c r="K44" s="114"/>
      <c r="L44" s="114"/>
      <c r="M44" s="114"/>
      <c r="N44" s="114"/>
      <c r="O44" s="114"/>
      <c r="P44" s="114"/>
      <c r="Q44" s="113">
        <f t="shared" ref="Q44:Z50" si="34">P44*$B$93</f>
        <v>0</v>
      </c>
      <c r="R44" s="113">
        <f t="shared" si="34"/>
        <v>0</v>
      </c>
      <c r="S44" s="113">
        <f t="shared" si="34"/>
        <v>0</v>
      </c>
      <c r="T44" s="113">
        <f t="shared" si="34"/>
        <v>0</v>
      </c>
      <c r="U44" s="113">
        <f t="shared" si="34"/>
        <v>0</v>
      </c>
      <c r="V44" s="113">
        <f t="shared" si="34"/>
        <v>0</v>
      </c>
      <c r="W44" s="113">
        <f t="shared" si="34"/>
        <v>0</v>
      </c>
      <c r="X44" s="113">
        <f t="shared" si="34"/>
        <v>0</v>
      </c>
      <c r="Y44" s="113">
        <f t="shared" si="34"/>
        <v>0</v>
      </c>
      <c r="Z44" s="113">
        <f t="shared" si="34"/>
        <v>0</v>
      </c>
    </row>
    <row r="45" spans="1:26" ht="18.75" x14ac:dyDescent="0.3">
      <c r="A45" s="98" t="s">
        <v>146</v>
      </c>
      <c r="B45" s="111">
        <v>4.6296296296296294E-2</v>
      </c>
      <c r="C45" s="109">
        <f t="shared" ref="C45:C50" si="35">$C$44*B45</f>
        <v>1444.4444444444443</v>
      </c>
      <c r="D45" s="111">
        <v>4.6296296296296294E-2</v>
      </c>
      <c r="E45" s="109">
        <f t="shared" ref="E45:E50" si="36">$E$44*D45</f>
        <v>1444.4444444444443</v>
      </c>
      <c r="F45" s="112">
        <v>0.16907</v>
      </c>
      <c r="G45" s="262">
        <f>F45*D45*$G$44*8760/1000</f>
        <v>1983.2828655603334</v>
      </c>
      <c r="H45" s="113">
        <f t="shared" ref="H45:H50" si="37">J45</f>
        <v>77.17</v>
      </c>
      <c r="I45" s="203">
        <f t="shared" ref="I45:I50" si="38">H45*G45*20*0.95</f>
        <v>2907948.8359705275</v>
      </c>
      <c r="J45" s="268">
        <v>77.17</v>
      </c>
      <c r="K45" s="113">
        <f t="shared" ref="K45:P50" si="39">J45*$B$93</f>
        <v>74.083200000000005</v>
      </c>
      <c r="L45" s="113">
        <f t="shared" si="39"/>
        <v>71.119872000000001</v>
      </c>
      <c r="M45" s="113">
        <f t="shared" si="39"/>
        <v>68.275077119999992</v>
      </c>
      <c r="N45" s="113">
        <f t="shared" si="39"/>
        <v>65.544074035199984</v>
      </c>
      <c r="O45" s="113">
        <f t="shared" si="39"/>
        <v>62.922311073791981</v>
      </c>
      <c r="P45" s="113">
        <f t="shared" si="39"/>
        <v>60.405418630840302</v>
      </c>
      <c r="Q45" s="113">
        <f t="shared" si="34"/>
        <v>57.98920188560669</v>
      </c>
      <c r="R45" s="113">
        <f t="shared" si="34"/>
        <v>55.669633810182418</v>
      </c>
      <c r="S45" s="113">
        <f t="shared" si="34"/>
        <v>53.442848457775121</v>
      </c>
      <c r="T45" s="113">
        <f t="shared" si="34"/>
        <v>51.305134519464112</v>
      </c>
      <c r="U45" s="113">
        <f t="shared" si="34"/>
        <v>49.252929138685545</v>
      </c>
      <c r="V45" s="113">
        <f t="shared" si="34"/>
        <v>47.282811973138124</v>
      </c>
      <c r="W45" s="113">
        <f t="shared" si="34"/>
        <v>45.391499494212596</v>
      </c>
      <c r="X45" s="113">
        <f t="shared" si="34"/>
        <v>43.575839514444091</v>
      </c>
      <c r="Y45" s="113">
        <f t="shared" si="34"/>
        <v>41.832805933866325</v>
      </c>
      <c r="Z45" s="113">
        <f t="shared" si="34"/>
        <v>40.159493696511667</v>
      </c>
    </row>
    <row r="46" spans="1:26" ht="18.75" x14ac:dyDescent="0.3">
      <c r="A46" s="98" t="s">
        <v>138</v>
      </c>
      <c r="B46" s="111">
        <v>5.5555555555555552E-2</v>
      </c>
      <c r="C46" s="109">
        <f t="shared" si="35"/>
        <v>1733.3333333333333</v>
      </c>
      <c r="D46" s="111">
        <v>5.5555555555555552E-2</v>
      </c>
      <c r="E46" s="109">
        <f t="shared" si="36"/>
        <v>1733.3333333333333</v>
      </c>
      <c r="F46" s="112">
        <v>0.16907</v>
      </c>
      <c r="G46" s="262">
        <f t="shared" ref="G46:G49" si="40">F46*D46*$G$44*8760/1000</f>
        <v>2379.9394386724002</v>
      </c>
      <c r="H46" s="113">
        <f t="shared" si="37"/>
        <v>68.569999999999993</v>
      </c>
      <c r="I46" s="203">
        <f t="shared" si="38"/>
        <v>3100656.4988855626</v>
      </c>
      <c r="J46" s="268">
        <v>68.569999999999993</v>
      </c>
      <c r="K46" s="113">
        <f t="shared" si="39"/>
        <v>65.827199999999991</v>
      </c>
      <c r="L46" s="113">
        <f t="shared" si="39"/>
        <v>63.19411199999999</v>
      </c>
      <c r="M46" s="113">
        <f t="shared" si="39"/>
        <v>60.666347519999988</v>
      </c>
      <c r="N46" s="113">
        <f t="shared" si="39"/>
        <v>58.239693619199983</v>
      </c>
      <c r="O46" s="113">
        <f t="shared" si="39"/>
        <v>55.910105874431984</v>
      </c>
      <c r="P46" s="113">
        <f t="shared" si="39"/>
        <v>53.673701639454706</v>
      </c>
      <c r="Q46" s="113">
        <f t="shared" si="34"/>
        <v>51.526753573876512</v>
      </c>
      <c r="R46" s="113">
        <f t="shared" si="34"/>
        <v>49.465683430921452</v>
      </c>
      <c r="S46" s="113">
        <f t="shared" si="34"/>
        <v>47.487056093684593</v>
      </c>
      <c r="T46" s="113">
        <f t="shared" si="34"/>
        <v>45.587573849937208</v>
      </c>
      <c r="U46" s="113">
        <f t="shared" si="34"/>
        <v>43.764070895939717</v>
      </c>
      <c r="V46" s="113">
        <f t="shared" si="34"/>
        <v>42.013508060102126</v>
      </c>
      <c r="W46" s="113">
        <f t="shared" si="34"/>
        <v>40.332967737698041</v>
      </c>
      <c r="X46" s="113">
        <f t="shared" si="34"/>
        <v>38.719649028190119</v>
      </c>
      <c r="Y46" s="113">
        <f t="shared" si="34"/>
        <v>37.170863067062513</v>
      </c>
      <c r="Z46" s="113">
        <f t="shared" si="34"/>
        <v>35.684028544380013</v>
      </c>
    </row>
    <row r="47" spans="1:26" ht="18.75" x14ac:dyDescent="0.3">
      <c r="A47" s="98" t="s">
        <v>133</v>
      </c>
      <c r="B47" s="111">
        <v>0.21296296296296297</v>
      </c>
      <c r="C47" s="109">
        <f t="shared" si="35"/>
        <v>6644.4444444444443</v>
      </c>
      <c r="D47" s="111">
        <v>0.21296296296296297</v>
      </c>
      <c r="E47" s="109">
        <f t="shared" si="36"/>
        <v>6644.4444444444443</v>
      </c>
      <c r="F47" s="112">
        <v>0.16907</v>
      </c>
      <c r="G47" s="262">
        <f t="shared" si="40"/>
        <v>9123.1011815775328</v>
      </c>
      <c r="H47" s="113">
        <f t="shared" si="37"/>
        <v>65.81</v>
      </c>
      <c r="I47" s="203">
        <f t="shared" si="38"/>
        <v>11407434.486432733</v>
      </c>
      <c r="J47" s="268">
        <v>65.81</v>
      </c>
      <c r="K47" s="113">
        <f t="shared" si="39"/>
        <v>63.177599999999998</v>
      </c>
      <c r="L47" s="113">
        <f t="shared" si="39"/>
        <v>60.650495999999997</v>
      </c>
      <c r="M47" s="113">
        <f t="shared" si="39"/>
        <v>58.224476159999995</v>
      </c>
      <c r="N47" s="113">
        <f t="shared" si="39"/>
        <v>55.895497113599994</v>
      </c>
      <c r="O47" s="113">
        <f t="shared" si="39"/>
        <v>53.659677229055994</v>
      </c>
      <c r="P47" s="113">
        <f t="shared" si="39"/>
        <v>51.513290139893755</v>
      </c>
      <c r="Q47" s="113">
        <f t="shared" si="34"/>
        <v>49.452758534298006</v>
      </c>
      <c r="R47" s="113">
        <f t="shared" si="34"/>
        <v>47.474648192926082</v>
      </c>
      <c r="S47" s="113">
        <f t="shared" si="34"/>
        <v>45.57566226520904</v>
      </c>
      <c r="T47" s="113">
        <f t="shared" si="34"/>
        <v>43.752635774600677</v>
      </c>
      <c r="U47" s="113">
        <f t="shared" si="34"/>
        <v>42.002530343616648</v>
      </c>
      <c r="V47" s="113">
        <f t="shared" si="34"/>
        <v>40.322429129871978</v>
      </c>
      <c r="W47" s="113">
        <f t="shared" si="34"/>
        <v>38.709531964677097</v>
      </c>
      <c r="X47" s="113">
        <f t="shared" si="34"/>
        <v>37.161150686090011</v>
      </c>
      <c r="Y47" s="113">
        <f t="shared" si="34"/>
        <v>35.674704658646412</v>
      </c>
      <c r="Z47" s="113">
        <f t="shared" si="34"/>
        <v>34.247716472300553</v>
      </c>
    </row>
    <row r="48" spans="1:26" ht="18.75" x14ac:dyDescent="0.3">
      <c r="A48" s="98" t="s">
        <v>134</v>
      </c>
      <c r="B48" s="111">
        <v>0.45370370370370372</v>
      </c>
      <c r="C48" s="109">
        <f t="shared" si="35"/>
        <v>14155.555555555557</v>
      </c>
      <c r="D48" s="111">
        <v>0.45370370370370372</v>
      </c>
      <c r="E48" s="109">
        <f t="shared" si="36"/>
        <v>14155.555555555557</v>
      </c>
      <c r="F48" s="112">
        <v>0.16907</v>
      </c>
      <c r="G48" s="262">
        <f t="shared" si="40"/>
        <v>19436.172082491266</v>
      </c>
      <c r="H48" s="113">
        <f t="shared" si="37"/>
        <v>57.72</v>
      </c>
      <c r="I48" s="203">
        <f t="shared" si="38"/>
        <v>21315261.199426521</v>
      </c>
      <c r="J48" s="268">
        <v>57.72</v>
      </c>
      <c r="K48" s="113">
        <f t="shared" si="39"/>
        <v>55.411199999999994</v>
      </c>
      <c r="L48" s="113">
        <f t="shared" si="39"/>
        <v>53.194751999999994</v>
      </c>
      <c r="M48" s="113">
        <f t="shared" si="39"/>
        <v>51.06696191999999</v>
      </c>
      <c r="N48" s="113">
        <f t="shared" si="39"/>
        <v>49.024283443199991</v>
      </c>
      <c r="O48" s="113">
        <f t="shared" si="39"/>
        <v>47.063312105471987</v>
      </c>
      <c r="P48" s="113">
        <f t="shared" si="39"/>
        <v>45.180779621253109</v>
      </c>
      <c r="Q48" s="113">
        <f t="shared" si="34"/>
        <v>43.373548436402984</v>
      </c>
      <c r="R48" s="113">
        <f t="shared" si="34"/>
        <v>41.638606498946864</v>
      </c>
      <c r="S48" s="113">
        <f t="shared" si="34"/>
        <v>39.973062238988987</v>
      </c>
      <c r="T48" s="113">
        <f t="shared" si="34"/>
        <v>38.374139749429425</v>
      </c>
      <c r="U48" s="113">
        <f t="shared" si="34"/>
        <v>36.839174159452249</v>
      </c>
      <c r="V48" s="113">
        <f t="shared" si="34"/>
        <v>35.365607193074155</v>
      </c>
      <c r="W48" s="113">
        <f t="shared" si="34"/>
        <v>33.950982905351189</v>
      </c>
      <c r="X48" s="113">
        <f t="shared" si="34"/>
        <v>32.592943589137143</v>
      </c>
      <c r="Y48" s="113">
        <f t="shared" si="34"/>
        <v>31.289225845571657</v>
      </c>
      <c r="Z48" s="113">
        <f t="shared" si="34"/>
        <v>30.037656811748789</v>
      </c>
    </row>
    <row r="49" spans="1:26" ht="18.75" x14ac:dyDescent="0.3">
      <c r="A49" s="98" t="s">
        <v>135</v>
      </c>
      <c r="B49" s="111">
        <v>0.23148148148148148</v>
      </c>
      <c r="C49" s="109">
        <f t="shared" si="35"/>
        <v>7222.2222222222226</v>
      </c>
      <c r="D49" s="111">
        <v>0.23148148148148148</v>
      </c>
      <c r="E49" s="109">
        <f t="shared" si="36"/>
        <v>7222.2222222222226</v>
      </c>
      <c r="F49" s="112">
        <v>0.16907</v>
      </c>
      <c r="G49" s="262">
        <f t="shared" si="40"/>
        <v>9916.4143278016672</v>
      </c>
      <c r="H49" s="113">
        <f t="shared" si="37"/>
        <v>54.51</v>
      </c>
      <c r="I49" s="203">
        <f t="shared" si="38"/>
        <v>10270331.155160908</v>
      </c>
      <c r="J49" s="268">
        <v>54.51</v>
      </c>
      <c r="K49" s="113">
        <f t="shared" si="39"/>
        <v>52.329599999999999</v>
      </c>
      <c r="L49" s="113">
        <f t="shared" si="39"/>
        <v>50.236415999999998</v>
      </c>
      <c r="M49" s="113">
        <f t="shared" si="39"/>
        <v>48.226959359999995</v>
      </c>
      <c r="N49" s="113">
        <f t="shared" si="39"/>
        <v>46.297880985599996</v>
      </c>
      <c r="O49" s="113">
        <f t="shared" si="39"/>
        <v>44.445965746175993</v>
      </c>
      <c r="P49" s="113">
        <f t="shared" si="39"/>
        <v>42.668127116328954</v>
      </c>
      <c r="Q49" s="113">
        <f t="shared" si="34"/>
        <v>40.961402031675796</v>
      </c>
      <c r="R49" s="113">
        <f t="shared" si="34"/>
        <v>39.322945950408766</v>
      </c>
      <c r="S49" s="113">
        <f t="shared" si="34"/>
        <v>37.750028112392414</v>
      </c>
      <c r="T49" s="113">
        <f t="shared" si="34"/>
        <v>36.240026987896719</v>
      </c>
      <c r="U49" s="113">
        <f t="shared" si="34"/>
        <v>34.790425908380847</v>
      </c>
      <c r="V49" s="113">
        <f t="shared" si="34"/>
        <v>33.398808872045613</v>
      </c>
      <c r="W49" s="113">
        <f t="shared" si="34"/>
        <v>32.062856517163787</v>
      </c>
      <c r="X49" s="113">
        <f t="shared" si="34"/>
        <v>30.780342256477233</v>
      </c>
      <c r="Y49" s="113">
        <f t="shared" si="34"/>
        <v>29.549128566218144</v>
      </c>
      <c r="Z49" s="113">
        <f t="shared" si="34"/>
        <v>28.367163423569416</v>
      </c>
    </row>
    <row r="50" spans="1:26" ht="18.75" x14ac:dyDescent="0.3">
      <c r="A50" s="98" t="s">
        <v>136</v>
      </c>
      <c r="B50" s="111">
        <v>0</v>
      </c>
      <c r="C50" s="109">
        <f t="shared" si="35"/>
        <v>0</v>
      </c>
      <c r="D50" s="111">
        <v>0</v>
      </c>
      <c r="E50" s="109">
        <f t="shared" si="36"/>
        <v>0</v>
      </c>
      <c r="F50" s="112">
        <v>0.16900000000000001</v>
      </c>
      <c r="G50" s="262">
        <f t="shared" ref="G50" si="41">F50*E50*8760/1000</f>
        <v>0</v>
      </c>
      <c r="H50" s="113">
        <f t="shared" si="37"/>
        <v>42.15</v>
      </c>
      <c r="I50" s="203">
        <f t="shared" si="38"/>
        <v>0</v>
      </c>
      <c r="J50" s="268">
        <v>42.15</v>
      </c>
      <c r="K50" s="113">
        <f t="shared" si="39"/>
        <v>40.463999999999999</v>
      </c>
      <c r="L50" s="113">
        <f t="shared" si="39"/>
        <v>38.845439999999996</v>
      </c>
      <c r="M50" s="113">
        <f t="shared" si="39"/>
        <v>37.291622399999994</v>
      </c>
      <c r="N50" s="113">
        <f t="shared" si="39"/>
        <v>35.799957503999991</v>
      </c>
      <c r="O50" s="113">
        <f t="shared" si="39"/>
        <v>34.367959203839987</v>
      </c>
      <c r="P50" s="113">
        <f t="shared" si="39"/>
        <v>32.993240835686386</v>
      </c>
      <c r="Q50" s="113">
        <f t="shared" si="34"/>
        <v>31.673511202258929</v>
      </c>
      <c r="R50" s="113">
        <f t="shared" si="34"/>
        <v>30.40657075416857</v>
      </c>
      <c r="S50" s="113">
        <f t="shared" si="34"/>
        <v>29.190307924001825</v>
      </c>
      <c r="T50" s="113">
        <f t="shared" si="34"/>
        <v>28.022695607041751</v>
      </c>
      <c r="U50" s="113">
        <f t="shared" si="34"/>
        <v>26.901787782760081</v>
      </c>
      <c r="V50" s="113">
        <f t="shared" si="34"/>
        <v>25.825716271449679</v>
      </c>
      <c r="W50" s="113">
        <f t="shared" si="34"/>
        <v>24.792687620591689</v>
      </c>
      <c r="X50" s="113">
        <f t="shared" si="34"/>
        <v>23.80098011576802</v>
      </c>
      <c r="Y50" s="113">
        <f t="shared" si="34"/>
        <v>22.848940911137298</v>
      </c>
      <c r="Z50" s="113">
        <f t="shared" si="34"/>
        <v>21.934983274691806</v>
      </c>
    </row>
    <row r="51" spans="1:26" ht="18.75" x14ac:dyDescent="0.3">
      <c r="A51" s="107" t="s">
        <v>147</v>
      </c>
      <c r="B51" s="116"/>
      <c r="C51" s="109">
        <f>C43*0.7</f>
        <v>72800</v>
      </c>
      <c r="D51" s="116"/>
      <c r="E51" s="109">
        <f>E43*0.7</f>
        <v>72800</v>
      </c>
      <c r="F51" s="117"/>
      <c r="G51" s="263">
        <f>G43*(C51/C43)</f>
        <v>67490.793999999994</v>
      </c>
      <c r="H51" s="114"/>
      <c r="I51" s="204"/>
      <c r="J51" s="269"/>
      <c r="K51" s="114"/>
      <c r="L51" s="114"/>
      <c r="M51" s="114"/>
      <c r="N51" s="114"/>
      <c r="O51" s="114"/>
      <c r="P51" s="114"/>
      <c r="Q51" s="114"/>
      <c r="R51" s="114"/>
      <c r="S51" s="114"/>
      <c r="T51" s="114"/>
      <c r="U51" s="114"/>
      <c r="V51" s="114"/>
      <c r="W51" s="114"/>
      <c r="X51" s="114"/>
      <c r="Y51" s="114"/>
      <c r="Z51" s="114"/>
    </row>
    <row r="52" spans="1:26" ht="18.75" x14ac:dyDescent="0.3">
      <c r="A52" s="98" t="s">
        <v>146</v>
      </c>
      <c r="B52" s="111">
        <v>4.6296296296296294E-2</v>
      </c>
      <c r="C52" s="109">
        <f t="shared" ref="C52:C57" si="42">$C$51*B52</f>
        <v>3370.37037037037</v>
      </c>
      <c r="D52" s="111">
        <v>4.6296296296296294E-2</v>
      </c>
      <c r="E52" s="109">
        <f t="shared" ref="E52:E57" si="43">$E$51*D52</f>
        <v>3370.37037037037</v>
      </c>
      <c r="F52" s="112">
        <v>0.16907</v>
      </c>
      <c r="G52" s="262">
        <f>F52*D52*$G$51*8760/1000</f>
        <v>4627.6600196407771</v>
      </c>
      <c r="H52" s="113">
        <f t="shared" ref="H52:H57" si="44">J52</f>
        <v>93.17</v>
      </c>
      <c r="I52" s="203">
        <f t="shared" ref="I52:I57" si="45">H52*G52*20*0.95</f>
        <v>8192022.5965686925</v>
      </c>
      <c r="J52" s="268">
        <v>93.17</v>
      </c>
      <c r="K52" s="113">
        <f t="shared" ref="K52:Z57" si="46">J52*$B$93</f>
        <v>89.443200000000004</v>
      </c>
      <c r="L52" s="113">
        <f t="shared" si="46"/>
        <v>85.865471999999997</v>
      </c>
      <c r="M52" s="113">
        <f t="shared" si="46"/>
        <v>82.430853119999995</v>
      </c>
      <c r="N52" s="113">
        <f t="shared" si="46"/>
        <v>79.133618995199996</v>
      </c>
      <c r="O52" s="113">
        <f t="shared" si="46"/>
        <v>75.968274235391988</v>
      </c>
      <c r="P52" s="113">
        <f t="shared" si="46"/>
        <v>72.929543265976307</v>
      </c>
      <c r="Q52" s="113">
        <f t="shared" si="46"/>
        <v>70.012361535337249</v>
      </c>
      <c r="R52" s="113">
        <f t="shared" si="46"/>
        <v>67.211867073923756</v>
      </c>
      <c r="S52" s="113">
        <f t="shared" si="46"/>
        <v>64.523392390966805</v>
      </c>
      <c r="T52" s="113">
        <f t="shared" si="46"/>
        <v>61.942456695328133</v>
      </c>
      <c r="U52" s="113">
        <f t="shared" si="46"/>
        <v>59.464758427515008</v>
      </c>
      <c r="V52" s="113">
        <f t="shared" si="46"/>
        <v>57.086168090414404</v>
      </c>
      <c r="W52" s="113">
        <f t="shared" si="46"/>
        <v>54.802721366797826</v>
      </c>
      <c r="X52" s="113">
        <f t="shared" si="46"/>
        <v>52.610612512125911</v>
      </c>
      <c r="Y52" s="113">
        <f t="shared" si="46"/>
        <v>50.506188011640873</v>
      </c>
      <c r="Z52" s="113">
        <f t="shared" si="46"/>
        <v>48.485940491175235</v>
      </c>
    </row>
    <row r="53" spans="1:26" ht="18.75" x14ac:dyDescent="0.3">
      <c r="A53" s="98" t="s">
        <v>138</v>
      </c>
      <c r="B53" s="111">
        <v>5.5555555555555552E-2</v>
      </c>
      <c r="C53" s="109">
        <f t="shared" si="42"/>
        <v>4044.4444444444443</v>
      </c>
      <c r="D53" s="111">
        <v>5.5555555555555552E-2</v>
      </c>
      <c r="E53" s="109">
        <f t="shared" si="43"/>
        <v>4044.4444444444443</v>
      </c>
      <c r="F53" s="112">
        <v>0.16907</v>
      </c>
      <c r="G53" s="262">
        <f t="shared" ref="G53:G56" si="47">F53*D53*$G$51*8760/1000</f>
        <v>5553.1920235689331</v>
      </c>
      <c r="H53" s="113">
        <f t="shared" si="44"/>
        <v>84.96</v>
      </c>
      <c r="I53" s="203">
        <f t="shared" si="45"/>
        <v>8964184.6921259128</v>
      </c>
      <c r="J53" s="268">
        <v>84.96</v>
      </c>
      <c r="K53" s="113">
        <f t="shared" si="46"/>
        <v>81.561599999999984</v>
      </c>
      <c r="L53" s="113">
        <f t="shared" si="46"/>
        <v>78.299135999999976</v>
      </c>
      <c r="M53" s="113">
        <f t="shared" si="46"/>
        <v>75.167170559999974</v>
      </c>
      <c r="N53" s="113">
        <f t="shared" si="46"/>
        <v>72.160483737599975</v>
      </c>
      <c r="O53" s="113">
        <f t="shared" si="46"/>
        <v>69.274064388095979</v>
      </c>
      <c r="P53" s="113">
        <f t="shared" si="46"/>
        <v>66.50310181257214</v>
      </c>
      <c r="Q53" s="113">
        <f t="shared" si="46"/>
        <v>63.842977740069252</v>
      </c>
      <c r="R53" s="113">
        <f t="shared" si="46"/>
        <v>61.289258630466477</v>
      </c>
      <c r="S53" s="113">
        <f t="shared" si="46"/>
        <v>58.837688285247815</v>
      </c>
      <c r="T53" s="113">
        <f t="shared" si="46"/>
        <v>56.484180753837897</v>
      </c>
      <c r="U53" s="113">
        <f t="shared" si="46"/>
        <v>54.224813523684382</v>
      </c>
      <c r="V53" s="113">
        <f t="shared" si="46"/>
        <v>52.055820982737004</v>
      </c>
      <c r="W53" s="113">
        <f t="shared" si="46"/>
        <v>49.97358814342752</v>
      </c>
      <c r="X53" s="113">
        <f t="shared" si="46"/>
        <v>47.974644617690416</v>
      </c>
      <c r="Y53" s="113">
        <f t="shared" si="46"/>
        <v>46.0556588329828</v>
      </c>
      <c r="Z53" s="113">
        <f t="shared" si="46"/>
        <v>44.213432479663489</v>
      </c>
    </row>
    <row r="54" spans="1:26" ht="18.75" x14ac:dyDescent="0.3">
      <c r="A54" s="98" t="s">
        <v>133</v>
      </c>
      <c r="B54" s="111">
        <v>0.21296296296296297</v>
      </c>
      <c r="C54" s="109">
        <f t="shared" si="42"/>
        <v>15503.703703703704</v>
      </c>
      <c r="D54" s="111">
        <v>0.21296296296296297</v>
      </c>
      <c r="E54" s="109">
        <f t="shared" si="43"/>
        <v>15503.703703703704</v>
      </c>
      <c r="F54" s="112">
        <v>0.16907</v>
      </c>
      <c r="G54" s="262">
        <f t="shared" si="47"/>
        <v>21287.236090347575</v>
      </c>
      <c r="H54" s="113">
        <f t="shared" si="44"/>
        <v>76.91</v>
      </c>
      <c r="I54" s="203">
        <f t="shared" si="45"/>
        <v>31106825.226464007</v>
      </c>
      <c r="J54" s="268">
        <v>76.91</v>
      </c>
      <c r="K54" s="113">
        <f t="shared" si="46"/>
        <v>73.83359999999999</v>
      </c>
      <c r="L54" s="113">
        <f t="shared" si="46"/>
        <v>70.880255999999989</v>
      </c>
      <c r="M54" s="113">
        <f t="shared" si="46"/>
        <v>68.045045759999994</v>
      </c>
      <c r="N54" s="113">
        <f t="shared" si="46"/>
        <v>65.323243929599997</v>
      </c>
      <c r="O54" s="113">
        <f t="shared" si="46"/>
        <v>62.710314172415991</v>
      </c>
      <c r="P54" s="113">
        <f t="shared" si="46"/>
        <v>60.201901605519346</v>
      </c>
      <c r="Q54" s="113">
        <f t="shared" si="46"/>
        <v>57.793825541298567</v>
      </c>
      <c r="R54" s="113">
        <f t="shared" si="46"/>
        <v>55.482072519646621</v>
      </c>
      <c r="S54" s="113">
        <f t="shared" si="46"/>
        <v>53.262789618860758</v>
      </c>
      <c r="T54" s="113">
        <f t="shared" si="46"/>
        <v>51.132278034106328</v>
      </c>
      <c r="U54" s="113">
        <f t="shared" si="46"/>
        <v>49.08698691274207</v>
      </c>
      <c r="V54" s="113">
        <f t="shared" si="46"/>
        <v>47.123507436232387</v>
      </c>
      <c r="W54" s="113">
        <f t="shared" si="46"/>
        <v>45.23856713878309</v>
      </c>
      <c r="X54" s="113">
        <f t="shared" si="46"/>
        <v>43.429024453231762</v>
      </c>
      <c r="Y54" s="113">
        <f t="shared" si="46"/>
        <v>41.691863475102487</v>
      </c>
      <c r="Z54" s="113">
        <f t="shared" si="46"/>
        <v>40.024188936098383</v>
      </c>
    </row>
    <row r="55" spans="1:26" ht="18.75" x14ac:dyDescent="0.3">
      <c r="A55" s="98" t="s">
        <v>134</v>
      </c>
      <c r="B55" s="111">
        <v>0.45370370370370372</v>
      </c>
      <c r="C55" s="109">
        <f t="shared" si="42"/>
        <v>33029.629629629628</v>
      </c>
      <c r="D55" s="111">
        <v>0.45370370370370372</v>
      </c>
      <c r="E55" s="109">
        <f t="shared" si="43"/>
        <v>33029.629629629628</v>
      </c>
      <c r="F55" s="112">
        <v>0.16907</v>
      </c>
      <c r="G55" s="262">
        <f t="shared" si="47"/>
        <v>45351.068192479615</v>
      </c>
      <c r="H55" s="113">
        <f t="shared" si="44"/>
        <v>66.88</v>
      </c>
      <c r="I55" s="203">
        <f t="shared" si="45"/>
        <v>57628509.373547688</v>
      </c>
      <c r="J55" s="268">
        <v>66.88</v>
      </c>
      <c r="K55" s="113">
        <f t="shared" si="46"/>
        <v>64.204799999999992</v>
      </c>
      <c r="L55" s="113">
        <f t="shared" si="46"/>
        <v>61.636607999999988</v>
      </c>
      <c r="M55" s="113">
        <f t="shared" si="46"/>
        <v>59.171143679999986</v>
      </c>
      <c r="N55" s="113">
        <f t="shared" si="46"/>
        <v>56.804297932799983</v>
      </c>
      <c r="O55" s="113">
        <f t="shared" si="46"/>
        <v>54.532126015487982</v>
      </c>
      <c r="P55" s="113">
        <f t="shared" si="46"/>
        <v>52.350840974868461</v>
      </c>
      <c r="Q55" s="113">
        <f t="shared" si="46"/>
        <v>50.256807335873724</v>
      </c>
      <c r="R55" s="113">
        <f t="shared" si="46"/>
        <v>48.246535042438772</v>
      </c>
      <c r="S55" s="113">
        <f t="shared" si="46"/>
        <v>46.316673640741222</v>
      </c>
      <c r="T55" s="113">
        <f t="shared" si="46"/>
        <v>44.464006695111571</v>
      </c>
      <c r="U55" s="113">
        <f t="shared" si="46"/>
        <v>42.685446427307106</v>
      </c>
      <c r="V55" s="113">
        <f t="shared" si="46"/>
        <v>40.978028570214818</v>
      </c>
      <c r="W55" s="113">
        <f t="shared" si="46"/>
        <v>39.338907427406227</v>
      </c>
      <c r="X55" s="113">
        <f t="shared" si="46"/>
        <v>37.765351130309973</v>
      </c>
      <c r="Y55" s="113">
        <f t="shared" si="46"/>
        <v>36.254737085097574</v>
      </c>
      <c r="Z55" s="113">
        <f t="shared" si="46"/>
        <v>34.80454760169367</v>
      </c>
    </row>
    <row r="56" spans="1:26" ht="18.75" x14ac:dyDescent="0.3">
      <c r="A56" s="98" t="s">
        <v>135</v>
      </c>
      <c r="B56" s="111">
        <v>0.23148148148148148</v>
      </c>
      <c r="C56" s="109">
        <f t="shared" si="42"/>
        <v>16851.85185185185</v>
      </c>
      <c r="D56" s="111">
        <v>0.23148148148148148</v>
      </c>
      <c r="E56" s="109">
        <f t="shared" si="43"/>
        <v>16851.85185185185</v>
      </c>
      <c r="F56" s="112">
        <v>0.16907</v>
      </c>
      <c r="G56" s="262">
        <f t="shared" si="47"/>
        <v>23138.300098203887</v>
      </c>
      <c r="H56" s="113">
        <f t="shared" si="44"/>
        <v>61.04</v>
      </c>
      <c r="I56" s="203">
        <f t="shared" si="45"/>
        <v>26834874.921892937</v>
      </c>
      <c r="J56" s="268">
        <v>61.04</v>
      </c>
      <c r="K56" s="113">
        <f t="shared" si="46"/>
        <v>58.598399999999998</v>
      </c>
      <c r="L56" s="113">
        <f t="shared" si="46"/>
        <v>56.254463999999999</v>
      </c>
      <c r="M56" s="113">
        <f t="shared" si="46"/>
        <v>54.004285439999997</v>
      </c>
      <c r="N56" s="113">
        <f t="shared" si="46"/>
        <v>51.844114022399992</v>
      </c>
      <c r="O56" s="113">
        <f t="shared" si="46"/>
        <v>49.77034946150399</v>
      </c>
      <c r="P56" s="113">
        <f t="shared" si="46"/>
        <v>47.77953548304383</v>
      </c>
      <c r="Q56" s="113">
        <f t="shared" si="46"/>
        <v>45.868354063722073</v>
      </c>
      <c r="R56" s="113">
        <f t="shared" si="46"/>
        <v>44.033619901173189</v>
      </c>
      <c r="S56" s="113">
        <f t="shared" si="46"/>
        <v>42.272275105126262</v>
      </c>
      <c r="T56" s="113">
        <f t="shared" si="46"/>
        <v>40.581384100921213</v>
      </c>
      <c r="U56" s="113">
        <f t="shared" si="46"/>
        <v>38.958128736884362</v>
      </c>
      <c r="V56" s="113">
        <f t="shared" si="46"/>
        <v>37.399803587408989</v>
      </c>
      <c r="W56" s="113">
        <f t="shared" si="46"/>
        <v>35.90381144391263</v>
      </c>
      <c r="X56" s="113">
        <f t="shared" si="46"/>
        <v>34.467658986156124</v>
      </c>
      <c r="Y56" s="113">
        <f t="shared" si="46"/>
        <v>33.088952626709876</v>
      </c>
      <c r="Z56" s="113">
        <f t="shared" si="46"/>
        <v>31.765394521641479</v>
      </c>
    </row>
    <row r="57" spans="1:26" ht="18.75" x14ac:dyDescent="0.3">
      <c r="A57" s="98" t="s">
        <v>136</v>
      </c>
      <c r="B57" s="111">
        <v>0</v>
      </c>
      <c r="C57" s="109">
        <f t="shared" si="42"/>
        <v>0</v>
      </c>
      <c r="D57" s="111">
        <v>0</v>
      </c>
      <c r="E57" s="109">
        <f t="shared" si="43"/>
        <v>0</v>
      </c>
      <c r="F57" s="112">
        <v>0.16900000000000001</v>
      </c>
      <c r="G57" s="262">
        <f t="shared" ref="G57" si="48">F57*E57*8760/1000</f>
        <v>0</v>
      </c>
      <c r="H57" s="113">
        <f t="shared" si="44"/>
        <v>46.74</v>
      </c>
      <c r="I57" s="203">
        <f t="shared" si="45"/>
        <v>0</v>
      </c>
      <c r="J57" s="268">
        <v>46.74</v>
      </c>
      <c r="K57" s="113">
        <f t="shared" si="46"/>
        <v>44.870400000000004</v>
      </c>
      <c r="L57" s="113">
        <f t="shared" si="46"/>
        <v>43.075583999999999</v>
      </c>
      <c r="M57" s="113">
        <f t="shared" si="46"/>
        <v>41.35256064</v>
      </c>
      <c r="N57" s="113">
        <f t="shared" si="46"/>
        <v>39.698458214399999</v>
      </c>
      <c r="O57" s="113">
        <f t="shared" si="46"/>
        <v>38.110519885823997</v>
      </c>
      <c r="P57" s="113">
        <f t="shared" si="46"/>
        <v>36.586099090391038</v>
      </c>
      <c r="Q57" s="113">
        <f t="shared" si="46"/>
        <v>35.122655126775392</v>
      </c>
      <c r="R57" s="113">
        <f t="shared" si="46"/>
        <v>33.717748921704377</v>
      </c>
      <c r="S57" s="113">
        <f t="shared" si="46"/>
        <v>32.3690389648362</v>
      </c>
      <c r="T57" s="113">
        <f t="shared" si="46"/>
        <v>31.07427740624275</v>
      </c>
      <c r="U57" s="113">
        <f t="shared" si="46"/>
        <v>29.831306309993039</v>
      </c>
      <c r="V57" s="113">
        <f t="shared" si="46"/>
        <v>28.638054057593315</v>
      </c>
      <c r="W57" s="113">
        <f t="shared" si="46"/>
        <v>27.492531895289581</v>
      </c>
      <c r="X57" s="113">
        <f t="shared" si="46"/>
        <v>26.392830619477998</v>
      </c>
      <c r="Y57" s="113">
        <f t="shared" si="46"/>
        <v>25.337117394698875</v>
      </c>
      <c r="Z57" s="113">
        <f t="shared" si="46"/>
        <v>24.32363269891092</v>
      </c>
    </row>
    <row r="58" spans="1:26" ht="18.75" x14ac:dyDescent="0.3">
      <c r="A58" s="102" t="s">
        <v>148</v>
      </c>
      <c r="B58" s="104">
        <v>0.04</v>
      </c>
      <c r="C58" s="105">
        <f>B4*B58</f>
        <v>32000</v>
      </c>
      <c r="D58" s="104">
        <v>0.04</v>
      </c>
      <c r="E58" s="105">
        <f>D4*D58</f>
        <v>32000</v>
      </c>
      <c r="F58" s="102"/>
      <c r="G58" s="264">
        <v>0</v>
      </c>
      <c r="H58" s="106"/>
      <c r="I58" s="205"/>
      <c r="J58" s="122"/>
      <c r="K58" s="106"/>
      <c r="L58" s="106"/>
      <c r="M58" s="106"/>
      <c r="N58" s="106"/>
      <c r="O58" s="106"/>
      <c r="P58" s="106"/>
      <c r="Q58" s="114"/>
      <c r="R58" s="114"/>
      <c r="S58" s="114"/>
      <c r="T58" s="114"/>
      <c r="U58" s="114"/>
      <c r="V58" s="114"/>
      <c r="W58" s="114"/>
      <c r="X58" s="114"/>
      <c r="Y58" s="114"/>
      <c r="Z58" s="114"/>
    </row>
    <row r="59" spans="1:26" ht="18.75" x14ac:dyDescent="0.3">
      <c r="A59" s="107" t="s">
        <v>149</v>
      </c>
      <c r="B59" s="111">
        <v>0.3</v>
      </c>
      <c r="C59" s="109">
        <f>C58*0.3</f>
        <v>9600</v>
      </c>
      <c r="D59" s="111">
        <v>0.3</v>
      </c>
      <c r="E59" s="109">
        <f>E58*0.3</f>
        <v>9600</v>
      </c>
      <c r="F59" s="112">
        <v>0.16907</v>
      </c>
      <c r="G59" s="262"/>
      <c r="H59" s="114"/>
      <c r="I59" s="203">
        <f>SUM(I60:I74)</f>
        <v>0</v>
      </c>
      <c r="J59" s="123"/>
      <c r="K59" s="114"/>
      <c r="L59" s="114"/>
      <c r="M59" s="114"/>
      <c r="N59" s="114"/>
      <c r="O59" s="114"/>
      <c r="P59" s="114"/>
      <c r="Q59" s="114"/>
      <c r="R59" s="114"/>
      <c r="S59" s="114"/>
      <c r="T59" s="114"/>
      <c r="U59" s="114"/>
      <c r="V59" s="114"/>
      <c r="W59" s="114"/>
      <c r="X59" s="114"/>
      <c r="Y59" s="114"/>
      <c r="Z59" s="114"/>
    </row>
    <row r="60" spans="1:26" ht="18.75" x14ac:dyDescent="0.3">
      <c r="A60" s="98" t="s">
        <v>126</v>
      </c>
      <c r="B60" s="111">
        <v>0</v>
      </c>
      <c r="C60" s="109">
        <v>0</v>
      </c>
      <c r="D60" s="111"/>
      <c r="E60" s="109">
        <v>0</v>
      </c>
      <c r="F60" s="112">
        <v>0.16907</v>
      </c>
      <c r="G60" s="262">
        <f t="shared" ref="G60:G66" si="49">F60*E60*8760/1000</f>
        <v>0</v>
      </c>
      <c r="H60" s="113"/>
      <c r="I60" s="203">
        <f t="shared" ref="I60:I66" si="50">H60*G60*15*0.96</f>
        <v>0</v>
      </c>
      <c r="J60" s="268">
        <v>0</v>
      </c>
      <c r="K60" s="113">
        <f>J60*0.96</f>
        <v>0</v>
      </c>
      <c r="L60" s="113">
        <f t="shared" ref="K60:P66" si="51">K60*0.96</f>
        <v>0</v>
      </c>
      <c r="M60" s="113">
        <f t="shared" si="51"/>
        <v>0</v>
      </c>
      <c r="N60" s="113">
        <f t="shared" si="51"/>
        <v>0</v>
      </c>
      <c r="O60" s="113">
        <f t="shared" si="51"/>
        <v>0</v>
      </c>
      <c r="P60" s="113">
        <f t="shared" si="51"/>
        <v>0</v>
      </c>
      <c r="Q60" s="113">
        <f t="shared" ref="Q60:Z66" si="52">P60*$B$93</f>
        <v>0</v>
      </c>
      <c r="R60" s="113">
        <f t="shared" si="52"/>
        <v>0</v>
      </c>
      <c r="S60" s="113">
        <f t="shared" si="52"/>
        <v>0</v>
      </c>
      <c r="T60" s="113">
        <f t="shared" si="52"/>
        <v>0</v>
      </c>
      <c r="U60" s="113">
        <f t="shared" si="52"/>
        <v>0</v>
      </c>
      <c r="V60" s="113">
        <f t="shared" si="52"/>
        <v>0</v>
      </c>
      <c r="W60" s="113">
        <f t="shared" si="52"/>
        <v>0</v>
      </c>
      <c r="X60" s="113">
        <f t="shared" si="52"/>
        <v>0</v>
      </c>
      <c r="Y60" s="113">
        <f t="shared" si="52"/>
        <v>0</v>
      </c>
      <c r="Z60" s="113">
        <f t="shared" si="52"/>
        <v>0</v>
      </c>
    </row>
    <row r="61" spans="1:26" ht="18.75" x14ac:dyDescent="0.3">
      <c r="A61" s="98" t="s">
        <v>127</v>
      </c>
      <c r="B61" s="111">
        <v>0</v>
      </c>
      <c r="C61" s="109">
        <v>0</v>
      </c>
      <c r="D61" s="111"/>
      <c r="E61" s="109">
        <v>0</v>
      </c>
      <c r="F61" s="112">
        <v>0.16907</v>
      </c>
      <c r="G61" s="262">
        <f t="shared" si="49"/>
        <v>0</v>
      </c>
      <c r="H61" s="113">
        <f t="shared" ref="H61:H66" si="53">J61</f>
        <v>73.819999999999993</v>
      </c>
      <c r="I61" s="203">
        <f t="shared" si="50"/>
        <v>0</v>
      </c>
      <c r="J61" s="268">
        <v>73.819999999999993</v>
      </c>
      <c r="K61" s="113">
        <f t="shared" si="51"/>
        <v>70.867199999999997</v>
      </c>
      <c r="L61" s="113">
        <f t="shared" si="51"/>
        <v>68.032511999999997</v>
      </c>
      <c r="M61" s="113">
        <f t="shared" si="51"/>
        <v>65.311211520000001</v>
      </c>
      <c r="N61" s="113">
        <f t="shared" si="51"/>
        <v>62.698763059199997</v>
      </c>
      <c r="O61" s="113">
        <f t="shared" si="51"/>
        <v>60.190812536831999</v>
      </c>
      <c r="P61" s="113">
        <f t="shared" si="51"/>
        <v>57.783180035358718</v>
      </c>
      <c r="Q61" s="113">
        <f t="shared" si="52"/>
        <v>55.471852833944368</v>
      </c>
      <c r="R61" s="113">
        <f t="shared" si="52"/>
        <v>53.25297872058659</v>
      </c>
      <c r="S61" s="113">
        <f t="shared" si="52"/>
        <v>51.122859571763122</v>
      </c>
      <c r="T61" s="113">
        <f t="shared" si="52"/>
        <v>49.077945188892599</v>
      </c>
      <c r="U61" s="113">
        <f t="shared" si="52"/>
        <v>47.114827381336895</v>
      </c>
      <c r="V61" s="113">
        <f t="shared" si="52"/>
        <v>45.230234286083416</v>
      </c>
      <c r="W61" s="113">
        <f t="shared" si="52"/>
        <v>43.421024914640078</v>
      </c>
      <c r="X61" s="113">
        <f t="shared" si="52"/>
        <v>41.684183918054472</v>
      </c>
      <c r="Y61" s="113">
        <f t="shared" si="52"/>
        <v>40.016816561332291</v>
      </c>
      <c r="Z61" s="113">
        <f t="shared" si="52"/>
        <v>38.416143898879</v>
      </c>
    </row>
    <row r="62" spans="1:26" ht="18.75" x14ac:dyDescent="0.3">
      <c r="A62" s="98" t="s">
        <v>138</v>
      </c>
      <c r="B62" s="111">
        <v>0</v>
      </c>
      <c r="C62" s="109">
        <v>0</v>
      </c>
      <c r="D62" s="111"/>
      <c r="E62" s="109">
        <v>0</v>
      </c>
      <c r="F62" s="112">
        <v>0.16907</v>
      </c>
      <c r="G62" s="262">
        <f t="shared" si="49"/>
        <v>0</v>
      </c>
      <c r="H62" s="113">
        <f t="shared" si="53"/>
        <v>75.400000000000006</v>
      </c>
      <c r="I62" s="203">
        <f t="shared" si="50"/>
        <v>0</v>
      </c>
      <c r="J62" s="268">
        <v>75.400000000000006</v>
      </c>
      <c r="K62" s="113">
        <f t="shared" si="51"/>
        <v>72.384</v>
      </c>
      <c r="L62" s="113">
        <f t="shared" si="51"/>
        <v>69.488640000000004</v>
      </c>
      <c r="M62" s="113">
        <f t="shared" si="51"/>
        <v>66.709094399999998</v>
      </c>
      <c r="N62" s="113">
        <f t="shared" si="51"/>
        <v>64.040730623999991</v>
      </c>
      <c r="O62" s="113">
        <f t="shared" si="51"/>
        <v>61.47910139903999</v>
      </c>
      <c r="P62" s="113">
        <f t="shared" si="51"/>
        <v>59.019937343078389</v>
      </c>
      <c r="Q62" s="113">
        <f t="shared" si="52"/>
        <v>56.659139849355249</v>
      </c>
      <c r="R62" s="113">
        <f t="shared" si="52"/>
        <v>54.392774255381035</v>
      </c>
      <c r="S62" s="113">
        <f t="shared" si="52"/>
        <v>52.217063285165793</v>
      </c>
      <c r="T62" s="113">
        <f t="shared" si="52"/>
        <v>50.12838075375916</v>
      </c>
      <c r="U62" s="113">
        <f t="shared" si="52"/>
        <v>48.123245523608794</v>
      </c>
      <c r="V62" s="113">
        <f t="shared" si="52"/>
        <v>46.198315702664438</v>
      </c>
      <c r="W62" s="113">
        <f t="shared" si="52"/>
        <v>44.350383074557861</v>
      </c>
      <c r="X62" s="113">
        <f t="shared" si="52"/>
        <v>42.576367751575546</v>
      </c>
      <c r="Y62" s="113">
        <f t="shared" si="52"/>
        <v>40.873313041512525</v>
      </c>
      <c r="Z62" s="113">
        <f t="shared" si="52"/>
        <v>39.238380519852022</v>
      </c>
    </row>
    <row r="63" spans="1:26" ht="18.75" x14ac:dyDescent="0.3">
      <c r="A63" s="98" t="s">
        <v>133</v>
      </c>
      <c r="B63" s="111">
        <v>0</v>
      </c>
      <c r="C63" s="109">
        <v>0</v>
      </c>
      <c r="D63" s="111"/>
      <c r="E63" s="109">
        <v>0</v>
      </c>
      <c r="F63" s="112">
        <v>0.16907</v>
      </c>
      <c r="G63" s="262">
        <f t="shared" si="49"/>
        <v>0</v>
      </c>
      <c r="H63" s="113">
        <f t="shared" si="53"/>
        <v>73.28</v>
      </c>
      <c r="I63" s="203">
        <f t="shared" si="50"/>
        <v>0</v>
      </c>
      <c r="J63" s="268">
        <v>73.28</v>
      </c>
      <c r="K63" s="113">
        <f t="shared" si="51"/>
        <v>70.348799999999997</v>
      </c>
      <c r="L63" s="113">
        <f t="shared" si="51"/>
        <v>67.534847999999997</v>
      </c>
      <c r="M63" s="113">
        <f t="shared" si="51"/>
        <v>64.833454079999996</v>
      </c>
      <c r="N63" s="113">
        <f t="shared" si="51"/>
        <v>62.240115916799994</v>
      </c>
      <c r="O63" s="113">
        <f t="shared" si="51"/>
        <v>59.750511280127995</v>
      </c>
      <c r="P63" s="113">
        <f t="shared" si="51"/>
        <v>57.36049082892287</v>
      </c>
      <c r="Q63" s="113">
        <f t="shared" si="52"/>
        <v>55.06607119576595</v>
      </c>
      <c r="R63" s="113">
        <f t="shared" si="52"/>
        <v>52.863428347935312</v>
      </c>
      <c r="S63" s="113">
        <f t="shared" si="52"/>
        <v>50.748891214017895</v>
      </c>
      <c r="T63" s="113">
        <f t="shared" si="52"/>
        <v>48.71893556545718</v>
      </c>
      <c r="U63" s="113">
        <f t="shared" si="52"/>
        <v>46.770178142838894</v>
      </c>
      <c r="V63" s="113">
        <f t="shared" si="52"/>
        <v>44.89937101712534</v>
      </c>
      <c r="W63" s="113">
        <f t="shared" si="52"/>
        <v>43.103396176440327</v>
      </c>
      <c r="X63" s="113">
        <f t="shared" si="52"/>
        <v>41.37926032938271</v>
      </c>
      <c r="Y63" s="113">
        <f t="shared" si="52"/>
        <v>39.724089916207397</v>
      </c>
      <c r="Z63" s="113">
        <f t="shared" si="52"/>
        <v>38.135126319559099</v>
      </c>
    </row>
    <row r="64" spans="1:26" ht="18.75" x14ac:dyDescent="0.3">
      <c r="A64" s="98" t="s">
        <v>134</v>
      </c>
      <c r="B64" s="111">
        <v>0</v>
      </c>
      <c r="C64" s="109">
        <v>0</v>
      </c>
      <c r="D64" s="111"/>
      <c r="E64" s="109">
        <v>0</v>
      </c>
      <c r="F64" s="112">
        <v>0.16907</v>
      </c>
      <c r="G64" s="262">
        <f t="shared" si="49"/>
        <v>0</v>
      </c>
      <c r="H64" s="113">
        <f t="shared" si="53"/>
        <v>67.73</v>
      </c>
      <c r="I64" s="203">
        <f t="shared" si="50"/>
        <v>0</v>
      </c>
      <c r="J64" s="268">
        <v>67.73</v>
      </c>
      <c r="K64" s="113">
        <f t="shared" si="51"/>
        <v>65.020800000000008</v>
      </c>
      <c r="L64" s="113">
        <f t="shared" si="51"/>
        <v>62.419968000000004</v>
      </c>
      <c r="M64" s="113">
        <f t="shared" si="51"/>
        <v>59.923169280000003</v>
      </c>
      <c r="N64" s="113">
        <f t="shared" si="51"/>
        <v>57.526242508800003</v>
      </c>
      <c r="O64" s="113">
        <f t="shared" si="51"/>
        <v>55.225192808448</v>
      </c>
      <c r="P64" s="113">
        <f t="shared" si="51"/>
        <v>53.016185096110078</v>
      </c>
      <c r="Q64" s="113">
        <f t="shared" si="52"/>
        <v>50.89553769226567</v>
      </c>
      <c r="R64" s="113">
        <f t="shared" si="52"/>
        <v>48.859716184575042</v>
      </c>
      <c r="S64" s="113">
        <f t="shared" si="52"/>
        <v>46.905327537192036</v>
      </c>
      <c r="T64" s="113">
        <f t="shared" si="52"/>
        <v>45.029114435704351</v>
      </c>
      <c r="U64" s="113">
        <f t="shared" si="52"/>
        <v>43.227949858276176</v>
      </c>
      <c r="V64" s="113">
        <f t="shared" si="52"/>
        <v>41.498831863945128</v>
      </c>
      <c r="W64" s="113">
        <f t="shared" si="52"/>
        <v>39.838878589387321</v>
      </c>
      <c r="X64" s="113">
        <f t="shared" si="52"/>
        <v>38.245323445811827</v>
      </c>
      <c r="Y64" s="113">
        <f t="shared" si="52"/>
        <v>36.715510507979353</v>
      </c>
      <c r="Z64" s="113">
        <f t="shared" si="52"/>
        <v>35.246890087660177</v>
      </c>
    </row>
    <row r="65" spans="1:26" ht="18.75" x14ac:dyDescent="0.3">
      <c r="A65" s="98" t="s">
        <v>141</v>
      </c>
      <c r="B65" s="111">
        <v>1</v>
      </c>
      <c r="C65" s="109">
        <v>10005</v>
      </c>
      <c r="D65" s="111"/>
      <c r="E65" s="109">
        <v>10005</v>
      </c>
      <c r="F65" s="112">
        <v>0.16907</v>
      </c>
      <c r="G65" s="262">
        <v>0</v>
      </c>
      <c r="H65" s="113">
        <f t="shared" si="53"/>
        <v>57.93</v>
      </c>
      <c r="I65" s="203">
        <f t="shared" si="50"/>
        <v>0</v>
      </c>
      <c r="J65" s="268">
        <v>57.93</v>
      </c>
      <c r="K65" s="113">
        <f t="shared" si="51"/>
        <v>55.6128</v>
      </c>
      <c r="L65" s="113">
        <f t="shared" si="51"/>
        <v>53.388287999999996</v>
      </c>
      <c r="M65" s="113">
        <f t="shared" si="51"/>
        <v>51.252756479999995</v>
      </c>
      <c r="N65" s="113">
        <f t="shared" si="51"/>
        <v>49.202646220799991</v>
      </c>
      <c r="O65" s="113">
        <f t="shared" si="51"/>
        <v>47.234540371967988</v>
      </c>
      <c r="P65" s="113">
        <f t="shared" si="51"/>
        <v>45.345158757089266</v>
      </c>
      <c r="Q65" s="113">
        <f t="shared" si="52"/>
        <v>43.531352406805695</v>
      </c>
      <c r="R65" s="113">
        <f t="shared" si="52"/>
        <v>41.790098310533466</v>
      </c>
      <c r="S65" s="113">
        <f t="shared" si="52"/>
        <v>40.118494378112125</v>
      </c>
      <c r="T65" s="113">
        <f t="shared" si="52"/>
        <v>38.513754602987639</v>
      </c>
      <c r="U65" s="113">
        <f t="shared" si="52"/>
        <v>36.973204418868129</v>
      </c>
      <c r="V65" s="113">
        <f t="shared" si="52"/>
        <v>35.494276242113401</v>
      </c>
      <c r="W65" s="113">
        <f t="shared" si="52"/>
        <v>34.074505192428866</v>
      </c>
      <c r="X65" s="113">
        <f t="shared" si="52"/>
        <v>32.71152498473171</v>
      </c>
      <c r="Y65" s="113">
        <f t="shared" si="52"/>
        <v>31.403063985342442</v>
      </c>
      <c r="Z65" s="113">
        <f t="shared" si="52"/>
        <v>30.146941425928745</v>
      </c>
    </row>
    <row r="66" spans="1:26" ht="18.75" x14ac:dyDescent="0.3">
      <c r="A66" s="98" t="s">
        <v>142</v>
      </c>
      <c r="B66" s="111">
        <v>0</v>
      </c>
      <c r="C66" s="109">
        <v>0</v>
      </c>
      <c r="D66" s="111"/>
      <c r="E66" s="109">
        <v>0</v>
      </c>
      <c r="F66" s="112">
        <v>0.16907</v>
      </c>
      <c r="G66" s="262">
        <f t="shared" si="49"/>
        <v>0</v>
      </c>
      <c r="H66" s="113">
        <f t="shared" si="53"/>
        <v>41.94</v>
      </c>
      <c r="I66" s="203">
        <f t="shared" si="50"/>
        <v>0</v>
      </c>
      <c r="J66" s="268">
        <v>41.94</v>
      </c>
      <c r="K66" s="113">
        <f t="shared" si="51"/>
        <v>40.2624</v>
      </c>
      <c r="L66" s="113">
        <f t="shared" si="51"/>
        <v>38.651903999999995</v>
      </c>
      <c r="M66" s="113">
        <f t="shared" si="51"/>
        <v>37.105827839999996</v>
      </c>
      <c r="N66" s="113">
        <f t="shared" si="51"/>
        <v>35.621594726399998</v>
      </c>
      <c r="O66" s="113">
        <f t="shared" si="51"/>
        <v>34.196730937344</v>
      </c>
      <c r="P66" s="113">
        <f t="shared" si="51"/>
        <v>32.828861699850236</v>
      </c>
      <c r="Q66" s="113">
        <f t="shared" si="52"/>
        <v>31.515707231856226</v>
      </c>
      <c r="R66" s="113">
        <f t="shared" si="52"/>
        <v>30.255078942581974</v>
      </c>
      <c r="S66" s="113">
        <f t="shared" si="52"/>
        <v>29.044875784878695</v>
      </c>
      <c r="T66" s="113">
        <f t="shared" si="52"/>
        <v>27.883080753483547</v>
      </c>
      <c r="U66" s="113">
        <f t="shared" si="52"/>
        <v>26.767757523344205</v>
      </c>
      <c r="V66" s="113">
        <f t="shared" si="52"/>
        <v>25.697047222410436</v>
      </c>
      <c r="W66" s="113">
        <f t="shared" si="52"/>
        <v>24.66916533351402</v>
      </c>
      <c r="X66" s="113">
        <f t="shared" si="52"/>
        <v>23.68239872017346</v>
      </c>
      <c r="Y66" s="113">
        <f t="shared" si="52"/>
        <v>22.73510277136652</v>
      </c>
      <c r="Z66" s="113">
        <f t="shared" si="52"/>
        <v>21.825698660511858</v>
      </c>
    </row>
    <row r="67" spans="1:26" ht="18.75" x14ac:dyDescent="0.3">
      <c r="A67" s="107" t="s">
        <v>150</v>
      </c>
      <c r="B67" s="111">
        <v>0.7</v>
      </c>
      <c r="C67" s="109">
        <f>C58*0.7</f>
        <v>22400</v>
      </c>
      <c r="D67" s="111">
        <v>0.7</v>
      </c>
      <c r="E67" s="109">
        <f>E58*0.7</f>
        <v>22400</v>
      </c>
      <c r="F67" s="112">
        <v>0.16907</v>
      </c>
      <c r="G67" s="262"/>
      <c r="H67" s="114"/>
      <c r="I67" s="203">
        <f>H67*G67*15.96</f>
        <v>0</v>
      </c>
      <c r="J67" s="269"/>
      <c r="K67" s="114"/>
      <c r="L67" s="114"/>
      <c r="M67" s="114"/>
      <c r="N67" s="114"/>
      <c r="O67" s="114"/>
      <c r="P67" s="114"/>
      <c r="Q67" s="114"/>
      <c r="R67" s="114"/>
      <c r="S67" s="114"/>
      <c r="T67" s="114"/>
      <c r="U67" s="114"/>
      <c r="V67" s="114"/>
      <c r="W67" s="114"/>
      <c r="X67" s="114"/>
      <c r="Y67" s="114"/>
      <c r="Z67" s="114"/>
    </row>
    <row r="68" spans="1:26" ht="18.75" x14ac:dyDescent="0.3">
      <c r="A68" s="98" t="s">
        <v>126</v>
      </c>
      <c r="B68" s="111">
        <v>0</v>
      </c>
      <c r="C68" s="109">
        <v>0</v>
      </c>
      <c r="D68" s="111"/>
      <c r="E68" s="109">
        <v>0</v>
      </c>
      <c r="F68" s="112">
        <v>0.16907</v>
      </c>
      <c r="G68" s="262">
        <f t="shared" ref="G68:G74" si="54">F68*E68*8760/1000</f>
        <v>0</v>
      </c>
      <c r="H68" s="113"/>
      <c r="I68" s="203">
        <f t="shared" ref="I68:I74" si="55">H68*G68*15*0.96</f>
        <v>0</v>
      </c>
      <c r="J68" s="268">
        <v>0</v>
      </c>
      <c r="K68" s="113">
        <f t="shared" ref="K68:P74" si="56">J68*0.96</f>
        <v>0</v>
      </c>
      <c r="L68" s="113">
        <f t="shared" si="56"/>
        <v>0</v>
      </c>
      <c r="M68" s="113">
        <f t="shared" si="56"/>
        <v>0</v>
      </c>
      <c r="N68" s="113">
        <f t="shared" si="56"/>
        <v>0</v>
      </c>
      <c r="O68" s="113">
        <f t="shared" si="56"/>
        <v>0</v>
      </c>
      <c r="P68" s="113">
        <f t="shared" si="56"/>
        <v>0</v>
      </c>
      <c r="Q68" s="113">
        <f t="shared" ref="Q68:Z74" si="57">P68*$B$93</f>
        <v>0</v>
      </c>
      <c r="R68" s="113">
        <f t="shared" si="57"/>
        <v>0</v>
      </c>
      <c r="S68" s="113">
        <f t="shared" si="57"/>
        <v>0</v>
      </c>
      <c r="T68" s="113">
        <f t="shared" si="57"/>
        <v>0</v>
      </c>
      <c r="U68" s="113">
        <f t="shared" si="57"/>
        <v>0</v>
      </c>
      <c r="V68" s="113">
        <f t="shared" si="57"/>
        <v>0</v>
      </c>
      <c r="W68" s="113">
        <f t="shared" si="57"/>
        <v>0</v>
      </c>
      <c r="X68" s="113">
        <f t="shared" si="57"/>
        <v>0</v>
      </c>
      <c r="Y68" s="113">
        <f t="shared" si="57"/>
        <v>0</v>
      </c>
      <c r="Z68" s="113">
        <f t="shared" si="57"/>
        <v>0</v>
      </c>
    </row>
    <row r="69" spans="1:26" ht="18.75" x14ac:dyDescent="0.3">
      <c r="A69" s="98" t="s">
        <v>127</v>
      </c>
      <c r="B69" s="111">
        <v>0</v>
      </c>
      <c r="C69" s="109">
        <v>0</v>
      </c>
      <c r="D69" s="111"/>
      <c r="E69" s="109">
        <v>0</v>
      </c>
      <c r="F69" s="112">
        <v>0.16907</v>
      </c>
      <c r="G69" s="262">
        <f t="shared" si="54"/>
        <v>0</v>
      </c>
      <c r="H69" s="113">
        <f t="shared" ref="H69:H74" si="58">J69</f>
        <v>91.46</v>
      </c>
      <c r="I69" s="203">
        <f t="shared" si="55"/>
        <v>0</v>
      </c>
      <c r="J69" s="268">
        <v>91.46</v>
      </c>
      <c r="K69" s="113">
        <f t="shared" si="56"/>
        <v>87.801599999999993</v>
      </c>
      <c r="L69" s="113">
        <f t="shared" si="56"/>
        <v>84.289535999999984</v>
      </c>
      <c r="M69" s="113">
        <f t="shared" si="56"/>
        <v>80.917954559999984</v>
      </c>
      <c r="N69" s="113">
        <f t="shared" si="56"/>
        <v>77.681236377599987</v>
      </c>
      <c r="O69" s="113">
        <f t="shared" si="56"/>
        <v>74.57398692249599</v>
      </c>
      <c r="P69" s="113">
        <f t="shared" si="56"/>
        <v>71.591027445596154</v>
      </c>
      <c r="Q69" s="113">
        <f t="shared" si="57"/>
        <v>68.72738634777231</v>
      </c>
      <c r="R69" s="113">
        <f t="shared" si="57"/>
        <v>65.978290893861413</v>
      </c>
      <c r="S69" s="113">
        <f t="shared" si="57"/>
        <v>63.339159258106953</v>
      </c>
      <c r="T69" s="113">
        <f t="shared" si="57"/>
        <v>60.805592887782673</v>
      </c>
      <c r="U69" s="113">
        <f t="shared" si="57"/>
        <v>58.373369172271367</v>
      </c>
      <c r="V69" s="113">
        <f t="shared" si="57"/>
        <v>56.038434405380514</v>
      </c>
      <c r="W69" s="113">
        <f t="shared" si="57"/>
        <v>53.796897029165294</v>
      </c>
      <c r="X69" s="113">
        <f t="shared" si="57"/>
        <v>51.645021147998683</v>
      </c>
      <c r="Y69" s="113">
        <f t="shared" si="57"/>
        <v>49.579220302078731</v>
      </c>
      <c r="Z69" s="113">
        <f t="shared" si="57"/>
        <v>47.596051489995581</v>
      </c>
    </row>
    <row r="70" spans="1:26" ht="18.75" x14ac:dyDescent="0.3">
      <c r="A70" s="98" t="s">
        <v>138</v>
      </c>
      <c r="B70" s="111">
        <v>0</v>
      </c>
      <c r="C70" s="109">
        <v>0</v>
      </c>
      <c r="D70" s="111"/>
      <c r="E70" s="109">
        <v>0</v>
      </c>
      <c r="F70" s="112">
        <v>0.16907</v>
      </c>
      <c r="G70" s="262">
        <f t="shared" si="54"/>
        <v>0</v>
      </c>
      <c r="H70" s="113">
        <f t="shared" si="58"/>
        <v>92.92</v>
      </c>
      <c r="I70" s="203">
        <f t="shared" si="55"/>
        <v>0</v>
      </c>
      <c r="J70" s="268">
        <v>92.92</v>
      </c>
      <c r="K70" s="113">
        <f t="shared" si="56"/>
        <v>89.203199999999995</v>
      </c>
      <c r="L70" s="113">
        <f t="shared" si="56"/>
        <v>85.635071999999994</v>
      </c>
      <c r="M70" s="113">
        <f t="shared" si="56"/>
        <v>82.209669119999987</v>
      </c>
      <c r="N70" s="113">
        <f t="shared" si="56"/>
        <v>78.921282355199978</v>
      </c>
      <c r="O70" s="113">
        <f t="shared" si="56"/>
        <v>75.764431060991981</v>
      </c>
      <c r="P70" s="113">
        <f t="shared" si="56"/>
        <v>72.733853818552305</v>
      </c>
      <c r="Q70" s="113">
        <f t="shared" si="57"/>
        <v>69.824499665810208</v>
      </c>
      <c r="R70" s="113">
        <f t="shared" si="57"/>
        <v>67.031519679177791</v>
      </c>
      <c r="S70" s="113">
        <f t="shared" si="57"/>
        <v>64.350258892010672</v>
      </c>
      <c r="T70" s="113">
        <f t="shared" si="57"/>
        <v>61.776248536330243</v>
      </c>
      <c r="U70" s="113">
        <f t="shared" si="57"/>
        <v>59.305198594877034</v>
      </c>
      <c r="V70" s="113">
        <f t="shared" si="57"/>
        <v>56.932990651081951</v>
      </c>
      <c r="W70" s="113">
        <f t="shared" si="57"/>
        <v>54.655671025038671</v>
      </c>
      <c r="X70" s="113">
        <f t="shared" si="57"/>
        <v>52.469444184037123</v>
      </c>
      <c r="Y70" s="113">
        <f t="shared" si="57"/>
        <v>50.370666416675633</v>
      </c>
      <c r="Z70" s="113">
        <f t="shared" si="57"/>
        <v>48.355839760008607</v>
      </c>
    </row>
    <row r="71" spans="1:26" ht="18.75" x14ac:dyDescent="0.3">
      <c r="A71" s="98" t="s">
        <v>133</v>
      </c>
      <c r="B71" s="111">
        <v>0</v>
      </c>
      <c r="C71" s="109">
        <v>0</v>
      </c>
      <c r="D71" s="111"/>
      <c r="E71" s="109">
        <v>0</v>
      </c>
      <c r="F71" s="112">
        <v>0.16907</v>
      </c>
      <c r="G71" s="262">
        <f t="shared" si="54"/>
        <v>0</v>
      </c>
      <c r="H71" s="113">
        <f t="shared" si="58"/>
        <v>89.36</v>
      </c>
      <c r="I71" s="203">
        <f t="shared" si="55"/>
        <v>0</v>
      </c>
      <c r="J71" s="268">
        <v>89.36</v>
      </c>
      <c r="K71" s="113">
        <f t="shared" si="56"/>
        <v>85.785600000000002</v>
      </c>
      <c r="L71" s="113">
        <f t="shared" si="56"/>
        <v>82.354175999999995</v>
      </c>
      <c r="M71" s="113">
        <f t="shared" si="56"/>
        <v>79.06000895999999</v>
      </c>
      <c r="N71" s="113">
        <f t="shared" si="56"/>
        <v>75.897608601599984</v>
      </c>
      <c r="O71" s="113">
        <f t="shared" si="56"/>
        <v>72.861704257535976</v>
      </c>
      <c r="P71" s="113">
        <f t="shared" si="56"/>
        <v>69.947236087234529</v>
      </c>
      <c r="Q71" s="113">
        <f t="shared" si="57"/>
        <v>67.149346643745147</v>
      </c>
      <c r="R71" s="113">
        <f t="shared" si="57"/>
        <v>64.463372777995346</v>
      </c>
      <c r="S71" s="113">
        <f t="shared" si="57"/>
        <v>61.884837866875529</v>
      </c>
      <c r="T71" s="113">
        <f t="shared" si="57"/>
        <v>59.409444352200502</v>
      </c>
      <c r="U71" s="113">
        <f t="shared" si="57"/>
        <v>57.033066578112482</v>
      </c>
      <c r="V71" s="113">
        <f t="shared" si="57"/>
        <v>54.751743914987983</v>
      </c>
      <c r="W71" s="113">
        <f t="shared" si="57"/>
        <v>52.561674158388463</v>
      </c>
      <c r="X71" s="113">
        <f t="shared" si="57"/>
        <v>50.459207192052922</v>
      </c>
      <c r="Y71" s="113">
        <f t="shared" si="57"/>
        <v>48.440838904370807</v>
      </c>
      <c r="Z71" s="113">
        <f t="shared" si="57"/>
        <v>46.503205348195976</v>
      </c>
    </row>
    <row r="72" spans="1:26" ht="18.75" x14ac:dyDescent="0.3">
      <c r="A72" s="98" t="s">
        <v>134</v>
      </c>
      <c r="B72" s="111">
        <v>0</v>
      </c>
      <c r="C72" s="109">
        <v>0</v>
      </c>
      <c r="D72" s="111"/>
      <c r="E72" s="109">
        <v>0</v>
      </c>
      <c r="F72" s="112">
        <v>0.16907</v>
      </c>
      <c r="G72" s="262">
        <f t="shared" si="54"/>
        <v>0</v>
      </c>
      <c r="H72" s="113">
        <f t="shared" si="58"/>
        <v>82.24</v>
      </c>
      <c r="I72" s="203">
        <f t="shared" si="55"/>
        <v>0</v>
      </c>
      <c r="J72" s="268">
        <v>82.24</v>
      </c>
      <c r="K72" s="113">
        <f t="shared" si="56"/>
        <v>78.950399999999988</v>
      </c>
      <c r="L72" s="113">
        <f t="shared" si="56"/>
        <v>75.792383999999984</v>
      </c>
      <c r="M72" s="113">
        <f t="shared" si="56"/>
        <v>72.760688639999984</v>
      </c>
      <c r="N72" s="113">
        <f t="shared" si="56"/>
        <v>69.850261094399983</v>
      </c>
      <c r="O72" s="113">
        <f t="shared" si="56"/>
        <v>67.05625065062398</v>
      </c>
      <c r="P72" s="113">
        <f t="shared" si="56"/>
        <v>64.37400062459902</v>
      </c>
      <c r="Q72" s="113">
        <f t="shared" si="57"/>
        <v>61.799040599615054</v>
      </c>
      <c r="R72" s="113">
        <f t="shared" si="57"/>
        <v>59.32707897563045</v>
      </c>
      <c r="S72" s="113">
        <f t="shared" si="57"/>
        <v>56.953995816605229</v>
      </c>
      <c r="T72" s="113">
        <f t="shared" si="57"/>
        <v>54.67583598394102</v>
      </c>
      <c r="U72" s="113">
        <f t="shared" si="57"/>
        <v>52.488802544583379</v>
      </c>
      <c r="V72" s="113">
        <f t="shared" si="57"/>
        <v>50.389250442800041</v>
      </c>
      <c r="W72" s="113">
        <f t="shared" si="57"/>
        <v>48.37368042508804</v>
      </c>
      <c r="X72" s="113">
        <f t="shared" si="57"/>
        <v>46.438733208084514</v>
      </c>
      <c r="Y72" s="113">
        <f t="shared" si="57"/>
        <v>44.581183879761134</v>
      </c>
      <c r="Z72" s="113">
        <f t="shared" si="57"/>
        <v>42.797936524570687</v>
      </c>
    </row>
    <row r="73" spans="1:26" ht="18.75" x14ac:dyDescent="0.3">
      <c r="A73" s="98" t="s">
        <v>141</v>
      </c>
      <c r="B73" s="111">
        <v>1</v>
      </c>
      <c r="C73" s="109">
        <v>23345</v>
      </c>
      <c r="D73" s="111"/>
      <c r="E73" s="109">
        <v>23345</v>
      </c>
      <c r="F73" s="112">
        <v>0.16907</v>
      </c>
      <c r="G73" s="262">
        <v>0</v>
      </c>
      <c r="H73" s="113">
        <f t="shared" si="58"/>
        <v>68.95</v>
      </c>
      <c r="I73" s="203">
        <f t="shared" si="55"/>
        <v>0</v>
      </c>
      <c r="J73" s="268">
        <v>68.95</v>
      </c>
      <c r="K73" s="113">
        <f t="shared" si="56"/>
        <v>66.192000000000007</v>
      </c>
      <c r="L73" s="113">
        <f t="shared" si="56"/>
        <v>63.544320000000006</v>
      </c>
      <c r="M73" s="113">
        <f t="shared" si="56"/>
        <v>61.002547200000002</v>
      </c>
      <c r="N73" s="113">
        <f t="shared" si="56"/>
        <v>58.562445312000001</v>
      </c>
      <c r="O73" s="113">
        <f t="shared" si="56"/>
        <v>56.219947499519996</v>
      </c>
      <c r="P73" s="113">
        <f t="shared" si="56"/>
        <v>53.971149599539196</v>
      </c>
      <c r="Q73" s="113">
        <f t="shared" si="57"/>
        <v>51.812303615557624</v>
      </c>
      <c r="R73" s="113">
        <f t="shared" si="57"/>
        <v>49.739811470935315</v>
      </c>
      <c r="S73" s="113">
        <f t="shared" si="57"/>
        <v>47.750219012097901</v>
      </c>
      <c r="T73" s="113">
        <f t="shared" si="57"/>
        <v>45.840210251613982</v>
      </c>
      <c r="U73" s="113">
        <f t="shared" si="57"/>
        <v>44.006601841549418</v>
      </c>
      <c r="V73" s="113">
        <f t="shared" si="57"/>
        <v>42.246337767887439</v>
      </c>
      <c r="W73" s="113">
        <f t="shared" si="57"/>
        <v>40.556484257171938</v>
      </c>
      <c r="X73" s="113">
        <f t="shared" si="57"/>
        <v>38.934224886885062</v>
      </c>
      <c r="Y73" s="113">
        <f t="shared" si="57"/>
        <v>37.376855891409654</v>
      </c>
      <c r="Z73" s="113">
        <f t="shared" si="57"/>
        <v>35.881781655753265</v>
      </c>
    </row>
    <row r="74" spans="1:26" ht="18.75" x14ac:dyDescent="0.3">
      <c r="A74" s="98" t="s">
        <v>142</v>
      </c>
      <c r="B74" s="111">
        <v>0</v>
      </c>
      <c r="C74" s="109">
        <v>0</v>
      </c>
      <c r="D74" s="111"/>
      <c r="E74" s="109">
        <v>0</v>
      </c>
      <c r="F74" s="112">
        <v>0.16907</v>
      </c>
      <c r="G74" s="262">
        <f t="shared" si="54"/>
        <v>0</v>
      </c>
      <c r="H74" s="113">
        <f t="shared" si="58"/>
        <v>49.79</v>
      </c>
      <c r="I74" s="203">
        <f t="shared" si="55"/>
        <v>0</v>
      </c>
      <c r="J74" s="268">
        <v>49.79</v>
      </c>
      <c r="K74" s="113">
        <f t="shared" si="56"/>
        <v>47.798400000000001</v>
      </c>
      <c r="L74" s="113">
        <f t="shared" si="56"/>
        <v>45.886463999999997</v>
      </c>
      <c r="M74" s="113">
        <f t="shared" si="56"/>
        <v>44.051005439999997</v>
      </c>
      <c r="N74" s="113">
        <f t="shared" si="56"/>
        <v>42.288965222399995</v>
      </c>
      <c r="O74" s="113">
        <f t="shared" si="56"/>
        <v>40.597406613503992</v>
      </c>
      <c r="P74" s="113">
        <f t="shared" si="56"/>
        <v>38.973510348963828</v>
      </c>
      <c r="Q74" s="113">
        <f t="shared" si="57"/>
        <v>37.414569935005275</v>
      </c>
      <c r="R74" s="113">
        <f t="shared" si="57"/>
        <v>35.91798713760506</v>
      </c>
      <c r="S74" s="113">
        <f t="shared" si="57"/>
        <v>34.481267652100854</v>
      </c>
      <c r="T74" s="113">
        <f t="shared" si="57"/>
        <v>33.102016946016818</v>
      </c>
      <c r="U74" s="113">
        <f t="shared" si="57"/>
        <v>31.777936268176145</v>
      </c>
      <c r="V74" s="113">
        <f t="shared" si="57"/>
        <v>30.506818817449098</v>
      </c>
      <c r="W74" s="113">
        <f t="shared" si="57"/>
        <v>29.286546064751132</v>
      </c>
      <c r="X74" s="113">
        <f t="shared" si="57"/>
        <v>28.115084222161087</v>
      </c>
      <c r="Y74" s="113">
        <f t="shared" si="57"/>
        <v>26.990480853274644</v>
      </c>
      <c r="Z74" s="113">
        <f t="shared" si="57"/>
        <v>25.910861619143656</v>
      </c>
    </row>
    <row r="75" spans="1:26" ht="18.75" x14ac:dyDescent="0.3">
      <c r="A75" s="118" t="s">
        <v>151</v>
      </c>
      <c r="B75" s="104">
        <v>0.2</v>
      </c>
      <c r="C75" s="105">
        <f>B4*B75</f>
        <v>160000</v>
      </c>
      <c r="D75" s="104">
        <v>0.2</v>
      </c>
      <c r="E75" s="105">
        <f>D4*D75</f>
        <v>160000</v>
      </c>
      <c r="F75" s="102"/>
      <c r="G75" s="29">
        <v>41364.020000000004</v>
      </c>
      <c r="H75" s="102"/>
      <c r="I75" s="205">
        <f>SUM(I77:I87)</f>
        <v>38223262.224125922</v>
      </c>
      <c r="J75" s="266"/>
      <c r="K75" s="102"/>
      <c r="L75" s="102"/>
      <c r="M75" s="102"/>
      <c r="N75" s="102"/>
      <c r="O75" s="102"/>
      <c r="P75" s="102"/>
      <c r="Q75" s="102"/>
      <c r="R75" s="102"/>
      <c r="S75" s="102"/>
      <c r="T75" s="102"/>
      <c r="U75" s="102"/>
      <c r="V75" s="102"/>
      <c r="W75" s="102"/>
      <c r="X75" s="102"/>
      <c r="Y75" s="102"/>
      <c r="Z75" s="102"/>
    </row>
    <row r="76" spans="1:26" ht="18.75" x14ac:dyDescent="0.3">
      <c r="A76" s="107" t="s">
        <v>152</v>
      </c>
      <c r="B76" s="108"/>
      <c r="C76" s="109">
        <f>C75*0.3</f>
        <v>48000</v>
      </c>
      <c r="D76" s="108"/>
      <c r="E76" s="109">
        <f>E75*0.3</f>
        <v>48000</v>
      </c>
      <c r="F76" s="109"/>
      <c r="G76" s="263">
        <f>G75*(C76/C75)</f>
        <v>12409.206</v>
      </c>
      <c r="H76" s="114"/>
      <c r="I76" s="201"/>
      <c r="J76" s="269"/>
      <c r="K76" s="114"/>
      <c r="L76" s="114"/>
      <c r="M76" s="114"/>
      <c r="N76" s="114"/>
      <c r="O76" s="114"/>
      <c r="P76" s="114"/>
      <c r="Q76" s="114"/>
      <c r="R76" s="114"/>
      <c r="S76" s="114"/>
      <c r="T76" s="114"/>
      <c r="U76" s="114"/>
      <c r="V76" s="114"/>
      <c r="W76" s="114"/>
      <c r="X76" s="114"/>
      <c r="Y76" s="114"/>
      <c r="Z76" s="114"/>
    </row>
    <row r="77" spans="1:26" ht="18.75" x14ac:dyDescent="0.3">
      <c r="A77" s="98" t="s">
        <v>132</v>
      </c>
      <c r="B77" s="111">
        <v>8.2589858081657974E-2</v>
      </c>
      <c r="C77" s="109">
        <f>$C$76*B77</f>
        <v>3964.3131879195826</v>
      </c>
      <c r="D77" s="111">
        <v>8.2589858081657974E-2</v>
      </c>
      <c r="E77" s="109">
        <f>$E$76*D77</f>
        <v>3964.3131879195826</v>
      </c>
      <c r="F77" s="112">
        <v>0.15196999999999999</v>
      </c>
      <c r="G77" s="262">
        <f>F77*D77*$G$76*8760/1000</f>
        <v>1364.3716403531653</v>
      </c>
      <c r="H77" s="113">
        <f>J77</f>
        <v>55.89</v>
      </c>
      <c r="I77" s="203">
        <f>H77*G77*15*0.96</f>
        <v>1098068.1261024731</v>
      </c>
      <c r="J77" s="268">
        <f>J15</f>
        <v>55.89</v>
      </c>
      <c r="K77" s="113">
        <f>J77*$B$93</f>
        <v>53.654399999999995</v>
      </c>
      <c r="L77" s="113">
        <f t="shared" ref="K77:Z81" si="59">K77*$B$93</f>
        <v>51.508223999999991</v>
      </c>
      <c r="M77" s="113">
        <f t="shared" si="59"/>
        <v>49.447895039999992</v>
      </c>
      <c r="N77" s="113">
        <f t="shared" si="59"/>
        <v>47.469979238399993</v>
      </c>
      <c r="O77" s="113">
        <f t="shared" si="59"/>
        <v>45.571180068863995</v>
      </c>
      <c r="P77" s="113">
        <f t="shared" si="59"/>
        <v>43.748332866109436</v>
      </c>
      <c r="Q77" s="113">
        <f t="shared" si="59"/>
        <v>41.998399551465056</v>
      </c>
      <c r="R77" s="113">
        <f t="shared" si="59"/>
        <v>40.318463569406454</v>
      </c>
      <c r="S77" s="113">
        <f t="shared" si="59"/>
        <v>38.705725026630198</v>
      </c>
      <c r="T77" s="113">
        <f t="shared" si="59"/>
        <v>37.157496025564988</v>
      </c>
      <c r="U77" s="113">
        <f t="shared" si="59"/>
        <v>35.671196184542389</v>
      </c>
      <c r="V77" s="113">
        <f t="shared" si="59"/>
        <v>34.244348337160694</v>
      </c>
      <c r="W77" s="113">
        <f t="shared" si="59"/>
        <v>32.874574403674266</v>
      </c>
      <c r="X77" s="113">
        <f t="shared" si="59"/>
        <v>31.559591427527295</v>
      </c>
      <c r="Y77" s="113">
        <f t="shared" si="59"/>
        <v>30.297207770426201</v>
      </c>
      <c r="Z77" s="113">
        <f t="shared" si="59"/>
        <v>29.085319459609153</v>
      </c>
    </row>
    <row r="78" spans="1:26" ht="18.75" x14ac:dyDescent="0.3">
      <c r="A78" s="98" t="s">
        <v>133</v>
      </c>
      <c r="B78" s="111">
        <v>6.3796727298494463E-2</v>
      </c>
      <c r="C78" s="109">
        <f>$C$76*B78</f>
        <v>3062.2429103277341</v>
      </c>
      <c r="D78" s="111">
        <v>6.3796727298494463E-2</v>
      </c>
      <c r="E78" s="109">
        <f>$E$76*D78</f>
        <v>3062.2429103277341</v>
      </c>
      <c r="F78" s="112">
        <v>0.14819000000000002</v>
      </c>
      <c r="G78" s="262">
        <f t="shared" ref="G78:G81" si="60">F78*D78*$G$76*8760/1000</f>
        <v>1027.6977337383296</v>
      </c>
      <c r="H78" s="113">
        <f>J78</f>
        <v>53.63</v>
      </c>
      <c r="I78" s="203">
        <f>H78*G78*15*0.96</f>
        <v>793662.1842295673</v>
      </c>
      <c r="J78" s="268">
        <f t="shared" ref="J78:J81" si="61">J16</f>
        <v>53.63</v>
      </c>
      <c r="K78" s="113">
        <f t="shared" si="59"/>
        <v>51.4848</v>
      </c>
      <c r="L78" s="113">
        <f t="shared" si="59"/>
        <v>49.425407999999997</v>
      </c>
      <c r="M78" s="113">
        <f t="shared" si="59"/>
        <v>47.448391679999993</v>
      </c>
      <c r="N78" s="113">
        <f t="shared" si="59"/>
        <v>45.550456012799991</v>
      </c>
      <c r="O78" s="113">
        <f t="shared" si="59"/>
        <v>43.72843777228799</v>
      </c>
      <c r="P78" s="113">
        <f t="shared" si="59"/>
        <v>41.979300261396467</v>
      </c>
      <c r="Q78" s="113">
        <f t="shared" si="59"/>
        <v>40.30012825094061</v>
      </c>
      <c r="R78" s="113">
        <f t="shared" si="59"/>
        <v>38.688123120902986</v>
      </c>
      <c r="S78" s="113">
        <f t="shared" si="59"/>
        <v>37.140598196066868</v>
      </c>
      <c r="T78" s="113">
        <f t="shared" si="59"/>
        <v>35.654974268224194</v>
      </c>
      <c r="U78" s="113">
        <f t="shared" si="59"/>
        <v>34.228775297495226</v>
      </c>
      <c r="V78" s="113">
        <f t="shared" si="59"/>
        <v>32.859624285595416</v>
      </c>
      <c r="W78" s="113">
        <f t="shared" si="59"/>
        <v>31.545239314171599</v>
      </c>
      <c r="X78" s="113">
        <f t="shared" si="59"/>
        <v>30.283429741604735</v>
      </c>
      <c r="Y78" s="113">
        <f t="shared" si="59"/>
        <v>29.072092551940543</v>
      </c>
      <c r="Z78" s="113">
        <f t="shared" si="59"/>
        <v>27.909208849862921</v>
      </c>
    </row>
    <row r="79" spans="1:26" ht="18.75" x14ac:dyDescent="0.3">
      <c r="A79" s="98" t="s">
        <v>134</v>
      </c>
      <c r="B79" s="111">
        <v>0.14809231752718796</v>
      </c>
      <c r="C79" s="109">
        <f>$C$76*B79</f>
        <v>7108.431241305022</v>
      </c>
      <c r="D79" s="111">
        <v>0.14809231752718796</v>
      </c>
      <c r="E79" s="109">
        <f>$E$76*D79</f>
        <v>7108.431241305022</v>
      </c>
      <c r="F79" s="112">
        <v>0.15303</v>
      </c>
      <c r="G79" s="262">
        <f t="shared" si="60"/>
        <v>2463.5263287276885</v>
      </c>
      <c r="H79" s="113">
        <f>J79</f>
        <v>46.58</v>
      </c>
      <c r="I79" s="203">
        <f>H79*G79*15*0.96</f>
        <v>1652415.2120467543</v>
      </c>
      <c r="J79" s="268">
        <f t="shared" si="61"/>
        <v>46.58</v>
      </c>
      <c r="K79" s="113">
        <f t="shared" si="59"/>
        <v>44.716799999999999</v>
      </c>
      <c r="L79" s="113">
        <f t="shared" si="59"/>
        <v>42.928128000000001</v>
      </c>
      <c r="M79" s="113">
        <f t="shared" si="59"/>
        <v>41.211002880000002</v>
      </c>
      <c r="N79" s="113">
        <f t="shared" si="59"/>
        <v>39.562562764799999</v>
      </c>
      <c r="O79" s="113">
        <f t="shared" si="59"/>
        <v>37.980060254207999</v>
      </c>
      <c r="P79" s="113">
        <f t="shared" si="59"/>
        <v>36.46085784403968</v>
      </c>
      <c r="Q79" s="113">
        <f t="shared" si="59"/>
        <v>35.002423530278094</v>
      </c>
      <c r="R79" s="113">
        <f t="shared" si="59"/>
        <v>33.602326589066969</v>
      </c>
      <c r="S79" s="113">
        <f t="shared" si="59"/>
        <v>32.258233525504288</v>
      </c>
      <c r="T79" s="113">
        <f t="shared" si="59"/>
        <v>30.967904184484116</v>
      </c>
      <c r="U79" s="113">
        <f t="shared" si="59"/>
        <v>29.72918801710475</v>
      </c>
      <c r="V79" s="113">
        <f t="shared" si="59"/>
        <v>28.54002049642056</v>
      </c>
      <c r="W79" s="113">
        <f t="shared" si="59"/>
        <v>27.398419676563737</v>
      </c>
      <c r="X79" s="113">
        <f t="shared" si="59"/>
        <v>26.302482889501185</v>
      </c>
      <c r="Y79" s="113">
        <f t="shared" si="59"/>
        <v>25.250383573921138</v>
      </c>
      <c r="Z79" s="113">
        <f t="shared" si="59"/>
        <v>24.24036823096429</v>
      </c>
    </row>
    <row r="80" spans="1:26" ht="18.75" x14ac:dyDescent="0.3">
      <c r="A80" s="98" t="s">
        <v>135</v>
      </c>
      <c r="B80" s="111">
        <v>0.7055190579627767</v>
      </c>
      <c r="C80" s="109">
        <f>$C$76*B80</f>
        <v>33864.91478221328</v>
      </c>
      <c r="D80" s="111">
        <v>0.7055190579627767</v>
      </c>
      <c r="E80" s="109">
        <f>$E$76*D80</f>
        <v>33864.91478221328</v>
      </c>
      <c r="F80" s="112">
        <v>0.14410999999999999</v>
      </c>
      <c r="G80" s="262">
        <f t="shared" si="60"/>
        <v>11052.256825192429</v>
      </c>
      <c r="H80" s="113">
        <f>J80</f>
        <v>43.77</v>
      </c>
      <c r="I80" s="203">
        <f>H80*G80*15*0.96</f>
        <v>6966104.8498368869</v>
      </c>
      <c r="J80" s="268">
        <f t="shared" si="61"/>
        <v>43.77</v>
      </c>
      <c r="K80" s="113">
        <f t="shared" si="59"/>
        <v>42.019200000000005</v>
      </c>
      <c r="L80" s="113">
        <f t="shared" si="59"/>
        <v>40.338432000000005</v>
      </c>
      <c r="M80" s="113">
        <f t="shared" si="59"/>
        <v>38.724894720000002</v>
      </c>
      <c r="N80" s="113">
        <f t="shared" si="59"/>
        <v>37.175898931200003</v>
      </c>
      <c r="O80" s="113">
        <f t="shared" si="59"/>
        <v>35.688862973951998</v>
      </c>
      <c r="P80" s="113">
        <f t="shared" si="59"/>
        <v>34.261308454993916</v>
      </c>
      <c r="Q80" s="113">
        <f t="shared" si="59"/>
        <v>32.890856116794161</v>
      </c>
      <c r="R80" s="113">
        <f t="shared" si="59"/>
        <v>31.575221872122395</v>
      </c>
      <c r="S80" s="113">
        <f t="shared" si="59"/>
        <v>30.312212997237499</v>
      </c>
      <c r="T80" s="113">
        <f t="shared" si="59"/>
        <v>29.099724477347998</v>
      </c>
      <c r="U80" s="113">
        <f t="shared" si="59"/>
        <v>27.935735498254076</v>
      </c>
      <c r="V80" s="113">
        <f t="shared" si="59"/>
        <v>26.818306078323911</v>
      </c>
      <c r="W80" s="113">
        <f t="shared" si="59"/>
        <v>25.745573835190953</v>
      </c>
      <c r="X80" s="113">
        <f t="shared" si="59"/>
        <v>24.715750881783315</v>
      </c>
      <c r="Y80" s="113">
        <f t="shared" si="59"/>
        <v>23.72712084651198</v>
      </c>
      <c r="Z80" s="113">
        <f t="shared" si="59"/>
        <v>22.778036012651501</v>
      </c>
    </row>
    <row r="81" spans="1:26" ht="18.75" x14ac:dyDescent="0.3">
      <c r="A81" s="98" t="s">
        <v>136</v>
      </c>
      <c r="B81" s="111">
        <v>0</v>
      </c>
      <c r="C81" s="109">
        <f>$C$76*B81</f>
        <v>0</v>
      </c>
      <c r="D81" s="111">
        <v>0</v>
      </c>
      <c r="E81" s="109">
        <f>$E$76*D81</f>
        <v>0</v>
      </c>
      <c r="F81" s="112">
        <v>0.14399999999999999</v>
      </c>
      <c r="G81" s="262">
        <f t="shared" si="60"/>
        <v>0</v>
      </c>
      <c r="H81" s="113">
        <f>J81</f>
        <v>33.03</v>
      </c>
      <c r="I81" s="203">
        <f>H81*G81*15*0.96</f>
        <v>0</v>
      </c>
      <c r="J81" s="268">
        <f t="shared" si="61"/>
        <v>33.03</v>
      </c>
      <c r="K81" s="113">
        <f t="shared" si="59"/>
        <v>31.7088</v>
      </c>
      <c r="L81" s="113">
        <f t="shared" si="59"/>
        <v>30.440448</v>
      </c>
      <c r="M81" s="113">
        <f t="shared" si="59"/>
        <v>29.222830079999998</v>
      </c>
      <c r="N81" s="113">
        <f t="shared" si="59"/>
        <v>28.053916876799995</v>
      </c>
      <c r="O81" s="113">
        <f t="shared" si="59"/>
        <v>26.931760201727993</v>
      </c>
      <c r="P81" s="113">
        <f t="shared" si="59"/>
        <v>25.854489793658871</v>
      </c>
      <c r="Q81" s="113">
        <f t="shared" si="59"/>
        <v>24.820310201912516</v>
      </c>
      <c r="R81" s="113">
        <f t="shared" si="59"/>
        <v>23.827497793836013</v>
      </c>
      <c r="S81" s="113">
        <f t="shared" si="59"/>
        <v>22.874397882082572</v>
      </c>
      <c r="T81" s="113">
        <f t="shared" si="59"/>
        <v>21.959421966799269</v>
      </c>
      <c r="U81" s="113">
        <f t="shared" si="59"/>
        <v>21.081045088127297</v>
      </c>
      <c r="V81" s="113">
        <f t="shared" si="59"/>
        <v>20.237803284602204</v>
      </c>
      <c r="W81" s="113">
        <f t="shared" si="59"/>
        <v>19.428291153218115</v>
      </c>
      <c r="X81" s="113">
        <f t="shared" si="59"/>
        <v>18.651159507089389</v>
      </c>
      <c r="Y81" s="113">
        <f t="shared" si="59"/>
        <v>17.905113126805812</v>
      </c>
      <c r="Z81" s="113">
        <f t="shared" si="59"/>
        <v>17.18890860173358</v>
      </c>
    </row>
    <row r="82" spans="1:26" ht="18.75" x14ac:dyDescent="0.3">
      <c r="A82" s="107" t="s">
        <v>153</v>
      </c>
      <c r="B82" s="108"/>
      <c r="C82" s="109">
        <f>C75*0.7</f>
        <v>112000</v>
      </c>
      <c r="D82" s="108"/>
      <c r="E82" s="109">
        <f>E75*0.7</f>
        <v>112000</v>
      </c>
      <c r="F82" s="109"/>
      <c r="G82" s="263">
        <f>G75*(C82/C75)</f>
        <v>28954.814000000002</v>
      </c>
      <c r="H82" s="114"/>
      <c r="I82" s="201"/>
      <c r="J82" s="269"/>
      <c r="K82" s="114"/>
      <c r="L82" s="114"/>
      <c r="M82" s="114"/>
      <c r="N82" s="114"/>
      <c r="O82" s="114"/>
      <c r="P82" s="114"/>
      <c r="Q82" s="114"/>
      <c r="R82" s="114"/>
      <c r="S82" s="114"/>
      <c r="T82" s="114"/>
      <c r="U82" s="114"/>
      <c r="V82" s="114"/>
      <c r="W82" s="114"/>
      <c r="X82" s="114"/>
      <c r="Y82" s="114"/>
      <c r="Z82" s="114"/>
    </row>
    <row r="83" spans="1:26" ht="18.75" x14ac:dyDescent="0.3">
      <c r="A83" s="98" t="s">
        <v>138</v>
      </c>
      <c r="B83" s="111">
        <v>3.7818107834294019E-2</v>
      </c>
      <c r="C83" s="109">
        <f>$C$82*B83</f>
        <v>4235.6280774409306</v>
      </c>
      <c r="D83" s="111">
        <v>3.7818107834294019E-2</v>
      </c>
      <c r="E83" s="109">
        <f>$E$82*D83</f>
        <v>4235.6280774409306</v>
      </c>
      <c r="F83" s="112">
        <v>0.14305999999999999</v>
      </c>
      <c r="G83" s="262">
        <f>F83*D83*$G$82*8760/1000</f>
        <v>1372.2805318987221</v>
      </c>
      <c r="H83" s="113">
        <f>J83</f>
        <v>70.23</v>
      </c>
      <c r="I83" s="203">
        <f>H83*G83*15*0.96</f>
        <v>1387803.7692755605</v>
      </c>
      <c r="J83" s="268">
        <v>70.23</v>
      </c>
      <c r="K83" s="113">
        <f>J83*$B$93</f>
        <v>67.4208</v>
      </c>
      <c r="L83" s="113">
        <f t="shared" ref="K83:Z87" si="62">K83*$B$93</f>
        <v>64.723967999999999</v>
      </c>
      <c r="M83" s="113">
        <f t="shared" si="62"/>
        <v>62.135009279999998</v>
      </c>
      <c r="N83" s="113">
        <f t="shared" si="62"/>
        <v>59.649608908799998</v>
      </c>
      <c r="O83" s="113">
        <f t="shared" si="62"/>
        <v>57.263624552447993</v>
      </c>
      <c r="P83" s="113">
        <f t="shared" si="62"/>
        <v>54.973079570350073</v>
      </c>
      <c r="Q83" s="113">
        <f t="shared" si="62"/>
        <v>52.774156387536067</v>
      </c>
      <c r="R83" s="113">
        <f t="shared" si="62"/>
        <v>50.663190132034622</v>
      </c>
      <c r="S83" s="113">
        <f t="shared" si="62"/>
        <v>48.636662526753234</v>
      </c>
      <c r="T83" s="113">
        <f t="shared" si="62"/>
        <v>46.691196025683105</v>
      </c>
      <c r="U83" s="113">
        <f t="shared" si="62"/>
        <v>44.823548184655778</v>
      </c>
      <c r="V83" s="113">
        <f t="shared" si="62"/>
        <v>43.030606257269547</v>
      </c>
      <c r="W83" s="113">
        <f t="shared" si="62"/>
        <v>41.309382006978765</v>
      </c>
      <c r="X83" s="113">
        <f t="shared" si="62"/>
        <v>39.657006726699613</v>
      </c>
      <c r="Y83" s="113">
        <f t="shared" si="62"/>
        <v>38.070726457631629</v>
      </c>
      <c r="Z83" s="113">
        <f t="shared" si="62"/>
        <v>36.547897399326359</v>
      </c>
    </row>
    <row r="84" spans="1:26" ht="18.75" x14ac:dyDescent="0.3">
      <c r="A84" s="98" t="s">
        <v>133</v>
      </c>
      <c r="B84" s="111">
        <v>2.9448996157951057E-2</v>
      </c>
      <c r="C84" s="109">
        <f>$C$82*B84</f>
        <v>3298.2875696905185</v>
      </c>
      <c r="D84" s="111">
        <v>2.9448996157951057E-2</v>
      </c>
      <c r="E84" s="109">
        <f>$E$82*D84</f>
        <v>3298.2875696905185</v>
      </c>
      <c r="F84" s="112">
        <v>0.14176</v>
      </c>
      <c r="G84" s="262">
        <f t="shared" ref="G84:G86" si="63">F84*D84*$G$82*8760/1000</f>
        <v>1058.8857054566947</v>
      </c>
      <c r="H84" s="113">
        <f>J84</f>
        <v>63.34</v>
      </c>
      <c r="I84" s="203">
        <f>H84*G84*15*0.96</f>
        <v>965805.41640422947</v>
      </c>
      <c r="J84" s="268">
        <v>63.34</v>
      </c>
      <c r="K84" s="113">
        <f t="shared" si="62"/>
        <v>60.806400000000004</v>
      </c>
      <c r="L84" s="113">
        <f t="shared" si="62"/>
        <v>58.374144000000001</v>
      </c>
      <c r="M84" s="113">
        <f t="shared" si="62"/>
        <v>56.039178239999998</v>
      </c>
      <c r="N84" s="113">
        <f t="shared" si="62"/>
        <v>53.797611110399998</v>
      </c>
      <c r="O84" s="113">
        <f t="shared" si="62"/>
        <v>51.645706665983994</v>
      </c>
      <c r="P84" s="113">
        <f t="shared" si="62"/>
        <v>49.579878399344629</v>
      </c>
      <c r="Q84" s="113">
        <f t="shared" si="62"/>
        <v>47.596683263370842</v>
      </c>
      <c r="R84" s="113">
        <f t="shared" si="62"/>
        <v>45.692815932836005</v>
      </c>
      <c r="S84" s="113">
        <f t="shared" si="62"/>
        <v>43.865103295522566</v>
      </c>
      <c r="T84" s="113">
        <f t="shared" si="62"/>
        <v>42.110499163701661</v>
      </c>
      <c r="U84" s="113">
        <f t="shared" si="62"/>
        <v>40.426079197153591</v>
      </c>
      <c r="V84" s="113">
        <f t="shared" si="62"/>
        <v>38.809036029267446</v>
      </c>
      <c r="W84" s="113">
        <f t="shared" si="62"/>
        <v>37.25667458809675</v>
      </c>
      <c r="X84" s="113">
        <f t="shared" si="62"/>
        <v>35.766407604572876</v>
      </c>
      <c r="Y84" s="113">
        <f t="shared" si="62"/>
        <v>34.335751300389958</v>
      </c>
      <c r="Z84" s="113">
        <f t="shared" si="62"/>
        <v>32.962321248374359</v>
      </c>
    </row>
    <row r="85" spans="1:26" ht="18.75" x14ac:dyDescent="0.3">
      <c r="A85" s="98" t="s">
        <v>134</v>
      </c>
      <c r="B85" s="111">
        <v>0.1091491177452943</v>
      </c>
      <c r="C85" s="109">
        <f>$C$82*B85</f>
        <v>12224.701187472961</v>
      </c>
      <c r="D85" s="111">
        <v>0.1091491177452943</v>
      </c>
      <c r="E85" s="109">
        <f>$E$82*D85</f>
        <v>12224.701187472961</v>
      </c>
      <c r="F85" s="112">
        <v>0.14119000000000001</v>
      </c>
      <c r="G85" s="262">
        <f t="shared" si="63"/>
        <v>3908.8504370844494</v>
      </c>
      <c r="H85" s="113">
        <f>J85</f>
        <v>54.6</v>
      </c>
      <c r="I85" s="203">
        <f>H85*G85*15*0.96</f>
        <v>3073294.5676532774</v>
      </c>
      <c r="J85" s="268">
        <v>54.6</v>
      </c>
      <c r="K85" s="113">
        <f t="shared" si="62"/>
        <v>52.415999999999997</v>
      </c>
      <c r="L85" s="113">
        <f t="shared" si="62"/>
        <v>50.319359999999996</v>
      </c>
      <c r="M85" s="113">
        <f t="shared" si="62"/>
        <v>48.306585599999991</v>
      </c>
      <c r="N85" s="113">
        <f t="shared" si="62"/>
        <v>46.374322175999993</v>
      </c>
      <c r="O85" s="113">
        <f t="shared" si="62"/>
        <v>44.519349288959994</v>
      </c>
      <c r="P85" s="113">
        <f t="shared" si="62"/>
        <v>42.73857531740159</v>
      </c>
      <c r="Q85" s="113">
        <f t="shared" si="62"/>
        <v>41.029032304705524</v>
      </c>
      <c r="R85" s="113">
        <f t="shared" si="62"/>
        <v>39.387871012517301</v>
      </c>
      <c r="S85" s="113">
        <f t="shared" si="62"/>
        <v>37.812356172016607</v>
      </c>
      <c r="T85" s="113">
        <f t="shared" si="62"/>
        <v>36.299861925135943</v>
      </c>
      <c r="U85" s="113">
        <f t="shared" si="62"/>
        <v>34.847867448130501</v>
      </c>
      <c r="V85" s="113">
        <f t="shared" si="62"/>
        <v>33.453952750205282</v>
      </c>
      <c r="W85" s="113">
        <f t="shared" si="62"/>
        <v>32.115794640197066</v>
      </c>
      <c r="X85" s="113">
        <f t="shared" si="62"/>
        <v>30.831162854589181</v>
      </c>
      <c r="Y85" s="113">
        <f t="shared" si="62"/>
        <v>29.597916340405611</v>
      </c>
      <c r="Z85" s="113">
        <f t="shared" si="62"/>
        <v>28.413999686789385</v>
      </c>
    </row>
    <row r="86" spans="1:26" ht="18.75" x14ac:dyDescent="0.3">
      <c r="A86" s="98" t="s">
        <v>135</v>
      </c>
      <c r="B86" s="111">
        <v>0.82358343106844789</v>
      </c>
      <c r="C86" s="109">
        <f>$C$82*B86</f>
        <v>92241.344279666169</v>
      </c>
      <c r="D86" s="111">
        <v>0.82358343106844789</v>
      </c>
      <c r="E86" s="109">
        <f>$E$82*D86</f>
        <v>92241.344279666169</v>
      </c>
      <c r="F86" s="112">
        <v>0.1497</v>
      </c>
      <c r="G86" s="262">
        <f t="shared" si="63"/>
        <v>31271.901308032455</v>
      </c>
      <c r="H86" s="113">
        <f>J86</f>
        <v>49.49</v>
      </c>
      <c r="I86" s="203">
        <f>H86*G86*15*0.96</f>
        <v>22286108.098577175</v>
      </c>
      <c r="J86" s="268">
        <v>49.49</v>
      </c>
      <c r="K86" s="113">
        <f t="shared" si="62"/>
        <v>47.510399999999997</v>
      </c>
      <c r="L86" s="113">
        <f t="shared" si="62"/>
        <v>45.609983999999997</v>
      </c>
      <c r="M86" s="113">
        <f t="shared" si="62"/>
        <v>43.785584639999996</v>
      </c>
      <c r="N86" s="113">
        <f t="shared" si="62"/>
        <v>42.034161254399997</v>
      </c>
      <c r="O86" s="113">
        <f t="shared" si="62"/>
        <v>40.352794804223997</v>
      </c>
      <c r="P86" s="113">
        <f t="shared" si="62"/>
        <v>38.738683012055034</v>
      </c>
      <c r="Q86" s="113">
        <f t="shared" si="62"/>
        <v>37.18913569157283</v>
      </c>
      <c r="R86" s="113">
        <f t="shared" si="62"/>
        <v>35.701570263909915</v>
      </c>
      <c r="S86" s="113">
        <f t="shared" si="62"/>
        <v>34.273507453353517</v>
      </c>
      <c r="T86" s="113">
        <f t="shared" si="62"/>
        <v>32.902567155219373</v>
      </c>
      <c r="U86" s="113">
        <f t="shared" si="62"/>
        <v>31.586464469010597</v>
      </c>
      <c r="V86" s="113">
        <f t="shared" si="62"/>
        <v>30.323005890250172</v>
      </c>
      <c r="W86" s="113">
        <f t="shared" si="62"/>
        <v>29.110085654640166</v>
      </c>
      <c r="X86" s="113">
        <f t="shared" si="62"/>
        <v>27.945682228454558</v>
      </c>
      <c r="Y86" s="113">
        <f t="shared" si="62"/>
        <v>26.827854939316374</v>
      </c>
      <c r="Z86" s="113">
        <f t="shared" si="62"/>
        <v>25.754740741743717</v>
      </c>
    </row>
    <row r="87" spans="1:26" ht="18.75" x14ac:dyDescent="0.3">
      <c r="A87" s="98" t="s">
        <v>136</v>
      </c>
      <c r="B87" s="111">
        <v>0</v>
      </c>
      <c r="C87" s="109">
        <f>$C$82*B87</f>
        <v>0</v>
      </c>
      <c r="D87" s="111">
        <v>0</v>
      </c>
      <c r="E87" s="109">
        <f>$E$82*D87</f>
        <v>0</v>
      </c>
      <c r="F87" s="112">
        <v>0.15</v>
      </c>
      <c r="G87" s="262">
        <f>F87*E87*8760/1000</f>
        <v>0</v>
      </c>
      <c r="H87" s="113">
        <f>J87</f>
        <v>37.049999999999997</v>
      </c>
      <c r="I87" s="203">
        <f>H87*G87*15*0.96</f>
        <v>0</v>
      </c>
      <c r="J87" s="268">
        <v>37.049999999999997</v>
      </c>
      <c r="K87" s="113">
        <f t="shared" si="62"/>
        <v>35.567999999999998</v>
      </c>
      <c r="L87" s="113">
        <f t="shared" si="62"/>
        <v>34.14528</v>
      </c>
      <c r="M87" s="113">
        <f t="shared" si="62"/>
        <v>32.779468799999997</v>
      </c>
      <c r="N87" s="113">
        <f t="shared" si="62"/>
        <v>31.468290047999997</v>
      </c>
      <c r="O87" s="113">
        <f t="shared" si="62"/>
        <v>30.209558446079996</v>
      </c>
      <c r="P87" s="113">
        <f t="shared" si="62"/>
        <v>29.001176108236795</v>
      </c>
      <c r="Q87" s="113">
        <f t="shared" si="62"/>
        <v>27.841129063907321</v>
      </c>
      <c r="R87" s="113">
        <f t="shared" si="62"/>
        <v>26.727483901351025</v>
      </c>
      <c r="S87" s="113">
        <f t="shared" si="62"/>
        <v>25.658384545296983</v>
      </c>
      <c r="T87" s="113">
        <f t="shared" si="62"/>
        <v>24.632049163485103</v>
      </c>
      <c r="U87" s="113">
        <f t="shared" si="62"/>
        <v>23.646767196945699</v>
      </c>
      <c r="V87" s="113">
        <f t="shared" si="62"/>
        <v>22.700896509067871</v>
      </c>
      <c r="W87" s="113">
        <f t="shared" si="62"/>
        <v>21.792860648705155</v>
      </c>
      <c r="X87" s="113">
        <f t="shared" si="62"/>
        <v>20.921146222756949</v>
      </c>
      <c r="Y87" s="113">
        <f t="shared" si="62"/>
        <v>20.08430037384667</v>
      </c>
      <c r="Z87" s="113">
        <f t="shared" si="62"/>
        <v>19.280928358892801</v>
      </c>
    </row>
    <row r="88" spans="1:26" ht="18.75" x14ac:dyDescent="0.3">
      <c r="A88" s="97"/>
      <c r="B88" s="97"/>
      <c r="C88" s="97"/>
      <c r="D88" s="97"/>
      <c r="E88" s="97"/>
      <c r="F88" s="97"/>
      <c r="G88" s="257"/>
      <c r="H88" s="97"/>
      <c r="I88" s="199" t="s">
        <v>154</v>
      </c>
      <c r="J88" s="270"/>
      <c r="K88" s="97"/>
      <c r="L88" s="97"/>
      <c r="M88" s="97"/>
      <c r="N88" s="97"/>
      <c r="O88" s="97"/>
      <c r="P88" s="97"/>
    </row>
    <row r="89" spans="1:26" ht="18.75" x14ac:dyDescent="0.3">
      <c r="A89" s="97"/>
      <c r="B89" s="97"/>
      <c r="C89" s="97"/>
      <c r="D89" s="97"/>
      <c r="E89" s="97"/>
      <c r="F89" s="97"/>
      <c r="G89" s="257"/>
      <c r="H89" s="119"/>
      <c r="I89" s="199"/>
      <c r="J89" s="124"/>
      <c r="K89" s="119"/>
      <c r="L89" s="119"/>
      <c r="M89" s="119"/>
      <c r="N89" s="119"/>
      <c r="O89" s="119"/>
      <c r="P89" s="119"/>
      <c r="Q89" s="119"/>
      <c r="R89" s="119"/>
      <c r="S89" s="119"/>
      <c r="T89" s="119"/>
      <c r="U89" s="119"/>
      <c r="V89" s="119"/>
      <c r="W89" s="119"/>
      <c r="X89" s="119"/>
      <c r="Y89" s="119"/>
      <c r="Z89" s="119"/>
    </row>
    <row r="90" spans="1:26" ht="18.75" x14ac:dyDescent="0.3">
      <c r="A90" s="97"/>
      <c r="B90" s="97"/>
      <c r="C90" s="97"/>
      <c r="D90" s="97"/>
      <c r="E90" s="97"/>
      <c r="F90" s="97"/>
      <c r="G90" s="257"/>
      <c r="H90" s="119"/>
      <c r="I90" s="199"/>
      <c r="J90" s="124"/>
      <c r="K90" s="119"/>
      <c r="L90" s="119"/>
      <c r="M90" s="119"/>
      <c r="N90" s="119"/>
      <c r="O90" s="119"/>
      <c r="P90" s="119"/>
      <c r="Q90" s="119"/>
      <c r="R90" s="119"/>
      <c r="S90" s="119"/>
      <c r="T90" s="119"/>
      <c r="U90" s="119"/>
      <c r="V90" s="119"/>
      <c r="W90" s="119"/>
      <c r="X90" s="119"/>
      <c r="Y90" s="119"/>
      <c r="Z90" s="119"/>
    </row>
    <row r="91" spans="1:26" ht="18.75" x14ac:dyDescent="0.3">
      <c r="A91" s="97"/>
      <c r="B91" s="97"/>
      <c r="C91" s="97"/>
      <c r="D91" s="97"/>
      <c r="E91" s="97"/>
      <c r="F91" s="97"/>
      <c r="G91" s="257"/>
      <c r="H91" s="97"/>
      <c r="I91" s="199"/>
      <c r="J91" s="120"/>
      <c r="K91" s="97"/>
      <c r="L91" s="97"/>
      <c r="M91" s="97"/>
      <c r="N91" s="97"/>
      <c r="O91" s="97"/>
      <c r="P91" s="97"/>
    </row>
    <row r="92" spans="1:26" ht="37.5" x14ac:dyDescent="0.3">
      <c r="A92" s="2" t="s">
        <v>155</v>
      </c>
      <c r="B92" s="2" t="s">
        <v>156</v>
      </c>
      <c r="C92" s="97"/>
      <c r="D92" s="117" t="s">
        <v>78</v>
      </c>
      <c r="E92" s="97"/>
      <c r="F92" s="97"/>
      <c r="G92" s="257"/>
      <c r="H92" s="97"/>
      <c r="I92" s="199"/>
      <c r="J92" s="120"/>
      <c r="K92" s="97"/>
      <c r="L92" s="97"/>
      <c r="M92" s="97"/>
      <c r="N92" s="97"/>
      <c r="O92" s="97"/>
      <c r="P92" s="97"/>
    </row>
    <row r="93" spans="1:26" ht="18.75" x14ac:dyDescent="0.3">
      <c r="A93" s="98">
        <v>2024</v>
      </c>
      <c r="B93" s="98">
        <v>0.96</v>
      </c>
      <c r="C93" s="97"/>
      <c r="D93" s="98">
        <v>0.995</v>
      </c>
      <c r="E93" s="97"/>
      <c r="F93" s="97"/>
      <c r="G93" s="257"/>
      <c r="H93" s="97"/>
      <c r="I93" s="199"/>
      <c r="J93" s="120"/>
      <c r="K93" s="97"/>
      <c r="L93" s="97"/>
      <c r="M93" s="97"/>
      <c r="N93" s="97"/>
      <c r="O93" s="97"/>
      <c r="P93" s="97"/>
    </row>
    <row r="96" spans="1:26" x14ac:dyDescent="0.25">
      <c r="I96" s="206"/>
      <c r="J96"/>
    </row>
    <row r="97" spans="9:10" x14ac:dyDescent="0.25">
      <c r="I97" s="206"/>
      <c r="J97"/>
    </row>
    <row r="98" spans="9:10" x14ac:dyDescent="0.25">
      <c r="I98" s="206"/>
      <c r="J98"/>
    </row>
    <row r="99" spans="9:10" x14ac:dyDescent="0.25">
      <c r="I99" s="206"/>
      <c r="J99"/>
    </row>
    <row r="100" spans="9:10" x14ac:dyDescent="0.25">
      <c r="I100" s="206"/>
      <c r="J100"/>
    </row>
    <row r="101" spans="9:10" x14ac:dyDescent="0.25">
      <c r="I101" s="206"/>
      <c r="J101"/>
    </row>
    <row r="102" spans="9:10" x14ac:dyDescent="0.25">
      <c r="I102" s="206"/>
      <c r="J102"/>
    </row>
    <row r="103" spans="9:10" x14ac:dyDescent="0.25">
      <c r="I103" s="206"/>
      <c r="J103"/>
    </row>
  </sheetData>
  <printOptions horizontalCentered="1" verticalCentered="1"/>
  <pageMargins left="0.25" right="0.25" top="0.75" bottom="0.75" header="0.3" footer="0.3"/>
  <pageSetup scale="49" fitToHeight="2" orientation="landscape" r:id="rId1"/>
  <headerFooter>
    <oddHeader>&amp;A</oddHeader>
  </headerFooter>
  <rowBreaks count="1" manualBreakCount="1">
    <brk id="57" max="16383" man="1"/>
  </rowBreaks>
  <customProperties>
    <customPr name="GUID" r:id="rId2"/>
  </customProperties>
  <ignoredErrors>
    <ignoredError sqref="I67 I77:I81 I83:I87"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2F2CA-7C17-4904-A133-2C85BDF3CD36}">
  <sheetPr>
    <tabColor theme="7" tint="0.59999389629810485"/>
    <pageSetUpPr fitToPage="1"/>
  </sheetPr>
  <dimension ref="B3:X123"/>
  <sheetViews>
    <sheetView zoomScaleNormal="100" workbookViewId="0">
      <selection activeCell="B28" sqref="B28"/>
    </sheetView>
  </sheetViews>
  <sheetFormatPr defaultColWidth="9.140625" defaultRowHeight="15" x14ac:dyDescent="0.25"/>
  <cols>
    <col min="1" max="1" width="15.42578125" customWidth="1"/>
    <col min="2" max="2" width="45.140625" bestFit="1" customWidth="1"/>
    <col min="3" max="3" width="11.42578125" bestFit="1" customWidth="1"/>
    <col min="4" max="4" width="9.42578125" bestFit="1" customWidth="1"/>
    <col min="5" max="5" width="17.42578125" bestFit="1" customWidth="1"/>
    <col min="6" max="11" width="16.42578125" bestFit="1" customWidth="1"/>
    <col min="12" max="13" width="15.5703125" bestFit="1" customWidth="1"/>
    <col min="14" max="21" width="16.42578125" bestFit="1" customWidth="1"/>
    <col min="22" max="23" width="15.5703125" bestFit="1" customWidth="1"/>
    <col min="24" max="24" width="16.42578125" bestFit="1" customWidth="1"/>
  </cols>
  <sheetData>
    <row r="3" spans="2:24" x14ac:dyDescent="0.25">
      <c r="B3" s="139" t="s">
        <v>157</v>
      </c>
      <c r="C3" s="29"/>
    </row>
    <row r="4" spans="2:24" ht="15.75" x14ac:dyDescent="0.25">
      <c r="B4" s="209"/>
      <c r="C4" s="209"/>
      <c r="D4" s="209"/>
      <c r="E4" s="209"/>
      <c r="F4" s="208" t="s">
        <v>22</v>
      </c>
      <c r="G4" s="208" t="s">
        <v>23</v>
      </c>
      <c r="H4" s="208" t="s">
        <v>24</v>
      </c>
      <c r="I4" s="208" t="s">
        <v>25</v>
      </c>
      <c r="J4" s="208" t="s">
        <v>26</v>
      </c>
      <c r="K4" s="208" t="s">
        <v>27</v>
      </c>
      <c r="L4" s="208" t="s">
        <v>28</v>
      </c>
      <c r="M4" s="208" t="s">
        <v>29</v>
      </c>
      <c r="N4" s="208" t="s">
        <v>30</v>
      </c>
      <c r="O4" s="208" t="s">
        <v>31</v>
      </c>
      <c r="P4" s="208" t="s">
        <v>32</v>
      </c>
      <c r="Q4" s="208" t="s">
        <v>33</v>
      </c>
      <c r="R4" s="208" t="s">
        <v>34</v>
      </c>
      <c r="S4" s="208" t="s">
        <v>35</v>
      </c>
      <c r="T4" s="208" t="s">
        <v>36</v>
      </c>
      <c r="U4" s="208" t="s">
        <v>37</v>
      </c>
      <c r="V4" s="208" t="s">
        <v>38</v>
      </c>
      <c r="W4" s="208" t="s">
        <v>39</v>
      </c>
      <c r="X4" s="208" t="s">
        <v>158</v>
      </c>
    </row>
    <row r="5" spans="2:24" ht="15.75" x14ac:dyDescent="0.25">
      <c r="B5" s="170"/>
      <c r="C5" s="208" t="s">
        <v>159</v>
      </c>
      <c r="D5" s="208" t="s">
        <v>160</v>
      </c>
      <c r="E5" s="208" t="s">
        <v>161</v>
      </c>
      <c r="F5" s="208">
        <v>2025</v>
      </c>
      <c r="G5" s="208">
        <f t="shared" ref="G5:X5" si="0">F5+1</f>
        <v>2026</v>
      </c>
      <c r="H5" s="208">
        <f t="shared" si="0"/>
        <v>2027</v>
      </c>
      <c r="I5" s="208">
        <f t="shared" si="0"/>
        <v>2028</v>
      </c>
      <c r="J5" s="208">
        <f t="shared" si="0"/>
        <v>2029</v>
      </c>
      <c r="K5" s="208">
        <f t="shared" si="0"/>
        <v>2030</v>
      </c>
      <c r="L5" s="208">
        <f t="shared" si="0"/>
        <v>2031</v>
      </c>
      <c r="M5" s="208">
        <f t="shared" si="0"/>
        <v>2032</v>
      </c>
      <c r="N5" s="208">
        <f t="shared" si="0"/>
        <v>2033</v>
      </c>
      <c r="O5" s="208">
        <f t="shared" si="0"/>
        <v>2034</v>
      </c>
      <c r="P5" s="208">
        <f t="shared" si="0"/>
        <v>2035</v>
      </c>
      <c r="Q5" s="208">
        <f t="shared" si="0"/>
        <v>2036</v>
      </c>
      <c r="R5" s="208">
        <f t="shared" si="0"/>
        <v>2037</v>
      </c>
      <c r="S5" s="208">
        <f t="shared" si="0"/>
        <v>2038</v>
      </c>
      <c r="T5" s="208">
        <f t="shared" si="0"/>
        <v>2039</v>
      </c>
      <c r="U5" s="208">
        <f t="shared" si="0"/>
        <v>2040</v>
      </c>
      <c r="V5" s="208">
        <f t="shared" si="0"/>
        <v>2041</v>
      </c>
      <c r="W5" s="208">
        <f t="shared" si="0"/>
        <v>2042</v>
      </c>
      <c r="X5" s="208">
        <f t="shared" si="0"/>
        <v>2043</v>
      </c>
    </row>
    <row r="6" spans="2:24" x14ac:dyDescent="0.25">
      <c r="B6" s="153" t="s">
        <v>162</v>
      </c>
      <c r="C6" s="138"/>
      <c r="D6" s="91"/>
      <c r="E6" s="138">
        <f>SUM(E9:E62)</f>
        <v>17238151.059349291</v>
      </c>
      <c r="F6" s="144"/>
      <c r="G6" s="144"/>
      <c r="H6" s="144"/>
      <c r="I6" s="144"/>
      <c r="J6" s="144"/>
      <c r="K6" s="144"/>
      <c r="L6" s="144"/>
      <c r="M6" s="144"/>
      <c r="N6" s="144"/>
      <c r="O6" s="144"/>
      <c r="P6" s="144"/>
      <c r="Q6" s="144"/>
      <c r="R6" s="144"/>
      <c r="S6" s="144"/>
      <c r="T6" s="144"/>
      <c r="U6" s="144"/>
      <c r="V6" s="144"/>
      <c r="W6" s="144"/>
      <c r="X6" s="144"/>
    </row>
    <row r="7" spans="2:24" x14ac:dyDescent="0.25">
      <c r="B7" s="152" t="s">
        <v>123</v>
      </c>
      <c r="C7" s="151">
        <f>C9+C16+C29+C32+C47+C50</f>
        <v>800000</v>
      </c>
      <c r="D7" s="91"/>
      <c r="E7" s="138">
        <f>SUM(F7:X7)</f>
        <v>17238151.059349298</v>
      </c>
      <c r="F7" s="144">
        <f>F11+F12+F14+F15+F18+F19+F20+F21+F24+F25+F26+F27+F30+F31+F34+F35+F36+F37+F38+F41+F42+F43+F44+F45+F40+F48+F49+F52+F53+F54+F55+F58+F59+F60+F61</f>
        <v>722367.52321452892</v>
      </c>
      <c r="G7" s="144">
        <f>G11+G12+G14+G15+G18+G19+G20+G21+G24+G25+G26+G27+G30+G31+G34+G35+G36+G37+G38+G41+G42+G43+G44+G45+G40+G48+G49+G52+G53+G54+G55+G58+G59+G60+G61</f>
        <v>1086056.879198456</v>
      </c>
      <c r="H7" s="144">
        <f t="shared" ref="H7:X7" si="1">H11+H12+H14+H15+H18+H19+H20+H21+H24+H25+H26+H27+H30+H31+H34+H35+H36+H37+H38+H41+H42+H43+H44+H45+H40+H48+H49+H52+H53+H54+H55+H58+H59+H60+H61</f>
        <v>1080626.5948024637</v>
      </c>
      <c r="I7" s="144">
        <f t="shared" si="1"/>
        <v>1075223.4618284518</v>
      </c>
      <c r="J7" s="144">
        <f t="shared" si="1"/>
        <v>1069847.3445193092</v>
      </c>
      <c r="K7" s="144">
        <f t="shared" si="1"/>
        <v>1064498.1077967125</v>
      </c>
      <c r="L7" s="144">
        <f t="shared" si="1"/>
        <v>1059175.6172577289</v>
      </c>
      <c r="M7" s="144">
        <f t="shared" si="1"/>
        <v>1053879.7391714405</v>
      </c>
      <c r="N7" s="144">
        <f t="shared" si="1"/>
        <v>1048610.3404755832</v>
      </c>
      <c r="O7" s="144">
        <f t="shared" si="1"/>
        <v>1043367.2887732054</v>
      </c>
      <c r="P7" s="144">
        <f t="shared" si="1"/>
        <v>1038150.4523293391</v>
      </c>
      <c r="Q7" s="144">
        <f t="shared" si="1"/>
        <v>1032959.7000676923</v>
      </c>
      <c r="R7" s="144">
        <f t="shared" si="1"/>
        <v>1027794.9015673539</v>
      </c>
      <c r="S7" s="144">
        <f t="shared" si="1"/>
        <v>1022655.9270595174</v>
      </c>
      <c r="T7" s="144">
        <f t="shared" si="1"/>
        <v>1017542.6474242196</v>
      </c>
      <c r="U7" s="144">
        <f t="shared" si="1"/>
        <v>485282.25047801348</v>
      </c>
      <c r="V7" s="144">
        <f t="shared" si="1"/>
        <v>438894.91156197275</v>
      </c>
      <c r="W7" s="144">
        <f t="shared" si="1"/>
        <v>436700.43700416293</v>
      </c>
      <c r="X7" s="144">
        <f t="shared" si="1"/>
        <v>434516.93481914204</v>
      </c>
    </row>
    <row r="8" spans="2:24" x14ac:dyDescent="0.25">
      <c r="B8" s="152" t="s">
        <v>123</v>
      </c>
      <c r="C8" s="151">
        <f>C10+C13+C17+C23+C30+C31+C33+C40+C48+C49+C51+C57</f>
        <v>800000</v>
      </c>
      <c r="D8" s="91"/>
      <c r="E8" s="138">
        <f>SUM(E9:E61)</f>
        <v>17238151.059349291</v>
      </c>
      <c r="F8" s="144">
        <f>F9+F16+F29+F32+F47+F50</f>
        <v>722367.5232145288</v>
      </c>
      <c r="G8" s="144"/>
      <c r="H8" s="144"/>
      <c r="I8" s="144"/>
      <c r="J8" s="144"/>
      <c r="K8" s="144"/>
      <c r="L8" s="144"/>
      <c r="M8" s="144"/>
      <c r="N8" s="144"/>
      <c r="O8" s="144"/>
      <c r="P8" s="144"/>
      <c r="Q8" s="144"/>
      <c r="R8" s="144"/>
      <c r="S8" s="144"/>
      <c r="T8" s="144"/>
      <c r="U8" s="150"/>
      <c r="V8" s="150"/>
      <c r="W8" s="150"/>
      <c r="X8" s="150"/>
    </row>
    <row r="9" spans="2:24" x14ac:dyDescent="0.25">
      <c r="B9" s="12" t="s">
        <v>124</v>
      </c>
      <c r="C9" s="70">
        <f>'ABP Future Assumptions'!C6</f>
        <v>144000</v>
      </c>
      <c r="D9" s="70"/>
      <c r="E9" s="146"/>
      <c r="F9" s="70">
        <f>SUM(F10:F15)</f>
        <v>175000.73172480002</v>
      </c>
      <c r="G9" s="70">
        <f t="shared" ref="G9:X9" si="2">SUM(G10:G15)</f>
        <v>174125.728066176</v>
      </c>
      <c r="H9" s="70">
        <f>SUM(H10:H15)</f>
        <v>173255.09942584514</v>
      </c>
      <c r="I9" s="70">
        <f t="shared" si="2"/>
        <v>172388.82392871589</v>
      </c>
      <c r="J9" s="70">
        <f t="shared" si="2"/>
        <v>171526.87980907233</v>
      </c>
      <c r="K9" s="70">
        <f t="shared" si="2"/>
        <v>170669.24541002695</v>
      </c>
      <c r="L9" s="70">
        <f t="shared" si="2"/>
        <v>169815.89918297681</v>
      </c>
      <c r="M9" s="70">
        <f t="shared" si="2"/>
        <v>168966.81968706194</v>
      </c>
      <c r="N9" s="70">
        <f t="shared" si="2"/>
        <v>168121.98558862665</v>
      </c>
      <c r="O9" s="70">
        <f t="shared" si="2"/>
        <v>167281.37566068349</v>
      </c>
      <c r="P9" s="70">
        <f t="shared" si="2"/>
        <v>166444.96878238008</v>
      </c>
      <c r="Q9" s="70">
        <f t="shared" si="2"/>
        <v>165612.74393846816</v>
      </c>
      <c r="R9" s="70">
        <f t="shared" si="2"/>
        <v>164784.68021877581</v>
      </c>
      <c r="S9" s="70">
        <f t="shared" si="2"/>
        <v>163960.75681768195</v>
      </c>
      <c r="T9" s="70">
        <f t="shared" si="2"/>
        <v>163140.95303359354</v>
      </c>
      <c r="U9" s="70">
        <f t="shared" si="2"/>
        <v>0</v>
      </c>
      <c r="V9" s="70">
        <f t="shared" si="2"/>
        <v>0</v>
      </c>
      <c r="W9" s="70">
        <f t="shared" si="2"/>
        <v>0</v>
      </c>
      <c r="X9" s="70">
        <f t="shared" si="2"/>
        <v>0</v>
      </c>
    </row>
    <row r="10" spans="2:24" x14ac:dyDescent="0.25">
      <c r="B10" s="170" t="s">
        <v>125</v>
      </c>
      <c r="C10" s="165">
        <f>'ABP Future Assumptions'!C7</f>
        <v>43200</v>
      </c>
      <c r="D10" s="165"/>
      <c r="E10" s="145"/>
      <c r="F10" s="144"/>
      <c r="G10" s="144"/>
      <c r="H10" s="144"/>
      <c r="I10" s="144"/>
      <c r="J10" s="144"/>
      <c r="K10" s="144"/>
      <c r="L10" s="144"/>
      <c r="M10" s="144"/>
      <c r="N10" s="144"/>
      <c r="O10" s="144"/>
      <c r="P10" s="144"/>
      <c r="Q10" s="144"/>
      <c r="R10" s="144"/>
      <c r="S10" s="144"/>
      <c r="T10" s="144"/>
      <c r="U10" s="170"/>
      <c r="V10" s="170"/>
      <c r="W10" s="170"/>
      <c r="X10" s="170"/>
    </row>
    <row r="11" spans="2:24" x14ac:dyDescent="0.25">
      <c r="B11" s="209" t="s">
        <v>126</v>
      </c>
      <c r="C11" s="70">
        <f>'ABP Future Assumptions'!C8</f>
        <v>16416</v>
      </c>
      <c r="D11" s="142">
        <f>'ABP Future Assumptions'!F8</f>
        <v>0.14884</v>
      </c>
      <c r="E11" s="146">
        <f>SUM(F11:X11)</f>
        <v>310060.02291591768</v>
      </c>
      <c r="F11" s="11">
        <f>(C11*D11*8760)/1000</f>
        <v>21403.811174400002</v>
      </c>
      <c r="G11" s="11">
        <f>F11*'ABP Future Assumptions'!$D$93</f>
        <v>21296.792118528003</v>
      </c>
      <c r="H11" s="11">
        <f>G11*'ABP Future Assumptions'!$D$93</f>
        <v>21190.308157935364</v>
      </c>
      <c r="I11" s="11">
        <f>H11*'ABP Future Assumptions'!$D$93</f>
        <v>21084.356617145688</v>
      </c>
      <c r="J11" s="11">
        <f>I11*'ABP Future Assumptions'!$D$93</f>
        <v>20978.934834059961</v>
      </c>
      <c r="K11" s="11">
        <f>J11*'ABP Future Assumptions'!$D$93</f>
        <v>20874.040159889661</v>
      </c>
      <c r="L11" s="11">
        <f>K11*'ABP Future Assumptions'!$D$93</f>
        <v>20769.669959090214</v>
      </c>
      <c r="M11" s="11">
        <f>L11*'ABP Future Assumptions'!$D$93</f>
        <v>20665.821609294762</v>
      </c>
      <c r="N11" s="11">
        <f>M11*'ABP Future Assumptions'!$D$93</f>
        <v>20562.492501248289</v>
      </c>
      <c r="O11" s="11">
        <f>N11*'ABP Future Assumptions'!$D$93</f>
        <v>20459.680038742048</v>
      </c>
      <c r="P11" s="11">
        <f>O11*'ABP Future Assumptions'!$D$93</f>
        <v>20357.381638548337</v>
      </c>
      <c r="Q11" s="11">
        <f>P11*'ABP Future Assumptions'!$D$93</f>
        <v>20255.594730355595</v>
      </c>
      <c r="R11" s="11">
        <f>Q11*'ABP Future Assumptions'!$D$93</f>
        <v>20154.316756703818</v>
      </c>
      <c r="S11" s="11">
        <f>R11*'ABP Future Assumptions'!$D$93</f>
        <v>20053.545172920298</v>
      </c>
      <c r="T11" s="11">
        <f>S11*'ABP Future Assumptions'!$D$93</f>
        <v>19953.277447055698</v>
      </c>
      <c r="U11" s="140"/>
      <c r="V11" s="140"/>
      <c r="W11" s="140"/>
      <c r="X11" s="140"/>
    </row>
    <row r="12" spans="2:24" x14ac:dyDescent="0.25">
      <c r="B12" s="209" t="s">
        <v>127</v>
      </c>
      <c r="C12" s="70">
        <f>'ABP Future Assumptions'!C9</f>
        <v>26784</v>
      </c>
      <c r="D12" s="142">
        <f>'ABP Future Assumptions'!F9</f>
        <v>0.15130000000000002</v>
      </c>
      <c r="E12" s="146">
        <f>SUM(F12:X12)</f>
        <v>514248.61931658466</v>
      </c>
      <c r="F12" s="11">
        <f>(C12*D12*8760)/1000</f>
        <v>35499.192192000002</v>
      </c>
      <c r="G12" s="11">
        <f>F12*'ABP Future Assumptions'!$D$93</f>
        <v>35321.696231040005</v>
      </c>
      <c r="H12" s="11">
        <f>G12*'ABP Future Assumptions'!$D$93</f>
        <v>35145.087749884806</v>
      </c>
      <c r="I12" s="11">
        <f>H12*'ABP Future Assumptions'!$D$93</f>
        <v>34969.362311135381</v>
      </c>
      <c r="J12" s="11">
        <f>I12*'ABP Future Assumptions'!$D$93</f>
        <v>34794.515499579706</v>
      </c>
      <c r="K12" s="11">
        <f>J12*'ABP Future Assumptions'!$D$93</f>
        <v>34620.542922081804</v>
      </c>
      <c r="L12" s="11">
        <f>K12*'ABP Future Assumptions'!$D$93</f>
        <v>34447.440207471394</v>
      </c>
      <c r="M12" s="11">
        <f>L12*'ABP Future Assumptions'!$D$93</f>
        <v>34275.203006434036</v>
      </c>
      <c r="N12" s="11">
        <f>M12*'ABP Future Assumptions'!$D$93</f>
        <v>34103.826991401867</v>
      </c>
      <c r="O12" s="11">
        <f>N12*'ABP Future Assumptions'!$D$93</f>
        <v>33933.307856444859</v>
      </c>
      <c r="P12" s="11">
        <f>O12*'ABP Future Assumptions'!$D$93</f>
        <v>33763.641317162634</v>
      </c>
      <c r="Q12" s="11">
        <f>P12*'ABP Future Assumptions'!$D$93</f>
        <v>33594.823110576821</v>
      </c>
      <c r="R12" s="11">
        <f>Q12*'ABP Future Assumptions'!$D$93</f>
        <v>33426.848995023938</v>
      </c>
      <c r="S12" s="11">
        <f>R12*'ABP Future Assumptions'!$D$93</f>
        <v>33259.714750048821</v>
      </c>
      <c r="T12" s="11">
        <f>S12*'ABP Future Assumptions'!$D$93</f>
        <v>33093.416176298575</v>
      </c>
      <c r="U12" s="140"/>
      <c r="V12" s="140"/>
      <c r="W12" s="140"/>
      <c r="X12" s="140"/>
    </row>
    <row r="13" spans="2:24" x14ac:dyDescent="0.25">
      <c r="B13" s="170" t="s">
        <v>128</v>
      </c>
      <c r="C13" s="165">
        <f>'ABP Future Assumptions'!C10</f>
        <v>100800</v>
      </c>
      <c r="D13" s="142"/>
      <c r="E13" s="145"/>
      <c r="F13" s="144"/>
      <c r="G13" s="11"/>
      <c r="H13" s="144"/>
      <c r="I13" s="144"/>
      <c r="J13" s="144"/>
      <c r="K13" s="144"/>
      <c r="L13" s="144"/>
      <c r="M13" s="144"/>
      <c r="N13" s="144"/>
      <c r="O13" s="144"/>
      <c r="P13" s="144"/>
      <c r="Q13" s="144"/>
      <c r="R13" s="144"/>
      <c r="S13" s="144"/>
      <c r="T13" s="144"/>
      <c r="U13" s="170"/>
      <c r="V13" s="170"/>
      <c r="W13" s="170"/>
      <c r="X13" s="170"/>
    </row>
    <row r="14" spans="2:24" x14ac:dyDescent="0.25">
      <c r="B14" s="209" t="s">
        <v>129</v>
      </c>
      <c r="C14" s="70">
        <f>'ABP Future Assumptions'!C11</f>
        <v>38304</v>
      </c>
      <c r="D14" s="142">
        <f>'ABP Future Assumptions'!F11</f>
        <v>0.13464999999999999</v>
      </c>
      <c r="E14" s="146">
        <f>SUM(F14:X14)</f>
        <v>654499.40562437999</v>
      </c>
      <c r="F14" s="11">
        <f>(C14*D14*8760)/1000</f>
        <v>45180.870336</v>
      </c>
      <c r="G14" s="11">
        <f>F14*'ABP Future Assumptions'!$D$93</f>
        <v>44954.965984319999</v>
      </c>
      <c r="H14" s="11">
        <f>G14*'ABP Future Assumptions'!$D$93</f>
        <v>44730.191154398395</v>
      </c>
      <c r="I14" s="11">
        <f>H14*'ABP Future Assumptions'!$D$93</f>
        <v>44506.540198626404</v>
      </c>
      <c r="J14" s="11">
        <f>I14*'ABP Future Assumptions'!$D$93</f>
        <v>44284.007497633269</v>
      </c>
      <c r="K14" s="11">
        <f>J14*'ABP Future Assumptions'!$D$93</f>
        <v>44062.5874601451</v>
      </c>
      <c r="L14" s="11">
        <f>K14*'ABP Future Assumptions'!$D$93</f>
        <v>43842.274522844375</v>
      </c>
      <c r="M14" s="11">
        <f>L14*'ABP Future Assumptions'!$D$93</f>
        <v>43623.063150230155</v>
      </c>
      <c r="N14" s="11">
        <f>M14*'ABP Future Assumptions'!$D$93</f>
        <v>43404.947834479004</v>
      </c>
      <c r="O14" s="11">
        <f>N14*'ABP Future Assumptions'!$D$93</f>
        <v>43187.923095306607</v>
      </c>
      <c r="P14" s="11">
        <f>O14*'ABP Future Assumptions'!$D$93</f>
        <v>42971.983479830073</v>
      </c>
      <c r="Q14" s="11">
        <f>P14*'ABP Future Assumptions'!$D$93</f>
        <v>42757.123562430919</v>
      </c>
      <c r="R14" s="11">
        <f>Q14*'ABP Future Assumptions'!$D$93</f>
        <v>42543.337944618761</v>
      </c>
      <c r="S14" s="11">
        <f>R14*'ABP Future Assumptions'!$D$93</f>
        <v>42330.621254895668</v>
      </c>
      <c r="T14" s="11">
        <f>S14*'ABP Future Assumptions'!$D$93</f>
        <v>42118.968148621192</v>
      </c>
      <c r="U14" s="140"/>
      <c r="V14" s="140"/>
      <c r="W14" s="140"/>
      <c r="X14" s="140"/>
    </row>
    <row r="15" spans="2:24" x14ac:dyDescent="0.25">
      <c r="B15" s="209" t="s">
        <v>127</v>
      </c>
      <c r="C15" s="70">
        <f>'ABP Future Assumptions'!C12</f>
        <v>62496</v>
      </c>
      <c r="D15" s="142">
        <f>'ABP Future Assumptions'!F12</f>
        <v>0.13319</v>
      </c>
      <c r="E15" s="146">
        <f>SUM(F15:X15)</f>
        <v>1056288.6434180024</v>
      </c>
      <c r="F15" s="11">
        <f>(C15*D15*8760)/1000</f>
        <v>72916.858022400003</v>
      </c>
      <c r="G15" s="11">
        <f>F15*'ABP Future Assumptions'!$D$93</f>
        <v>72552.273732287998</v>
      </c>
      <c r="H15" s="11">
        <f>G15*'ABP Future Assumptions'!$D$93</f>
        <v>72189.512363626563</v>
      </c>
      <c r="I15" s="11">
        <f>H15*'ABP Future Assumptions'!$D$93</f>
        <v>71828.564801808432</v>
      </c>
      <c r="J15" s="11">
        <f>I15*'ABP Future Assumptions'!$D$93</f>
        <v>71469.421977799386</v>
      </c>
      <c r="K15" s="11">
        <f>J15*'ABP Future Assumptions'!$D$93</f>
        <v>71112.074867910385</v>
      </c>
      <c r="L15" s="11">
        <f>K15*'ABP Future Assumptions'!$D$93</f>
        <v>70756.514493570838</v>
      </c>
      <c r="M15" s="11">
        <f>L15*'ABP Future Assumptions'!$D$93</f>
        <v>70402.731921102983</v>
      </c>
      <c r="N15" s="11">
        <f>M15*'ABP Future Assumptions'!$D$93</f>
        <v>70050.718261497474</v>
      </c>
      <c r="O15" s="11">
        <f>N15*'ABP Future Assumptions'!$D$93</f>
        <v>69700.464670189991</v>
      </c>
      <c r="P15" s="11">
        <f>O15*'ABP Future Assumptions'!$D$93</f>
        <v>69351.962346839035</v>
      </c>
      <c r="Q15" s="11">
        <f>P15*'ABP Future Assumptions'!$D$93</f>
        <v>69005.202535104836</v>
      </c>
      <c r="R15" s="11">
        <f>Q15*'ABP Future Assumptions'!$D$93</f>
        <v>68660.176522429305</v>
      </c>
      <c r="S15" s="11">
        <f>R15*'ABP Future Assumptions'!$D$93</f>
        <v>68316.875639817154</v>
      </c>
      <c r="T15" s="11">
        <f>S15*'ABP Future Assumptions'!$D$93</f>
        <v>67975.291261618069</v>
      </c>
      <c r="U15" s="140"/>
      <c r="V15" s="140"/>
      <c r="W15" s="140"/>
      <c r="X15" s="140"/>
    </row>
    <row r="16" spans="2:24" x14ac:dyDescent="0.25">
      <c r="B16" s="12" t="s">
        <v>130</v>
      </c>
      <c r="C16" s="70">
        <f>'ABP Future Assumptions'!C13</f>
        <v>144000</v>
      </c>
      <c r="D16" s="148"/>
      <c r="E16" s="145"/>
      <c r="F16" s="147">
        <f>SUM(F18:F27)</f>
        <v>186317.64885302942</v>
      </c>
      <c r="G16" s="147">
        <f t="shared" ref="G16:X16" si="3">SUM(G18:G27)</f>
        <v>185386.06060876427</v>
      </c>
      <c r="H16" s="147">
        <f t="shared" si="3"/>
        <v>184459.13030572043</v>
      </c>
      <c r="I16" s="147">
        <f t="shared" si="3"/>
        <v>183536.83465419186</v>
      </c>
      <c r="J16" s="147">
        <f t="shared" si="3"/>
        <v>182619.15048092086</v>
      </c>
      <c r="K16" s="147">
        <f t="shared" si="3"/>
        <v>181706.05472851626</v>
      </c>
      <c r="L16" s="147">
        <f t="shared" si="3"/>
        <v>180797.5244548737</v>
      </c>
      <c r="M16" s="147">
        <f t="shared" si="3"/>
        <v>179893.53683259932</v>
      </c>
      <c r="N16" s="147">
        <f t="shared" si="3"/>
        <v>178994.06914843631</v>
      </c>
      <c r="O16" s="147">
        <f t="shared" si="3"/>
        <v>178099.09880269412</v>
      </c>
      <c r="P16" s="147">
        <f t="shared" si="3"/>
        <v>177208.60330868064</v>
      </c>
      <c r="Q16" s="147">
        <f t="shared" si="3"/>
        <v>176322.56029213726</v>
      </c>
      <c r="R16" s="147">
        <f t="shared" si="3"/>
        <v>175440.9474906766</v>
      </c>
      <c r="S16" s="147">
        <f t="shared" si="3"/>
        <v>174563.7427532232</v>
      </c>
      <c r="T16" s="147">
        <f t="shared" si="3"/>
        <v>173690.92403945705</v>
      </c>
      <c r="U16" s="147">
        <f t="shared" si="3"/>
        <v>0</v>
      </c>
      <c r="V16" s="147">
        <f t="shared" si="3"/>
        <v>0</v>
      </c>
      <c r="W16" s="147">
        <f t="shared" si="3"/>
        <v>0</v>
      </c>
      <c r="X16" s="147">
        <f t="shared" si="3"/>
        <v>0</v>
      </c>
    </row>
    <row r="17" spans="2:24" x14ac:dyDescent="0.25">
      <c r="B17" s="170" t="s">
        <v>131</v>
      </c>
      <c r="C17" s="165">
        <f>'ABP Future Assumptions'!C14</f>
        <v>43200</v>
      </c>
      <c r="D17" s="95"/>
      <c r="E17" s="145"/>
      <c r="F17" s="144"/>
      <c r="G17" s="144"/>
      <c r="H17" s="144"/>
      <c r="I17" s="144"/>
      <c r="J17" s="144"/>
      <c r="K17" s="144"/>
      <c r="L17" s="144"/>
      <c r="M17" s="144"/>
      <c r="N17" s="144"/>
      <c r="O17" s="144"/>
      <c r="P17" s="144"/>
      <c r="Q17" s="144"/>
      <c r="R17" s="144"/>
      <c r="S17" s="144"/>
      <c r="T17" s="144"/>
      <c r="U17" s="170"/>
      <c r="V17" s="170"/>
      <c r="W17" s="170"/>
      <c r="X17" s="170"/>
    </row>
    <row r="18" spans="2:24" x14ac:dyDescent="0.25">
      <c r="B18" s="209" t="s">
        <v>132</v>
      </c>
      <c r="C18" s="70">
        <f>'ABP Future Assumptions'!C15</f>
        <v>3567.8818691276247</v>
      </c>
      <c r="D18" s="142">
        <f>'ABP Future Assumptions'!F15</f>
        <v>0.15196999999999999</v>
      </c>
      <c r="E18" s="146">
        <f>SUM(F18:X18)</f>
        <v>68806.125008722694</v>
      </c>
      <c r="F18" s="11">
        <f>(C18*D18*8760)/1000</f>
        <v>4749.7684270256077</v>
      </c>
      <c r="G18" s="11">
        <f>F18*'ABP Future Assumptions'!$D$93</f>
        <v>4726.0195848904796</v>
      </c>
      <c r="H18" s="11">
        <f>G18*'ABP Future Assumptions'!$D$93</f>
        <v>4702.3894869660271</v>
      </c>
      <c r="I18" s="11">
        <f>H18*'ABP Future Assumptions'!$D$93</f>
        <v>4678.8775395311968</v>
      </c>
      <c r="J18" s="11">
        <f>I18*'ABP Future Assumptions'!$D$93</f>
        <v>4655.4831518335404</v>
      </c>
      <c r="K18" s="11">
        <f>J18*'ABP Future Assumptions'!$D$93</f>
        <v>4632.2057360743729</v>
      </c>
      <c r="L18" s="11">
        <f>K18*'ABP Future Assumptions'!$D$93</f>
        <v>4609.0447073940013</v>
      </c>
      <c r="M18" s="11">
        <f>L18*'ABP Future Assumptions'!$D$93</f>
        <v>4585.999483857031</v>
      </c>
      <c r="N18" s="11">
        <f>M18*'ABP Future Assumptions'!$D$93</f>
        <v>4563.0694864377456</v>
      </c>
      <c r="O18" s="11">
        <f>N18*'ABP Future Assumptions'!$D$93</f>
        <v>4540.2541390055567</v>
      </c>
      <c r="P18" s="11">
        <f>O18*'ABP Future Assumptions'!$D$93</f>
        <v>4517.5528683105285</v>
      </c>
      <c r="Q18" s="11">
        <f>P18*'ABP Future Assumptions'!$D$93</f>
        <v>4494.9651039689761</v>
      </c>
      <c r="R18" s="11">
        <f>Q18*'ABP Future Assumptions'!$D$93</f>
        <v>4472.4902784491314</v>
      </c>
      <c r="S18" s="11">
        <f>R18*'ABP Future Assumptions'!$D$93</f>
        <v>4450.1278270568855</v>
      </c>
      <c r="T18" s="11">
        <f>S18*'ABP Future Assumptions'!$D$93</f>
        <v>4427.877187921601</v>
      </c>
      <c r="U18" s="140"/>
      <c r="V18" s="140"/>
      <c r="W18" s="140"/>
      <c r="X18" s="140"/>
    </row>
    <row r="19" spans="2:24" x14ac:dyDescent="0.25">
      <c r="B19" s="209" t="s">
        <v>133</v>
      </c>
      <c r="C19" s="70">
        <f>'ABP Future Assumptions'!C16</f>
        <v>2756.0186192949609</v>
      </c>
      <c r="D19" s="142">
        <f>'ABP Future Assumptions'!F16</f>
        <v>0.14819000000000002</v>
      </c>
      <c r="E19" s="146">
        <f>SUM(F19:X19)</f>
        <v>51827.446897442729</v>
      </c>
      <c r="F19" s="11">
        <f>(C19*D19*8760)/1000</f>
        <v>3577.710136933486</v>
      </c>
      <c r="G19" s="11">
        <f>F19*'ABP Future Assumptions'!$D$93</f>
        <v>3559.8215862488187</v>
      </c>
      <c r="H19" s="11">
        <f>G19*'ABP Future Assumptions'!$D$93</f>
        <v>3542.0224783175745</v>
      </c>
      <c r="I19" s="11">
        <f>H19*'ABP Future Assumptions'!$D$93</f>
        <v>3524.3123659259868</v>
      </c>
      <c r="J19" s="11">
        <f>I19*'ABP Future Assumptions'!$D$93</f>
        <v>3506.6908040963567</v>
      </c>
      <c r="K19" s="11">
        <f>J19*'ABP Future Assumptions'!$D$93</f>
        <v>3489.157350075875</v>
      </c>
      <c r="L19" s="11">
        <f>K19*'ABP Future Assumptions'!$D$93</f>
        <v>3471.7115633254957</v>
      </c>
      <c r="M19" s="11">
        <f>L19*'ABP Future Assumptions'!$D$93</f>
        <v>3454.3530055088681</v>
      </c>
      <c r="N19" s="11">
        <f>M19*'ABP Future Assumptions'!$D$93</f>
        <v>3437.0812404813237</v>
      </c>
      <c r="O19" s="11">
        <f>N19*'ABP Future Assumptions'!$D$93</f>
        <v>3419.8958342789169</v>
      </c>
      <c r="P19" s="11">
        <f>O19*'ABP Future Assumptions'!$D$93</f>
        <v>3402.7963551075222</v>
      </c>
      <c r="Q19" s="11">
        <f>P19*'ABP Future Assumptions'!$D$93</f>
        <v>3385.7823733319847</v>
      </c>
      <c r="R19" s="11">
        <f>Q19*'ABP Future Assumptions'!$D$93</f>
        <v>3368.8534614653249</v>
      </c>
      <c r="S19" s="11">
        <f>R19*'ABP Future Assumptions'!$D$93</f>
        <v>3352.0091941579981</v>
      </c>
      <c r="T19" s="11">
        <f>S19*'ABP Future Assumptions'!$D$93</f>
        <v>3335.249148187208</v>
      </c>
      <c r="U19" s="140"/>
      <c r="V19" s="140"/>
      <c r="W19" s="140"/>
      <c r="X19" s="140"/>
    </row>
    <row r="20" spans="2:24" x14ac:dyDescent="0.25">
      <c r="B20" s="209" t="s">
        <v>134</v>
      </c>
      <c r="C20" s="70">
        <f>'ABP Future Assumptions'!C17</f>
        <v>6397.5881171745195</v>
      </c>
      <c r="D20" s="142">
        <f>'ABP Future Assumptions'!F17</f>
        <v>0.15303</v>
      </c>
      <c r="E20" s="146">
        <f>SUM(F20:X20)</f>
        <v>124237.19133654871</v>
      </c>
      <c r="F20" s="11">
        <f>(C20*D20*8760)/1000</f>
        <v>8576.2406878438596</v>
      </c>
      <c r="G20" s="11">
        <f>F20*'ABP Future Assumptions'!$D$93</f>
        <v>8533.3594844046402</v>
      </c>
      <c r="H20" s="11">
        <f>G20*'ABP Future Assumptions'!$D$93</f>
        <v>8490.6926869826166</v>
      </c>
      <c r="I20" s="11">
        <f>H20*'ABP Future Assumptions'!$D$93</f>
        <v>8448.2392235477037</v>
      </c>
      <c r="J20" s="11">
        <f>I20*'ABP Future Assumptions'!$D$93</f>
        <v>8405.9980274299651</v>
      </c>
      <c r="K20" s="11">
        <f>J20*'ABP Future Assumptions'!$D$93</f>
        <v>8363.968037292816</v>
      </c>
      <c r="L20" s="11">
        <f>K20*'ABP Future Assumptions'!$D$93</f>
        <v>8322.1481971063513</v>
      </c>
      <c r="M20" s="11">
        <f>L20*'ABP Future Assumptions'!$D$93</f>
        <v>8280.5374561208191</v>
      </c>
      <c r="N20" s="11">
        <f>M20*'ABP Future Assumptions'!$D$93</f>
        <v>8239.1347688402147</v>
      </c>
      <c r="O20" s="11">
        <f>N20*'ABP Future Assumptions'!$D$93</f>
        <v>8197.9390949960143</v>
      </c>
      <c r="P20" s="11">
        <f>O20*'ABP Future Assumptions'!$D$93</f>
        <v>8156.9493995210341</v>
      </c>
      <c r="Q20" s="11">
        <f>P20*'ABP Future Assumptions'!$D$93</f>
        <v>8116.1646525234291</v>
      </c>
      <c r="R20" s="11">
        <f>Q20*'ABP Future Assumptions'!$D$93</f>
        <v>8075.5838292608123</v>
      </c>
      <c r="S20" s="11">
        <f>R20*'ABP Future Assumptions'!$D$93</f>
        <v>8035.2059101145078</v>
      </c>
      <c r="T20" s="11">
        <f>S20*'ABP Future Assumptions'!$D$93</f>
        <v>7995.029880563935</v>
      </c>
      <c r="U20" s="140"/>
      <c r="V20" s="140"/>
      <c r="W20" s="140"/>
      <c r="X20" s="140"/>
    </row>
    <row r="21" spans="2:24" x14ac:dyDescent="0.25">
      <c r="B21" s="209" t="s">
        <v>141</v>
      </c>
      <c r="C21" s="70">
        <f>'ABP Future Assumptions'!C18</f>
        <v>30478.423303991953</v>
      </c>
      <c r="D21" s="142">
        <f>'ABP Future Assumptions'!F18</f>
        <v>0.14410999999999999</v>
      </c>
      <c r="E21" s="146">
        <f>SUM(F21:X21)</f>
        <v>557372.3040342984</v>
      </c>
      <c r="F21" s="11">
        <f>(C21*D21*8760)/1000</f>
        <v>38476.071301283329</v>
      </c>
      <c r="G21" s="11">
        <f>F21*'ABP Future Assumptions'!$D$93</f>
        <v>38283.690944776914</v>
      </c>
      <c r="H21" s="11">
        <f>G21*'ABP Future Assumptions'!$D$93</f>
        <v>38092.27249005303</v>
      </c>
      <c r="I21" s="11">
        <f>H21*'ABP Future Assumptions'!$D$93</f>
        <v>37901.811127602763</v>
      </c>
      <c r="J21" s="11">
        <f>I21*'ABP Future Assumptions'!$D$93</f>
        <v>37712.302071964747</v>
      </c>
      <c r="K21" s="11">
        <f>J21*'ABP Future Assumptions'!$D$93</f>
        <v>37523.740561604922</v>
      </c>
      <c r="L21" s="11">
        <f>K21*'ABP Future Assumptions'!$D$93</f>
        <v>37336.121858796898</v>
      </c>
      <c r="M21" s="11">
        <f>L21*'ABP Future Assumptions'!$D$93</f>
        <v>37149.44124950291</v>
      </c>
      <c r="N21" s="11">
        <f>M21*'ABP Future Assumptions'!$D$93</f>
        <v>36963.694043255397</v>
      </c>
      <c r="O21" s="11">
        <f>N21*'ABP Future Assumptions'!$D$93</f>
        <v>36778.87557303912</v>
      </c>
      <c r="P21" s="11">
        <f>O21*'ABP Future Assumptions'!$D$93</f>
        <v>36594.981195173925</v>
      </c>
      <c r="Q21" s="11">
        <f>P21*'ABP Future Assumptions'!$D$93</f>
        <v>36412.006289198056</v>
      </c>
      <c r="R21" s="11">
        <f>Q21*'ABP Future Assumptions'!$D$93</f>
        <v>36229.946257752068</v>
      </c>
      <c r="S21" s="11">
        <f>R21*'ABP Future Assumptions'!$D$93</f>
        <v>36048.796526463309</v>
      </c>
      <c r="T21" s="11">
        <f>S21*'ABP Future Assumptions'!$D$93</f>
        <v>35868.552543830992</v>
      </c>
      <c r="U21" s="140"/>
      <c r="V21" s="140"/>
      <c r="W21" s="140"/>
      <c r="X21" s="140"/>
    </row>
    <row r="22" spans="2:24" x14ac:dyDescent="0.25">
      <c r="B22" s="209" t="s">
        <v>136</v>
      </c>
      <c r="C22" s="70">
        <f>'ABP Future Assumptions'!C19</f>
        <v>0</v>
      </c>
      <c r="D22" s="142">
        <f>'ABP Future Assumptions'!F19</f>
        <v>0</v>
      </c>
      <c r="E22" s="146"/>
      <c r="F22" s="11"/>
      <c r="G22" s="11"/>
      <c r="H22" s="11"/>
      <c r="I22" s="11"/>
      <c r="J22" s="11"/>
      <c r="K22" s="11"/>
      <c r="L22" s="11"/>
      <c r="M22" s="11"/>
      <c r="N22" s="11"/>
      <c r="O22" s="11"/>
      <c r="P22" s="11"/>
      <c r="Q22" s="11"/>
      <c r="R22" s="11"/>
      <c r="S22" s="11"/>
      <c r="T22" s="11"/>
      <c r="U22" s="140"/>
      <c r="V22" s="140"/>
      <c r="W22" s="140"/>
      <c r="X22" s="140"/>
    </row>
    <row r="23" spans="2:24" x14ac:dyDescent="0.25">
      <c r="B23" s="170" t="s">
        <v>137</v>
      </c>
      <c r="C23" s="165">
        <f>'ABP Future Assumptions'!C20</f>
        <v>100800</v>
      </c>
      <c r="D23" s="95"/>
      <c r="E23" s="145"/>
      <c r="F23" s="144"/>
      <c r="G23" s="11"/>
      <c r="H23" s="144"/>
      <c r="I23" s="144"/>
      <c r="J23" s="144"/>
      <c r="K23" s="144"/>
      <c r="L23" s="144"/>
      <c r="M23" s="144"/>
      <c r="N23" s="144"/>
      <c r="O23" s="144"/>
      <c r="P23" s="144"/>
      <c r="Q23" s="144"/>
      <c r="R23" s="144"/>
      <c r="S23" s="144"/>
      <c r="T23" s="144"/>
      <c r="U23" s="170"/>
      <c r="V23" s="170"/>
      <c r="W23" s="170"/>
      <c r="X23" s="170"/>
    </row>
    <row r="24" spans="2:24" x14ac:dyDescent="0.25">
      <c r="B24" s="209" t="s">
        <v>138</v>
      </c>
      <c r="C24" s="70">
        <f>'ABP Future Assumptions'!C21</f>
        <v>3812.0652696968373</v>
      </c>
      <c r="D24" s="142">
        <f>'ABP Future Assumptions'!F21</f>
        <v>0.14305999999999999</v>
      </c>
      <c r="E24" s="146">
        <f>SUM(F24:X24)</f>
        <v>69204.975413018081</v>
      </c>
      <c r="F24" s="11">
        <f>(C24*D24*8760)/1000</f>
        <v>4777.3015435495863</v>
      </c>
      <c r="G24" s="11">
        <f>F24*'ABP Future Assumptions'!$D$93</f>
        <v>4753.4150358318384</v>
      </c>
      <c r="H24" s="11">
        <f>G24*'ABP Future Assumptions'!$D$93</f>
        <v>4729.6479606526791</v>
      </c>
      <c r="I24" s="11">
        <f>H24*'ABP Future Assumptions'!$D$93</f>
        <v>4705.999720849416</v>
      </c>
      <c r="J24" s="11">
        <f>I24*'ABP Future Assumptions'!$D$93</f>
        <v>4682.4697222451687</v>
      </c>
      <c r="K24" s="11">
        <f>J24*'ABP Future Assumptions'!$D$93</f>
        <v>4659.0573736339429</v>
      </c>
      <c r="L24" s="11">
        <f>K24*'ABP Future Assumptions'!$D$93</f>
        <v>4635.7620867657733</v>
      </c>
      <c r="M24" s="11">
        <f>L24*'ABP Future Assumptions'!$D$93</f>
        <v>4612.583276331944</v>
      </c>
      <c r="N24" s="11">
        <f>M24*'ABP Future Assumptions'!$D$93</f>
        <v>4589.5203599502847</v>
      </c>
      <c r="O24" s="11">
        <f>N24*'ABP Future Assumptions'!$D$93</f>
        <v>4566.5727581505334</v>
      </c>
      <c r="P24" s="11">
        <f>O24*'ABP Future Assumptions'!$D$93</f>
        <v>4543.7398943597809</v>
      </c>
      <c r="Q24" s="11">
        <f>P24*'ABP Future Assumptions'!$D$93</f>
        <v>4521.0211948879823</v>
      </c>
      <c r="R24" s="11">
        <f>Q24*'ABP Future Assumptions'!$D$93</f>
        <v>4498.4160889135428</v>
      </c>
      <c r="S24" s="11">
        <f>R24*'ABP Future Assumptions'!$D$93</f>
        <v>4475.9240084689754</v>
      </c>
      <c r="T24" s="11">
        <f>S24*'ABP Future Assumptions'!$D$93</f>
        <v>4453.5443884266306</v>
      </c>
      <c r="U24" s="140"/>
      <c r="V24" s="140"/>
      <c r="W24" s="140"/>
      <c r="X24" s="140"/>
    </row>
    <row r="25" spans="2:24" x14ac:dyDescent="0.25">
      <c r="B25" s="209" t="s">
        <v>133</v>
      </c>
      <c r="C25" s="70">
        <f>'ABP Future Assumptions'!C22</f>
        <v>2968.4588127214665</v>
      </c>
      <c r="D25" s="142">
        <f>'ABP Future Assumptions'!F22</f>
        <v>0.14176</v>
      </c>
      <c r="E25" s="146">
        <f>SUM(F25:X25)</f>
        <v>53400.276042635815</v>
      </c>
      <c r="F25" s="11">
        <f>(C25*D25*8760)/1000</f>
        <v>3686.284398512621</v>
      </c>
      <c r="G25" s="11">
        <f>F25*'ABP Future Assumptions'!$D$93</f>
        <v>3667.8529765200578</v>
      </c>
      <c r="H25" s="11">
        <f>G25*'ABP Future Assumptions'!$D$93</f>
        <v>3649.5137116374576</v>
      </c>
      <c r="I25" s="11">
        <f>H25*'ABP Future Assumptions'!$D$93</f>
        <v>3631.2661430792705</v>
      </c>
      <c r="J25" s="11">
        <f>I25*'ABP Future Assumptions'!$D$93</f>
        <v>3613.109812363874</v>
      </c>
      <c r="K25" s="11">
        <f>J25*'ABP Future Assumptions'!$D$93</f>
        <v>3595.0442633020548</v>
      </c>
      <c r="L25" s="11">
        <f>K25*'ABP Future Assumptions'!$D$93</f>
        <v>3577.0690419855446</v>
      </c>
      <c r="M25" s="11">
        <f>L25*'ABP Future Assumptions'!$D$93</f>
        <v>3559.1836967756167</v>
      </c>
      <c r="N25" s="11">
        <f>M25*'ABP Future Assumptions'!$D$93</f>
        <v>3541.3877782917384</v>
      </c>
      <c r="O25" s="11">
        <f>N25*'ABP Future Assumptions'!$D$93</f>
        <v>3523.6808394002796</v>
      </c>
      <c r="P25" s="11">
        <f>O25*'ABP Future Assumptions'!$D$93</f>
        <v>3506.0624352032783</v>
      </c>
      <c r="Q25" s="11">
        <f>P25*'ABP Future Assumptions'!$D$93</f>
        <v>3488.5321230272621</v>
      </c>
      <c r="R25" s="11">
        <f>Q25*'ABP Future Assumptions'!$D$93</f>
        <v>3471.0894624121256</v>
      </c>
      <c r="S25" s="11">
        <f>R25*'ABP Future Assumptions'!$D$93</f>
        <v>3453.7340151000649</v>
      </c>
      <c r="T25" s="11">
        <f>S25*'ABP Future Assumptions'!$D$93</f>
        <v>3436.4653450245646</v>
      </c>
      <c r="U25" s="140"/>
      <c r="V25" s="140"/>
      <c r="W25" s="140"/>
      <c r="X25" s="140"/>
    </row>
    <row r="26" spans="2:24" x14ac:dyDescent="0.25">
      <c r="B26" s="209" t="s">
        <v>134</v>
      </c>
      <c r="C26" s="70">
        <f>'ABP Future Assumptions'!C23</f>
        <v>11002.231068725665</v>
      </c>
      <c r="D26" s="142">
        <f>'ABP Future Assumptions'!F23</f>
        <v>0.14119000000000001</v>
      </c>
      <c r="E26" s="146">
        <f>SUM(F26:X26)</f>
        <v>197125.80052222061</v>
      </c>
      <c r="F26" s="11">
        <f>(C26*D26*8760)/1000</f>
        <v>13607.82784023798</v>
      </c>
      <c r="G26" s="11">
        <f>F26*'ABP Future Assumptions'!$D$93</f>
        <v>13539.78870103679</v>
      </c>
      <c r="H26" s="11">
        <f>G26*'ABP Future Assumptions'!$D$93</f>
        <v>13472.089757531607</v>
      </c>
      <c r="I26" s="11">
        <f>H26*'ABP Future Assumptions'!$D$93</f>
        <v>13404.729308743948</v>
      </c>
      <c r="J26" s="11">
        <f>I26*'ABP Future Assumptions'!$D$93</f>
        <v>13337.705662200229</v>
      </c>
      <c r="K26" s="11">
        <f>J26*'ABP Future Assumptions'!$D$93</f>
        <v>13271.017133889229</v>
      </c>
      <c r="L26" s="11">
        <f>K26*'ABP Future Assumptions'!$D$93</f>
        <v>13204.662048219783</v>
      </c>
      <c r="M26" s="11">
        <f>L26*'ABP Future Assumptions'!$D$93</f>
        <v>13138.638737978685</v>
      </c>
      <c r="N26" s="11">
        <f>M26*'ABP Future Assumptions'!$D$93</f>
        <v>13072.945544288792</v>
      </c>
      <c r="O26" s="11">
        <f>N26*'ABP Future Assumptions'!$D$93</f>
        <v>13007.580816567348</v>
      </c>
      <c r="P26" s="11">
        <f>O26*'ABP Future Assumptions'!$D$93</f>
        <v>12942.54291248451</v>
      </c>
      <c r="Q26" s="11">
        <f>P26*'ABP Future Assumptions'!$D$93</f>
        <v>12877.830197922089</v>
      </c>
      <c r="R26" s="11">
        <f>Q26*'ABP Future Assumptions'!$D$93</f>
        <v>12813.441046932478</v>
      </c>
      <c r="S26" s="11">
        <f>R26*'ABP Future Assumptions'!$D$93</f>
        <v>12749.373841697816</v>
      </c>
      <c r="T26" s="11">
        <f>S26*'ABP Future Assumptions'!$D$93</f>
        <v>12685.626972489326</v>
      </c>
      <c r="U26" s="140"/>
      <c r="V26" s="140"/>
      <c r="W26" s="140"/>
      <c r="X26" s="140"/>
    </row>
    <row r="27" spans="2:24" x14ac:dyDescent="0.25">
      <c r="B27" s="209" t="s">
        <v>141</v>
      </c>
      <c r="C27" s="70">
        <f>'ABP Future Assumptions'!C24</f>
        <v>83017.209851699547</v>
      </c>
      <c r="D27" s="142">
        <f>'ABP Future Assumptions'!F24</f>
        <v>0.1497</v>
      </c>
      <c r="E27" s="146">
        <f>SUM(F27:X27)</f>
        <v>1577061.7674990343</v>
      </c>
      <c r="F27" s="11">
        <f>(C27*D27*8760)/1000</f>
        <v>108866.44451764294</v>
      </c>
      <c r="G27" s="11">
        <f>F27*'ABP Future Assumptions'!$D$93</f>
        <v>108322.11229505473</v>
      </c>
      <c r="H27" s="11">
        <f>G27*'ABP Future Assumptions'!$D$93</f>
        <v>107780.50173357945</v>
      </c>
      <c r="I27" s="11">
        <f>H27*'ABP Future Assumptions'!$D$93</f>
        <v>107241.59922491155</v>
      </c>
      <c r="J27" s="11">
        <f>I27*'ABP Future Assumptions'!$D$93</f>
        <v>106705.39122878699</v>
      </c>
      <c r="K27" s="11">
        <f>J27*'ABP Future Assumptions'!$D$93</f>
        <v>106171.86427264306</v>
      </c>
      <c r="L27" s="11">
        <f>K27*'ABP Future Assumptions'!$D$93</f>
        <v>105641.00495127984</v>
      </c>
      <c r="M27" s="11">
        <f>L27*'ABP Future Assumptions'!$D$93</f>
        <v>105112.79992652344</v>
      </c>
      <c r="N27" s="11">
        <f>M27*'ABP Future Assumptions'!$D$93</f>
        <v>104587.23592689082</v>
      </c>
      <c r="O27" s="11">
        <f>N27*'ABP Future Assumptions'!$D$93</f>
        <v>104064.29974725636</v>
      </c>
      <c r="P27" s="11">
        <f>O27*'ABP Future Assumptions'!$D$93</f>
        <v>103543.97824852007</v>
      </c>
      <c r="Q27" s="11">
        <f>P27*'ABP Future Assumptions'!$D$93</f>
        <v>103026.25835727747</v>
      </c>
      <c r="R27" s="11">
        <f>Q27*'ABP Future Assumptions'!$D$93</f>
        <v>102511.12706549109</v>
      </c>
      <c r="S27" s="11">
        <f>R27*'ABP Future Assumptions'!$D$93</f>
        <v>101998.57143016363</v>
      </c>
      <c r="T27" s="11">
        <f>S27*'ABP Future Assumptions'!$D$93</f>
        <v>101488.57857301281</v>
      </c>
      <c r="U27" s="140"/>
      <c r="V27" s="140"/>
      <c r="W27" s="140"/>
      <c r="X27" s="140"/>
    </row>
    <row r="28" spans="2:24" x14ac:dyDescent="0.25">
      <c r="B28" s="209" t="s">
        <v>136</v>
      </c>
      <c r="C28" s="70">
        <f>'ABP Future Assumptions'!C25</f>
        <v>0</v>
      </c>
      <c r="D28" s="142">
        <f>'ABP Future Assumptions'!F25</f>
        <v>0</v>
      </c>
      <c r="E28" s="146"/>
      <c r="F28" s="11"/>
      <c r="G28" s="11"/>
      <c r="H28" s="11"/>
      <c r="I28" s="11"/>
      <c r="J28" s="11"/>
      <c r="K28" s="11"/>
      <c r="L28" s="11"/>
      <c r="M28" s="11"/>
      <c r="N28" s="11"/>
      <c r="O28" s="11"/>
      <c r="P28" s="11"/>
      <c r="Q28" s="11"/>
      <c r="R28" s="11"/>
      <c r="S28" s="11"/>
      <c r="T28" s="11"/>
      <c r="U28" s="140"/>
      <c r="V28" s="140"/>
      <c r="W28" s="140"/>
      <c r="X28" s="140"/>
    </row>
    <row r="29" spans="2:24" x14ac:dyDescent="0.25">
      <c r="B29" s="12" t="s">
        <v>139</v>
      </c>
      <c r="C29" s="70">
        <f>'ABP Future Assumptions'!C26</f>
        <v>216000</v>
      </c>
      <c r="D29" s="148"/>
      <c r="E29" s="145"/>
      <c r="F29" s="147">
        <f t="shared" ref="F29:X29" si="4">SUM(F30:F31)</f>
        <v>0</v>
      </c>
      <c r="G29" s="147">
        <f t="shared" si="4"/>
        <v>319907.49119999993</v>
      </c>
      <c r="H29" s="147">
        <f t="shared" si="4"/>
        <v>318307.95374399994</v>
      </c>
      <c r="I29" s="147">
        <f t="shared" si="4"/>
        <v>316716.41397527995</v>
      </c>
      <c r="J29" s="147">
        <f t="shared" si="4"/>
        <v>315132.83190540358</v>
      </c>
      <c r="K29" s="147">
        <f t="shared" si="4"/>
        <v>313557.16774587653</v>
      </c>
      <c r="L29" s="147">
        <f t="shared" si="4"/>
        <v>311989.38190714718</v>
      </c>
      <c r="M29" s="147">
        <f t="shared" si="4"/>
        <v>310429.43499761145</v>
      </c>
      <c r="N29" s="147">
        <f t="shared" si="4"/>
        <v>308877.28782262339</v>
      </c>
      <c r="O29" s="147">
        <f t="shared" si="4"/>
        <v>307332.90138351021</v>
      </c>
      <c r="P29" s="147">
        <f t="shared" si="4"/>
        <v>305796.23687659268</v>
      </c>
      <c r="Q29" s="147">
        <f t="shared" si="4"/>
        <v>304267.25569220976</v>
      </c>
      <c r="R29" s="147">
        <f t="shared" si="4"/>
        <v>302745.91941374866</v>
      </c>
      <c r="S29" s="147">
        <f t="shared" si="4"/>
        <v>301232.18981667992</v>
      </c>
      <c r="T29" s="147">
        <f t="shared" si="4"/>
        <v>299726.02886759653</v>
      </c>
      <c r="U29" s="147">
        <f t="shared" si="4"/>
        <v>298227.39872325852</v>
      </c>
      <c r="V29" s="147">
        <f t="shared" si="4"/>
        <v>296736.26172964228</v>
      </c>
      <c r="W29" s="147">
        <f t="shared" si="4"/>
        <v>295252.58042099408</v>
      </c>
      <c r="X29" s="147">
        <f t="shared" si="4"/>
        <v>293776.31751888909</v>
      </c>
    </row>
    <row r="30" spans="2:24" x14ac:dyDescent="0.25">
      <c r="B30" s="170" t="s">
        <v>140</v>
      </c>
      <c r="C30" s="165">
        <f>'ABP Future Assumptions'!C27</f>
        <v>64800</v>
      </c>
      <c r="D30" s="142">
        <f>'ABP Future Assumptions'!F27</f>
        <v>0.16907</v>
      </c>
      <c r="E30" s="146">
        <f>SUM(F30:X30)</f>
        <v>1656003.3161223191</v>
      </c>
      <c r="F30" s="11"/>
      <c r="G30" s="11">
        <f>(($C30*$D30)*8760)/1000</f>
        <v>95972.247359999979</v>
      </c>
      <c r="H30" s="11">
        <f>G30*'ABP Future Assumptions'!$D$93</f>
        <v>95492.386123199976</v>
      </c>
      <c r="I30" s="11">
        <f>H30*'ABP Future Assumptions'!$D$93</f>
        <v>95014.924192583974</v>
      </c>
      <c r="J30" s="11">
        <f>I30*'ABP Future Assumptions'!$D$93</f>
        <v>94539.84957162106</v>
      </c>
      <c r="K30" s="11">
        <f>J30*'ABP Future Assumptions'!$D$93</f>
        <v>94067.150323762951</v>
      </c>
      <c r="L30" s="11">
        <f>K30*'ABP Future Assumptions'!$D$93</f>
        <v>93596.81457214414</v>
      </c>
      <c r="M30" s="11">
        <f>L30*'ABP Future Assumptions'!$D$93</f>
        <v>93128.830499283416</v>
      </c>
      <c r="N30" s="11">
        <f>M30*'ABP Future Assumptions'!$D$93</f>
        <v>92663.186346786999</v>
      </c>
      <c r="O30" s="11">
        <f>N30*'ABP Future Assumptions'!$D$93</f>
        <v>92199.870415053068</v>
      </c>
      <c r="P30" s="11">
        <f>O30*'ABP Future Assumptions'!$D$93</f>
        <v>91738.871062977807</v>
      </c>
      <c r="Q30" s="11">
        <f>P30*'ABP Future Assumptions'!$D$93</f>
        <v>91280.176707662918</v>
      </c>
      <c r="R30" s="11">
        <f>Q30*'ABP Future Assumptions'!$D$93</f>
        <v>90823.775824124605</v>
      </c>
      <c r="S30" s="11">
        <f>R30*'ABP Future Assumptions'!$D$93</f>
        <v>90369.656945003982</v>
      </c>
      <c r="T30" s="11">
        <f>S30*'ABP Future Assumptions'!$D$93</f>
        <v>89917.808660278955</v>
      </c>
      <c r="U30" s="11">
        <f>T30*'ABP Future Assumptions'!$D$93</f>
        <v>89468.219616977556</v>
      </c>
      <c r="V30" s="11">
        <f>U30*'ABP Future Assumptions'!$D$93</f>
        <v>89020.87851889267</v>
      </c>
      <c r="W30" s="11">
        <f>V30*'ABP Future Assumptions'!$D$93</f>
        <v>88575.774126298202</v>
      </c>
      <c r="X30" s="11">
        <f>W30*'ABP Future Assumptions'!$D$93</f>
        <v>88132.895255666706</v>
      </c>
    </row>
    <row r="31" spans="2:24" x14ac:dyDescent="0.25">
      <c r="B31" s="170" t="s">
        <v>143</v>
      </c>
      <c r="C31" s="165">
        <f>'ABP Future Assumptions'!C35</f>
        <v>151200</v>
      </c>
      <c r="D31" s="142">
        <f>'ABP Future Assumptions'!F28</f>
        <v>0.16907</v>
      </c>
      <c r="E31" s="146">
        <f>SUM(F31:X31)</f>
        <v>3864007.7376187453</v>
      </c>
      <c r="F31" s="11"/>
      <c r="G31" s="11">
        <f>(($C31*$D31)*8760)/1000</f>
        <v>223935.24383999998</v>
      </c>
      <c r="H31" s="11">
        <f>G31*'ABP Future Assumptions'!$D$93</f>
        <v>222815.56762079999</v>
      </c>
      <c r="I31" s="11">
        <f>H31*'ABP Future Assumptions'!$D$93</f>
        <v>221701.48978269598</v>
      </c>
      <c r="J31" s="11">
        <f>I31*'ABP Future Assumptions'!$D$93</f>
        <v>220592.98233378251</v>
      </c>
      <c r="K31" s="11">
        <f>J31*'ABP Future Assumptions'!$D$93</f>
        <v>219490.0174221136</v>
      </c>
      <c r="L31" s="11">
        <f>K31*'ABP Future Assumptions'!$D$93</f>
        <v>218392.56733500303</v>
      </c>
      <c r="M31" s="11">
        <f>L31*'ABP Future Assumptions'!$D$93</f>
        <v>217300.604498328</v>
      </c>
      <c r="N31" s="11">
        <f>M31*'ABP Future Assumptions'!$D$93</f>
        <v>216214.10147583636</v>
      </c>
      <c r="O31" s="11">
        <f>N31*'ABP Future Assumptions'!$D$93</f>
        <v>215133.03096845717</v>
      </c>
      <c r="P31" s="11">
        <f>O31*'ABP Future Assumptions'!$D$93</f>
        <v>214057.36581361489</v>
      </c>
      <c r="Q31" s="11">
        <f>P31*'ABP Future Assumptions'!$D$93</f>
        <v>212987.07898454682</v>
      </c>
      <c r="R31" s="11">
        <f>Q31*'ABP Future Assumptions'!$D$93</f>
        <v>211922.14358962409</v>
      </c>
      <c r="S31" s="11">
        <f>R31*'ABP Future Assumptions'!$D$93</f>
        <v>210862.53287167597</v>
      </c>
      <c r="T31" s="11">
        <f>S31*'ABP Future Assumptions'!$D$93</f>
        <v>209808.22020731759</v>
      </c>
      <c r="U31" s="11">
        <f>T31*'ABP Future Assumptions'!$D$93</f>
        <v>208759.17910628099</v>
      </c>
      <c r="V31" s="11">
        <f>U31*'ABP Future Assumptions'!$D$93</f>
        <v>207715.3832107496</v>
      </c>
      <c r="W31" s="11">
        <f>V31*'ABP Future Assumptions'!$D$93</f>
        <v>206676.80629469585</v>
      </c>
      <c r="X31" s="11">
        <f>W31*'ABP Future Assumptions'!$D$93</f>
        <v>205643.42226322237</v>
      </c>
    </row>
    <row r="32" spans="2:24" x14ac:dyDescent="0.25">
      <c r="B32" s="12" t="s">
        <v>144</v>
      </c>
      <c r="C32" s="70">
        <f>'ABP Future Assumptions'!C43</f>
        <v>104000</v>
      </c>
      <c r="D32" s="148"/>
      <c r="E32" s="145"/>
      <c r="F32" s="147">
        <f t="shared" ref="F32:X32" si="5">SUM(F33:F45)</f>
        <v>154029.53279999999</v>
      </c>
      <c r="G32" s="147">
        <f t="shared" si="5"/>
        <v>153259.385136</v>
      </c>
      <c r="H32" s="147">
        <f t="shared" si="5"/>
        <v>152493.08821031998</v>
      </c>
      <c r="I32" s="147">
        <f t="shared" si="5"/>
        <v>151730.6227692684</v>
      </c>
      <c r="J32" s="147">
        <f t="shared" si="5"/>
        <v>150971.96965542206</v>
      </c>
      <c r="K32" s="147">
        <f t="shared" si="5"/>
        <v>150217.10980714494</v>
      </c>
      <c r="L32" s="147">
        <f t="shared" si="5"/>
        <v>149466.02425810922</v>
      </c>
      <c r="M32" s="147">
        <f t="shared" si="5"/>
        <v>148718.6941368187</v>
      </c>
      <c r="N32" s="147">
        <f t="shared" si="5"/>
        <v>147975.10066613456</v>
      </c>
      <c r="O32" s="147">
        <f t="shared" si="5"/>
        <v>147235.22516280392</v>
      </c>
      <c r="P32" s="147">
        <f t="shared" si="5"/>
        <v>146499.04903698989</v>
      </c>
      <c r="Q32" s="147">
        <f t="shared" si="5"/>
        <v>145766.55379180494</v>
      </c>
      <c r="R32" s="147">
        <f t="shared" si="5"/>
        <v>145037.72102284592</v>
      </c>
      <c r="S32" s="147">
        <f t="shared" si="5"/>
        <v>144312.53241773168</v>
      </c>
      <c r="T32" s="147">
        <f t="shared" si="5"/>
        <v>143590.96975564302</v>
      </c>
      <c r="U32" s="147">
        <f t="shared" si="5"/>
        <v>142873.01490686479</v>
      </c>
      <c r="V32" s="147">
        <f t="shared" si="5"/>
        <v>142158.6498323305</v>
      </c>
      <c r="W32" s="147">
        <f t="shared" si="5"/>
        <v>141447.85658316882</v>
      </c>
      <c r="X32" s="147">
        <f t="shared" si="5"/>
        <v>140740.61730025298</v>
      </c>
    </row>
    <row r="33" spans="2:24" x14ac:dyDescent="0.25">
      <c r="B33" s="170" t="s">
        <v>145</v>
      </c>
      <c r="C33" s="165">
        <f>'ABP Future Assumptions'!C44</f>
        <v>31200</v>
      </c>
      <c r="D33" s="95"/>
      <c r="E33" s="146"/>
      <c r="F33" s="11"/>
      <c r="G33" s="11"/>
      <c r="H33" s="11"/>
      <c r="I33" s="11"/>
      <c r="J33" s="11"/>
      <c r="K33" s="11"/>
      <c r="L33" s="11"/>
      <c r="M33" s="11"/>
      <c r="N33" s="11"/>
      <c r="O33" s="11"/>
      <c r="P33" s="11"/>
      <c r="Q33" s="11"/>
      <c r="R33" s="11"/>
      <c r="S33" s="11"/>
      <c r="T33" s="11"/>
      <c r="U33" s="140"/>
      <c r="V33" s="149"/>
      <c r="W33" s="149"/>
      <c r="X33" s="149"/>
    </row>
    <row r="34" spans="2:24" x14ac:dyDescent="0.25">
      <c r="B34" s="209" t="s">
        <v>146</v>
      </c>
      <c r="C34" s="70">
        <f>'ABP Future Assumptions'!C45</f>
        <v>1444.4444444444443</v>
      </c>
      <c r="D34" s="142">
        <f>'ABP Future Assumptions'!F31</f>
        <v>0.16907</v>
      </c>
      <c r="E34" s="146">
        <f>SUM(F34:X34)</f>
        <v>38868.384961800752</v>
      </c>
      <c r="F34" s="11">
        <f>(C34*D34*8760)/1000</f>
        <v>2139.2990666666665</v>
      </c>
      <c r="G34" s="11">
        <f>F34*'ABP Future Assumptions'!$D$93</f>
        <v>2128.6025713333333</v>
      </c>
      <c r="H34" s="11">
        <f>G34*'ABP Future Assumptions'!$D$93</f>
        <v>2117.9595584766666</v>
      </c>
      <c r="I34" s="11">
        <f>H34*'ABP Future Assumptions'!$D$93</f>
        <v>2107.3697606842834</v>
      </c>
      <c r="J34" s="11">
        <f>I34*'ABP Future Assumptions'!$D$93</f>
        <v>2096.832911880862</v>
      </c>
      <c r="K34" s="11">
        <f>J34*'ABP Future Assumptions'!$D$93</f>
        <v>2086.3487473214577</v>
      </c>
      <c r="L34" s="11">
        <f>K34*'ABP Future Assumptions'!$D$93</f>
        <v>2075.9170035848506</v>
      </c>
      <c r="M34" s="11">
        <f>L34*'ABP Future Assumptions'!$D$93</f>
        <v>2065.5374185669261</v>
      </c>
      <c r="N34" s="11">
        <f>M34*'ABP Future Assumptions'!$D$93</f>
        <v>2055.2097314740913</v>
      </c>
      <c r="O34" s="11">
        <f>N34*'ABP Future Assumptions'!$D$93</f>
        <v>2044.9336828167209</v>
      </c>
      <c r="P34" s="11">
        <f>O34*'ABP Future Assumptions'!$D$93</f>
        <v>2034.7090144026372</v>
      </c>
      <c r="Q34" s="11">
        <f>P34*'ABP Future Assumptions'!$D$93</f>
        <v>2024.535469330624</v>
      </c>
      <c r="R34" s="11">
        <f>Q34*'ABP Future Assumptions'!$D$93</f>
        <v>2014.4127919839709</v>
      </c>
      <c r="S34" s="11">
        <f>R34*'ABP Future Assumptions'!$D$93</f>
        <v>2004.340728024051</v>
      </c>
      <c r="T34" s="11">
        <f>S34*'ABP Future Assumptions'!$D$93</f>
        <v>1994.3190243839308</v>
      </c>
      <c r="U34" s="11">
        <f>T34*'ABP Future Assumptions'!$D$93</f>
        <v>1984.3474292620112</v>
      </c>
      <c r="V34" s="11">
        <f>U34*'ABP Future Assumptions'!$D$93</f>
        <v>1974.4256921157012</v>
      </c>
      <c r="W34" s="11">
        <f>V34*'ABP Future Assumptions'!$D$93</f>
        <v>1964.5535636551226</v>
      </c>
      <c r="X34" s="11">
        <f>W34*'ABP Future Assumptions'!$D$93</f>
        <v>1954.7307958368469</v>
      </c>
    </row>
    <row r="35" spans="2:24" x14ac:dyDescent="0.25">
      <c r="B35" s="209" t="s">
        <v>138</v>
      </c>
      <c r="C35" s="70">
        <f>'ABP Future Assumptions'!C46</f>
        <v>1733.3333333333333</v>
      </c>
      <c r="D35" s="142">
        <f>'ABP Future Assumptions'!F32</f>
        <v>0.16907</v>
      </c>
      <c r="E35" s="146">
        <f>SUM(F35:X35)</f>
        <v>46642.061954160898</v>
      </c>
      <c r="F35" s="11">
        <f>(C35*D35*8760)/1000</f>
        <v>2567.15888</v>
      </c>
      <c r="G35" s="11">
        <f>F35*'ABP Future Assumptions'!$D$93</f>
        <v>2554.3230856</v>
      </c>
      <c r="H35" s="11">
        <f>G35*'ABP Future Assumptions'!$D$93</f>
        <v>2541.5514701719999</v>
      </c>
      <c r="I35" s="11">
        <f>H35*'ABP Future Assumptions'!$D$93</f>
        <v>2528.8437128211399</v>
      </c>
      <c r="J35" s="11">
        <f>I35*'ABP Future Assumptions'!$D$93</f>
        <v>2516.1994942570341</v>
      </c>
      <c r="K35" s="11">
        <f>J35*'ABP Future Assumptions'!$D$93</f>
        <v>2503.6184967857489</v>
      </c>
      <c r="L35" s="11">
        <f>K35*'ABP Future Assumptions'!$D$93</f>
        <v>2491.1004043018202</v>
      </c>
      <c r="M35" s="11">
        <f>L35*'ABP Future Assumptions'!$D$93</f>
        <v>2478.6449022803113</v>
      </c>
      <c r="N35" s="11">
        <f>M35*'ABP Future Assumptions'!$D$93</f>
        <v>2466.2516777689098</v>
      </c>
      <c r="O35" s="11">
        <f>N35*'ABP Future Assumptions'!$D$93</f>
        <v>2453.9204193800651</v>
      </c>
      <c r="P35" s="11">
        <f>O35*'ABP Future Assumptions'!$D$93</f>
        <v>2441.650817283165</v>
      </c>
      <c r="Q35" s="11">
        <f>P35*'ABP Future Assumptions'!$D$93</f>
        <v>2429.4425631967492</v>
      </c>
      <c r="R35" s="11">
        <f>Q35*'ABP Future Assumptions'!$D$93</f>
        <v>2417.2953503807653</v>
      </c>
      <c r="S35" s="11">
        <f>R35*'ABP Future Assumptions'!$D$93</f>
        <v>2405.2088736288615</v>
      </c>
      <c r="T35" s="11">
        <f>S35*'ABP Future Assumptions'!$D$93</f>
        <v>2393.182829260717</v>
      </c>
      <c r="U35" s="11">
        <f>T35*'ABP Future Assumptions'!$D$93</f>
        <v>2381.2169151144135</v>
      </c>
      <c r="V35" s="11">
        <f>U35*'ABP Future Assumptions'!$D$93</f>
        <v>2369.3108305388414</v>
      </c>
      <c r="W35" s="11">
        <f>V35*'ABP Future Assumptions'!$D$93</f>
        <v>2357.464276386147</v>
      </c>
      <c r="X35" s="11">
        <f>W35*'ABP Future Assumptions'!$D$93</f>
        <v>2345.6769550042163</v>
      </c>
    </row>
    <row r="36" spans="2:24" x14ac:dyDescent="0.25">
      <c r="B36" s="209" t="s">
        <v>133</v>
      </c>
      <c r="C36" s="70">
        <f>'ABP Future Assumptions'!C47</f>
        <v>6644.4444444444443</v>
      </c>
      <c r="D36" s="142">
        <f>'ABP Future Assumptions'!F33</f>
        <v>0.16907</v>
      </c>
      <c r="E36" s="146">
        <f>SUM(F36:X36)</f>
        <v>178794.57082428347</v>
      </c>
      <c r="F36" s="11">
        <f>(C36*D36*8760)/1000</f>
        <v>9840.7757066666672</v>
      </c>
      <c r="G36" s="11">
        <f>F36*'ABP Future Assumptions'!$D$93</f>
        <v>9791.5718281333338</v>
      </c>
      <c r="H36" s="11">
        <f>G36*'ABP Future Assumptions'!$D$93</f>
        <v>9742.6139689926677</v>
      </c>
      <c r="I36" s="11">
        <f>H36*'ABP Future Assumptions'!$D$93</f>
        <v>9693.900899147704</v>
      </c>
      <c r="J36" s="11">
        <f>I36*'ABP Future Assumptions'!$D$93</f>
        <v>9645.4313946519651</v>
      </c>
      <c r="K36" s="11">
        <f>J36*'ABP Future Assumptions'!$D$93</f>
        <v>9597.2042376787049</v>
      </c>
      <c r="L36" s="11">
        <f>K36*'ABP Future Assumptions'!$D$93</f>
        <v>9549.2182164903115</v>
      </c>
      <c r="M36" s="11">
        <f>L36*'ABP Future Assumptions'!$D$93</f>
        <v>9501.4721254078595</v>
      </c>
      <c r="N36" s="11">
        <f>M36*'ABP Future Assumptions'!$D$93</f>
        <v>9453.9647647808197</v>
      </c>
      <c r="O36" s="11">
        <f>N36*'ABP Future Assumptions'!$D$93</f>
        <v>9406.6949409569152</v>
      </c>
      <c r="P36" s="11">
        <f>O36*'ABP Future Assumptions'!$D$93</f>
        <v>9359.6614662521297</v>
      </c>
      <c r="Q36" s="11">
        <f>P36*'ABP Future Assumptions'!$D$93</f>
        <v>9312.863158920869</v>
      </c>
      <c r="R36" s="11">
        <f>Q36*'ABP Future Assumptions'!$D$93</f>
        <v>9266.2988431262638</v>
      </c>
      <c r="S36" s="11">
        <f>R36*'ABP Future Assumptions'!$D$93</f>
        <v>9219.9673489106317</v>
      </c>
      <c r="T36" s="11">
        <f>S36*'ABP Future Assumptions'!$D$93</f>
        <v>9173.8675121660781</v>
      </c>
      <c r="U36" s="11">
        <f>T36*'ABP Future Assumptions'!$D$93</f>
        <v>9127.9981746052472</v>
      </c>
      <c r="V36" s="11">
        <f>U36*'ABP Future Assumptions'!$D$93</f>
        <v>9082.3581837322217</v>
      </c>
      <c r="W36" s="11">
        <f>V36*'ABP Future Assumptions'!$D$93</f>
        <v>9036.946392813561</v>
      </c>
      <c r="X36" s="11">
        <f>W36*'ABP Future Assumptions'!$D$93</f>
        <v>8991.7616608494936</v>
      </c>
    </row>
    <row r="37" spans="2:24" x14ac:dyDescent="0.25">
      <c r="B37" s="209" t="s">
        <v>134</v>
      </c>
      <c r="C37" s="70">
        <f>'ABP Future Assumptions'!C48</f>
        <v>14155.555555555557</v>
      </c>
      <c r="D37" s="142">
        <f>'ABP Future Assumptions'!F34</f>
        <v>0.16907</v>
      </c>
      <c r="E37" s="146">
        <f>SUM(F37:X37)</f>
        <v>380910.17262564745</v>
      </c>
      <c r="F37" s="11">
        <f>(C37*D37*8760)/1000</f>
        <v>20965.130853333332</v>
      </c>
      <c r="G37" s="11">
        <f>F37*'ABP Future Assumptions'!$D$93</f>
        <v>20860.305199066664</v>
      </c>
      <c r="H37" s="11">
        <f>G37*'ABP Future Assumptions'!$D$93</f>
        <v>20756.003673071333</v>
      </c>
      <c r="I37" s="11">
        <f>H37*'ABP Future Assumptions'!$D$93</f>
        <v>20652.223654705977</v>
      </c>
      <c r="J37" s="11">
        <f>I37*'ABP Future Assumptions'!$D$93</f>
        <v>20548.962536432446</v>
      </c>
      <c r="K37" s="11">
        <f>J37*'ABP Future Assumptions'!$D$93</f>
        <v>20446.217723750284</v>
      </c>
      <c r="L37" s="11">
        <f>K37*'ABP Future Assumptions'!$D$93</f>
        <v>20343.986635131532</v>
      </c>
      <c r="M37" s="11">
        <f>L37*'ABP Future Assumptions'!$D$93</f>
        <v>20242.266701955876</v>
      </c>
      <c r="N37" s="11">
        <f>M37*'ABP Future Assumptions'!$D$93</f>
        <v>20141.055368446097</v>
      </c>
      <c r="O37" s="11">
        <f>N37*'ABP Future Assumptions'!$D$93</f>
        <v>20040.350091603868</v>
      </c>
      <c r="P37" s="11">
        <f>O37*'ABP Future Assumptions'!$D$93</f>
        <v>19940.14834114585</v>
      </c>
      <c r="Q37" s="11">
        <f>P37*'ABP Future Assumptions'!$D$93</f>
        <v>19840.447599440122</v>
      </c>
      <c r="R37" s="11">
        <f>Q37*'ABP Future Assumptions'!$D$93</f>
        <v>19741.245361442921</v>
      </c>
      <c r="S37" s="11">
        <f>R37*'ABP Future Assumptions'!$D$93</f>
        <v>19642.539134635706</v>
      </c>
      <c r="T37" s="11">
        <f>S37*'ABP Future Assumptions'!$D$93</f>
        <v>19544.326438962529</v>
      </c>
      <c r="U37" s="11">
        <f>T37*'ABP Future Assumptions'!$D$93</f>
        <v>19446.604806767715</v>
      </c>
      <c r="V37" s="11">
        <f>U37*'ABP Future Assumptions'!$D$93</f>
        <v>19349.371782733877</v>
      </c>
      <c r="W37" s="11">
        <f>V37*'ABP Future Assumptions'!$D$93</f>
        <v>19252.624923820207</v>
      </c>
      <c r="X37" s="11">
        <f>W37*'ABP Future Assumptions'!$D$93</f>
        <v>19156.361799201106</v>
      </c>
    </row>
    <row r="38" spans="2:24" x14ac:dyDescent="0.25">
      <c r="B38" s="209" t="s">
        <v>141</v>
      </c>
      <c r="C38" s="70">
        <f>'ABP Future Assumptions'!C49</f>
        <v>7222.2222222222226</v>
      </c>
      <c r="D38" s="142">
        <f>'ABP Future Assumptions'!F35</f>
        <v>0.16907</v>
      </c>
      <c r="E38" s="146">
        <f>SUM(F38:X38)</f>
        <v>194341.92480900371</v>
      </c>
      <c r="F38" s="11">
        <f>(C38*D38*8760)/1000</f>
        <v>10696.495333333334</v>
      </c>
      <c r="G38" s="11">
        <f>F38*'ABP Future Assumptions'!$D$93</f>
        <v>10643.012856666668</v>
      </c>
      <c r="H38" s="11">
        <f>G38*'ABP Future Assumptions'!$D$93</f>
        <v>10589.797792383335</v>
      </c>
      <c r="I38" s="11">
        <f>H38*'ABP Future Assumptions'!$D$93</f>
        <v>10536.848803421419</v>
      </c>
      <c r="J38" s="11">
        <f>I38*'ABP Future Assumptions'!$D$93</f>
        <v>10484.164559404311</v>
      </c>
      <c r="K38" s="11">
        <f>J38*'ABP Future Assumptions'!$D$93</f>
        <v>10431.74373660729</v>
      </c>
      <c r="L38" s="11">
        <f>K38*'ABP Future Assumptions'!$D$93</f>
        <v>10379.585017924253</v>
      </c>
      <c r="M38" s="11">
        <f>L38*'ABP Future Assumptions'!$D$93</f>
        <v>10327.687092834632</v>
      </c>
      <c r="N38" s="11">
        <f>M38*'ABP Future Assumptions'!$D$93</f>
        <v>10276.048657370458</v>
      </c>
      <c r="O38" s="11">
        <f>N38*'ABP Future Assumptions'!$D$93</f>
        <v>10224.668414083606</v>
      </c>
      <c r="P38" s="11">
        <f>O38*'ABP Future Assumptions'!$D$93</f>
        <v>10173.545072013188</v>
      </c>
      <c r="Q38" s="11">
        <f>P38*'ABP Future Assumptions'!$D$93</f>
        <v>10122.677346653123</v>
      </c>
      <c r="R38" s="11">
        <f>Q38*'ABP Future Assumptions'!$D$93</f>
        <v>10072.063959919857</v>
      </c>
      <c r="S38" s="11">
        <f>R38*'ABP Future Assumptions'!$D$93</f>
        <v>10021.703640120257</v>
      </c>
      <c r="T38" s="11">
        <f>S38*'ABP Future Assumptions'!$D$93</f>
        <v>9971.5951219196559</v>
      </c>
      <c r="U38" s="11">
        <f>T38*'ABP Future Assumptions'!$D$93</f>
        <v>9921.7371463100571</v>
      </c>
      <c r="V38" s="11">
        <f>U38*'ABP Future Assumptions'!$D$93</f>
        <v>9872.1284605785077</v>
      </c>
      <c r="W38" s="11">
        <f>V38*'ABP Future Assumptions'!$D$93</f>
        <v>9822.7678182756154</v>
      </c>
      <c r="X38" s="11">
        <f>W38*'ABP Future Assumptions'!$D$93</f>
        <v>9773.653979184237</v>
      </c>
    </row>
    <row r="39" spans="2:24" x14ac:dyDescent="0.25">
      <c r="B39" s="209" t="s">
        <v>136</v>
      </c>
      <c r="C39" s="70">
        <f>'ABP Future Assumptions'!C50</f>
        <v>0</v>
      </c>
      <c r="D39" s="142">
        <f>'ABP Future Assumptions'!F36</f>
        <v>0.16907</v>
      </c>
      <c r="E39" s="146"/>
      <c r="F39" s="11"/>
      <c r="G39" s="11"/>
      <c r="H39" s="11"/>
      <c r="I39" s="11"/>
      <c r="J39" s="11"/>
      <c r="K39" s="11"/>
      <c r="L39" s="11"/>
      <c r="M39" s="11"/>
      <c r="N39" s="11"/>
      <c r="O39" s="11"/>
      <c r="P39" s="11"/>
      <c r="Q39" s="11"/>
      <c r="R39" s="11"/>
      <c r="S39" s="11"/>
      <c r="T39" s="11"/>
      <c r="U39" s="11"/>
      <c r="V39" s="11"/>
      <c r="W39" s="11"/>
      <c r="X39" s="11"/>
    </row>
    <row r="40" spans="2:24" x14ac:dyDescent="0.25">
      <c r="B40" s="170" t="s">
        <v>147</v>
      </c>
      <c r="C40" s="165">
        <f>'ABP Future Assumptions'!C51</f>
        <v>72800</v>
      </c>
      <c r="D40" s="95"/>
      <c r="E40" s="146"/>
      <c r="F40" s="11"/>
      <c r="G40" s="11"/>
      <c r="H40" s="11"/>
      <c r="I40" s="11"/>
      <c r="J40" s="11"/>
      <c r="K40" s="11"/>
      <c r="L40" s="11"/>
      <c r="M40" s="11"/>
      <c r="N40" s="11"/>
      <c r="O40" s="11"/>
      <c r="P40" s="11"/>
      <c r="Q40" s="11"/>
      <c r="R40" s="11"/>
      <c r="S40" s="11"/>
      <c r="T40" s="11"/>
      <c r="U40" s="11"/>
      <c r="V40" s="11"/>
      <c r="W40" s="11"/>
      <c r="X40" s="11"/>
    </row>
    <row r="41" spans="2:24" x14ac:dyDescent="0.25">
      <c r="B41" s="209" t="s">
        <v>146</v>
      </c>
      <c r="C41" s="70">
        <f>'ABP Future Assumptions'!C52</f>
        <v>3370.37037037037</v>
      </c>
      <c r="D41" s="142">
        <f>'ABP Future Assumptions'!F38</f>
        <v>0.16907</v>
      </c>
      <c r="E41" s="146">
        <f>SUM(F41:X41)</f>
        <v>90692.898244201759</v>
      </c>
      <c r="F41" s="11">
        <f>(C41*D41*8760)/1000</f>
        <v>4991.6978222222215</v>
      </c>
      <c r="G41" s="11">
        <f>F41*'ABP Future Assumptions'!$D$93</f>
        <v>4966.7393331111107</v>
      </c>
      <c r="H41" s="11">
        <f>G41*'ABP Future Assumptions'!$D$93</f>
        <v>4941.9056364455555</v>
      </c>
      <c r="I41" s="11">
        <f>H41*'ABP Future Assumptions'!$D$93</f>
        <v>4917.1961082633279</v>
      </c>
      <c r="J41" s="11">
        <f>I41*'ABP Future Assumptions'!$D$93</f>
        <v>4892.6101277220114</v>
      </c>
      <c r="K41" s="11">
        <f>J41*'ABP Future Assumptions'!$D$93</f>
        <v>4868.1470770834012</v>
      </c>
      <c r="L41" s="11">
        <f>K41*'ABP Future Assumptions'!$D$93</f>
        <v>4843.806341697984</v>
      </c>
      <c r="M41" s="11">
        <f>L41*'ABP Future Assumptions'!$D$93</f>
        <v>4819.5873099894943</v>
      </c>
      <c r="N41" s="11">
        <f>M41*'ABP Future Assumptions'!$D$93</f>
        <v>4795.4893734395464</v>
      </c>
      <c r="O41" s="11">
        <f>N41*'ABP Future Assumptions'!$D$93</f>
        <v>4771.5119265723488</v>
      </c>
      <c r="P41" s="11">
        <f>O41*'ABP Future Assumptions'!$D$93</f>
        <v>4747.6543669394869</v>
      </c>
      <c r="Q41" s="11">
        <f>P41*'ABP Future Assumptions'!$D$93</f>
        <v>4723.9160951047897</v>
      </c>
      <c r="R41" s="11">
        <f>Q41*'ABP Future Assumptions'!$D$93</f>
        <v>4700.2965146292654</v>
      </c>
      <c r="S41" s="11">
        <f>R41*'ABP Future Assumptions'!$D$93</f>
        <v>4676.7950320561195</v>
      </c>
      <c r="T41" s="11">
        <f>S41*'ABP Future Assumptions'!$D$93</f>
        <v>4653.4110568958386</v>
      </c>
      <c r="U41" s="11">
        <f>T41*'ABP Future Assumptions'!$D$93</f>
        <v>4630.1440016113593</v>
      </c>
      <c r="V41" s="11">
        <f>U41*'ABP Future Assumptions'!$D$93</f>
        <v>4606.9932816033024</v>
      </c>
      <c r="W41" s="11">
        <f>V41*'ABP Future Assumptions'!$D$93</f>
        <v>4583.9583151952856</v>
      </c>
      <c r="X41" s="11">
        <f>W41*'ABP Future Assumptions'!$D$93</f>
        <v>4561.0385236193088</v>
      </c>
    </row>
    <row r="42" spans="2:24" x14ac:dyDescent="0.25">
      <c r="B42" s="209" t="s">
        <v>138</v>
      </c>
      <c r="C42" s="70">
        <f>'ABP Future Assumptions'!C53</f>
        <v>4044.4444444444443</v>
      </c>
      <c r="D42" s="142">
        <f>'ABP Future Assumptions'!F39</f>
        <v>0.16907</v>
      </c>
      <c r="E42" s="146">
        <f>SUM(F42:X42)</f>
        <v>108831.47789304207</v>
      </c>
      <c r="F42" s="11">
        <f>(C42*D42*8760)/1000</f>
        <v>5990.037386666666</v>
      </c>
      <c r="G42" s="11">
        <f>F42*'ABP Future Assumptions'!$D$93</f>
        <v>5960.0871997333325</v>
      </c>
      <c r="H42" s="11">
        <f>G42*'ABP Future Assumptions'!$D$93</f>
        <v>5930.2867637346653</v>
      </c>
      <c r="I42" s="11">
        <f>H42*'ABP Future Assumptions'!$D$93</f>
        <v>5900.6353299159919</v>
      </c>
      <c r="J42" s="11">
        <f>I42*'ABP Future Assumptions'!$D$93</f>
        <v>5871.1321532664115</v>
      </c>
      <c r="K42" s="11">
        <f>J42*'ABP Future Assumptions'!$D$93</f>
        <v>5841.7764925000793</v>
      </c>
      <c r="L42" s="11">
        <f>K42*'ABP Future Assumptions'!$D$93</f>
        <v>5812.5676100375786</v>
      </c>
      <c r="M42" s="11">
        <f>L42*'ABP Future Assumptions'!$D$93</f>
        <v>5783.504771987391</v>
      </c>
      <c r="N42" s="11">
        <f>M42*'ABP Future Assumptions'!$D$93</f>
        <v>5754.5872481274537</v>
      </c>
      <c r="O42" s="11">
        <f>N42*'ABP Future Assumptions'!$D$93</f>
        <v>5725.8143118868165</v>
      </c>
      <c r="P42" s="11">
        <f>O42*'ABP Future Assumptions'!$D$93</f>
        <v>5697.1852403273824</v>
      </c>
      <c r="Q42" s="11">
        <f>P42*'ABP Future Assumptions'!$D$93</f>
        <v>5668.6993141257453</v>
      </c>
      <c r="R42" s="11">
        <f>Q42*'ABP Future Assumptions'!$D$93</f>
        <v>5640.355817555117</v>
      </c>
      <c r="S42" s="11">
        <f>R42*'ABP Future Assumptions'!$D$93</f>
        <v>5612.1540384673417</v>
      </c>
      <c r="T42" s="11">
        <f>S42*'ABP Future Assumptions'!$D$93</f>
        <v>5584.0932682750054</v>
      </c>
      <c r="U42" s="11">
        <f>T42*'ABP Future Assumptions'!$D$93</f>
        <v>5556.1728019336306</v>
      </c>
      <c r="V42" s="11">
        <f>U42*'ABP Future Assumptions'!$D$93</f>
        <v>5528.3919379239624</v>
      </c>
      <c r="W42" s="11">
        <f>V42*'ABP Future Assumptions'!$D$93</f>
        <v>5500.749978234343</v>
      </c>
      <c r="X42" s="11">
        <f>W42*'ABP Future Assumptions'!$D$93</f>
        <v>5473.2462283431714</v>
      </c>
    </row>
    <row r="43" spans="2:24" x14ac:dyDescent="0.25">
      <c r="B43" s="209" t="s">
        <v>133</v>
      </c>
      <c r="C43" s="70">
        <f>'ABP Future Assumptions'!C54</f>
        <v>15503.703703703704</v>
      </c>
      <c r="D43" s="142">
        <f>'ABP Future Assumptions'!F40</f>
        <v>0.16907</v>
      </c>
      <c r="E43" s="146">
        <f>SUM(F43:X43)</f>
        <v>417187.33192332811</v>
      </c>
      <c r="F43" s="11">
        <f>(C43*D43*8760)/1000</f>
        <v>22961.809982222221</v>
      </c>
      <c r="G43" s="11">
        <f>F43*'ABP Future Assumptions'!$D$93</f>
        <v>22847.000932311112</v>
      </c>
      <c r="H43" s="11">
        <f>G43*'ABP Future Assumptions'!$D$93</f>
        <v>22732.765927649554</v>
      </c>
      <c r="I43" s="11">
        <f>H43*'ABP Future Assumptions'!$D$93</f>
        <v>22619.102098011306</v>
      </c>
      <c r="J43" s="11">
        <f>I43*'ABP Future Assumptions'!$D$93</f>
        <v>22506.006587521249</v>
      </c>
      <c r="K43" s="11">
        <f>J43*'ABP Future Assumptions'!$D$93</f>
        <v>22393.476554583642</v>
      </c>
      <c r="L43" s="11">
        <f>K43*'ABP Future Assumptions'!$D$93</f>
        <v>22281.509171810725</v>
      </c>
      <c r="M43" s="11">
        <f>L43*'ABP Future Assumptions'!$D$93</f>
        <v>22170.101625951673</v>
      </c>
      <c r="N43" s="11">
        <f>M43*'ABP Future Assumptions'!$D$93</f>
        <v>22059.251117821914</v>
      </c>
      <c r="O43" s="11">
        <f>N43*'ABP Future Assumptions'!$D$93</f>
        <v>21948.954862232804</v>
      </c>
      <c r="P43" s="11">
        <f>O43*'ABP Future Assumptions'!$D$93</f>
        <v>21839.210087921641</v>
      </c>
      <c r="Q43" s="11">
        <f>P43*'ABP Future Assumptions'!$D$93</f>
        <v>21730.014037482033</v>
      </c>
      <c r="R43" s="11">
        <f>Q43*'ABP Future Assumptions'!$D$93</f>
        <v>21621.363967294623</v>
      </c>
      <c r="S43" s="11">
        <f>R43*'ABP Future Assumptions'!$D$93</f>
        <v>21513.257147458149</v>
      </c>
      <c r="T43" s="11">
        <f>S43*'ABP Future Assumptions'!$D$93</f>
        <v>21405.690861720857</v>
      </c>
      <c r="U43" s="11">
        <f>T43*'ABP Future Assumptions'!$D$93</f>
        <v>21298.662407412252</v>
      </c>
      <c r="V43" s="11">
        <f>U43*'ABP Future Assumptions'!$D$93</f>
        <v>21192.169095375189</v>
      </c>
      <c r="W43" s="11">
        <f>V43*'ABP Future Assumptions'!$D$93</f>
        <v>21086.208249898315</v>
      </c>
      <c r="X43" s="11">
        <f>W43*'ABP Future Assumptions'!$D$93</f>
        <v>20980.777208648822</v>
      </c>
    </row>
    <row r="44" spans="2:24" x14ac:dyDescent="0.25">
      <c r="B44" s="209" t="s">
        <v>134</v>
      </c>
      <c r="C44" s="70">
        <f>'ABP Future Assumptions'!C55</f>
        <v>33029.629629629628</v>
      </c>
      <c r="D44" s="142">
        <f>'ABP Future Assumptions'!F41</f>
        <v>0.16907</v>
      </c>
      <c r="E44" s="146">
        <f>SUM(F44:X44)</f>
        <v>888790.40279317729</v>
      </c>
      <c r="F44" s="11">
        <f>(C44*D44*8760)/1000</f>
        <v>48918.638657777781</v>
      </c>
      <c r="G44" s="11">
        <f>F44*'ABP Future Assumptions'!$D$93</f>
        <v>48674.045464488889</v>
      </c>
      <c r="H44" s="11">
        <f>G44*'ABP Future Assumptions'!$D$93</f>
        <v>48430.675237166441</v>
      </c>
      <c r="I44" s="11">
        <f>H44*'ABP Future Assumptions'!$D$93</f>
        <v>48188.521860980611</v>
      </c>
      <c r="J44" s="11">
        <f>I44*'ABP Future Assumptions'!$D$93</f>
        <v>47947.579251675706</v>
      </c>
      <c r="K44" s="11">
        <f>J44*'ABP Future Assumptions'!$D$93</f>
        <v>47707.841355417331</v>
      </c>
      <c r="L44" s="11">
        <f>K44*'ABP Future Assumptions'!$D$93</f>
        <v>47469.302148640243</v>
      </c>
      <c r="M44" s="11">
        <f>L44*'ABP Future Assumptions'!$D$93</f>
        <v>47231.955637897045</v>
      </c>
      <c r="N44" s="11">
        <f>M44*'ABP Future Assumptions'!$D$93</f>
        <v>46995.795859707556</v>
      </c>
      <c r="O44" s="11">
        <f>N44*'ABP Future Assumptions'!$D$93</f>
        <v>46760.816880409016</v>
      </c>
      <c r="P44" s="11">
        <f>O44*'ABP Future Assumptions'!$D$93</f>
        <v>46527.012796006973</v>
      </c>
      <c r="Q44" s="11">
        <f>P44*'ABP Future Assumptions'!$D$93</f>
        <v>46294.377732026936</v>
      </c>
      <c r="R44" s="11">
        <f>Q44*'ABP Future Assumptions'!$D$93</f>
        <v>46062.905843366803</v>
      </c>
      <c r="S44" s="11">
        <f>R44*'ABP Future Assumptions'!$D$93</f>
        <v>45832.59131414997</v>
      </c>
      <c r="T44" s="11">
        <f>S44*'ABP Future Assumptions'!$D$93</f>
        <v>45603.428357579221</v>
      </c>
      <c r="U44" s="11">
        <f>T44*'ABP Future Assumptions'!$D$93</f>
        <v>45375.411215791326</v>
      </c>
      <c r="V44" s="11">
        <f>U44*'ABP Future Assumptions'!$D$93</f>
        <v>45148.53415971237</v>
      </c>
      <c r="W44" s="11">
        <f>V44*'ABP Future Assumptions'!$D$93</f>
        <v>44922.791488913805</v>
      </c>
      <c r="X44" s="11">
        <f>W44*'ABP Future Assumptions'!$D$93</f>
        <v>44698.177531469235</v>
      </c>
    </row>
    <row r="45" spans="2:24" x14ac:dyDescent="0.25">
      <c r="B45" s="209" t="s">
        <v>141</v>
      </c>
      <c r="C45" s="70">
        <f>'ABP Future Assumptions'!C56</f>
        <v>16851.85185185185</v>
      </c>
      <c r="D45" s="142">
        <f>'ABP Future Assumptions'!F42</f>
        <v>0.16907</v>
      </c>
      <c r="E45" s="146">
        <f>SUM(F45:X45)</f>
        <v>453464.49122100871</v>
      </c>
      <c r="F45" s="11">
        <f>(C45*D45*8760)/1000</f>
        <v>24958.489111111106</v>
      </c>
      <c r="G45" s="11">
        <f>F45*'ABP Future Assumptions'!$D$93</f>
        <v>24833.696665555552</v>
      </c>
      <c r="H45" s="11">
        <f>G45*'ABP Future Assumptions'!$D$93</f>
        <v>24709.528182227772</v>
      </c>
      <c r="I45" s="11">
        <f>H45*'ABP Future Assumptions'!$D$93</f>
        <v>24585.980541316632</v>
      </c>
      <c r="J45" s="11">
        <f>I45*'ABP Future Assumptions'!$D$93</f>
        <v>24463.05063861005</v>
      </c>
      <c r="K45" s="11">
        <f>J45*'ABP Future Assumptions'!$D$93</f>
        <v>24340.735385417</v>
      </c>
      <c r="L45" s="11">
        <f>K45*'ABP Future Assumptions'!$D$93</f>
        <v>24219.031708489914</v>
      </c>
      <c r="M45" s="11">
        <f>L45*'ABP Future Assumptions'!$D$93</f>
        <v>24097.936549947466</v>
      </c>
      <c r="N45" s="11">
        <f>M45*'ABP Future Assumptions'!$D$93</f>
        <v>23977.44686719773</v>
      </c>
      <c r="O45" s="11">
        <f>N45*'ABP Future Assumptions'!$D$93</f>
        <v>23857.559632861743</v>
      </c>
      <c r="P45" s="11">
        <f>O45*'ABP Future Assumptions'!$D$93</f>
        <v>23738.271834697432</v>
      </c>
      <c r="Q45" s="11">
        <f>P45*'ABP Future Assumptions'!$D$93</f>
        <v>23619.580475523944</v>
      </c>
      <c r="R45" s="11">
        <f>Q45*'ABP Future Assumptions'!$D$93</f>
        <v>23501.482573146324</v>
      </c>
      <c r="S45" s="11">
        <f>R45*'ABP Future Assumptions'!$D$93</f>
        <v>23383.975160280592</v>
      </c>
      <c r="T45" s="11">
        <f>S45*'ABP Future Assumptions'!$D$93</f>
        <v>23267.055284479189</v>
      </c>
      <c r="U45" s="11">
        <f>T45*'ABP Future Assumptions'!$D$93</f>
        <v>23150.720008056793</v>
      </c>
      <c r="V45" s="11">
        <f>U45*'ABP Future Assumptions'!$D$93</f>
        <v>23034.966408016509</v>
      </c>
      <c r="W45" s="11">
        <f>V45*'ABP Future Assumptions'!$D$93</f>
        <v>22919.791575976426</v>
      </c>
      <c r="X45" s="11">
        <f>W45*'ABP Future Assumptions'!$D$93</f>
        <v>22805.192618096542</v>
      </c>
    </row>
    <row r="46" spans="2:24" x14ac:dyDescent="0.25">
      <c r="B46" s="209" t="s">
        <v>136</v>
      </c>
      <c r="C46" s="70">
        <f>'ABP Future Assumptions'!C57</f>
        <v>0</v>
      </c>
      <c r="D46" s="142">
        <f>'ABP Future Assumptions'!F43</f>
        <v>0</v>
      </c>
      <c r="E46" s="146"/>
      <c r="F46" s="11"/>
      <c r="G46" s="11"/>
      <c r="H46" s="11"/>
      <c r="I46" s="11"/>
      <c r="J46" s="11"/>
      <c r="K46" s="11"/>
      <c r="L46" s="11"/>
      <c r="M46" s="11"/>
      <c r="N46" s="11"/>
      <c r="O46" s="11"/>
      <c r="P46" s="11"/>
      <c r="Q46" s="11"/>
      <c r="R46" s="11"/>
      <c r="S46" s="11"/>
      <c r="T46" s="11"/>
      <c r="U46" s="11"/>
      <c r="V46" s="11"/>
      <c r="W46" s="11"/>
      <c r="X46" s="11"/>
    </row>
    <row r="47" spans="2:24" x14ac:dyDescent="0.25">
      <c r="B47" s="12" t="s">
        <v>148</v>
      </c>
      <c r="C47" s="70">
        <f>'ABP Future Assumptions'!C58</f>
        <v>32000</v>
      </c>
      <c r="D47" s="148"/>
      <c r="E47" s="145"/>
      <c r="F47" s="147">
        <f t="shared" ref="F47:X47" si="6">SUM(F48:F49)</f>
        <v>0</v>
      </c>
      <c r="G47" s="147">
        <f t="shared" si="6"/>
        <v>47393.702399999995</v>
      </c>
      <c r="H47" s="147">
        <f t="shared" si="6"/>
        <v>47156.733887999995</v>
      </c>
      <c r="I47" s="147">
        <f t="shared" si="6"/>
        <v>46920.950218559999</v>
      </c>
      <c r="J47" s="147">
        <f t="shared" si="6"/>
        <v>46686.345467467196</v>
      </c>
      <c r="K47" s="147">
        <f t="shared" si="6"/>
        <v>46452.913740129858</v>
      </c>
      <c r="L47" s="147">
        <f t="shared" si="6"/>
        <v>46220.649171429206</v>
      </c>
      <c r="M47" s="147">
        <f t="shared" si="6"/>
        <v>45989.545925572063</v>
      </c>
      <c r="N47" s="147">
        <f t="shared" si="6"/>
        <v>45759.5981959442</v>
      </c>
      <c r="O47" s="147">
        <f t="shared" si="6"/>
        <v>45530.800204964478</v>
      </c>
      <c r="P47" s="147">
        <f t="shared" si="6"/>
        <v>45303.146203939657</v>
      </c>
      <c r="Q47" s="147">
        <f t="shared" si="6"/>
        <v>45076.630472919962</v>
      </c>
      <c r="R47" s="147">
        <f t="shared" si="6"/>
        <v>44851.247320555362</v>
      </c>
      <c r="S47" s="147">
        <f t="shared" si="6"/>
        <v>44626.991083952584</v>
      </c>
      <c r="T47" s="147">
        <f t="shared" si="6"/>
        <v>44403.856128532818</v>
      </c>
      <c r="U47" s="147">
        <f t="shared" si="6"/>
        <v>44181.836847890154</v>
      </c>
      <c r="V47" s="147">
        <f t="shared" si="6"/>
        <v>0</v>
      </c>
      <c r="W47" s="147">
        <f t="shared" si="6"/>
        <v>0</v>
      </c>
      <c r="X47" s="147">
        <f t="shared" si="6"/>
        <v>0</v>
      </c>
    </row>
    <row r="48" spans="2:24" x14ac:dyDescent="0.25">
      <c r="B48" s="170" t="s">
        <v>149</v>
      </c>
      <c r="C48" s="165">
        <f>'ABP Future Assumptions'!C59</f>
        <v>9600</v>
      </c>
      <c r="D48" s="142">
        <f>'ABP Future Assumptions'!F45</f>
        <v>0.16907</v>
      </c>
      <c r="E48" s="146">
        <f>SUM(F48:X48)</f>
        <v>205966.48418095725</v>
      </c>
      <c r="F48" s="11"/>
      <c r="G48" s="11">
        <f>(C48*D48*8760)/1000</f>
        <v>14218.110719999999</v>
      </c>
      <c r="H48" s="11">
        <f>G48*'ABP Future Assumptions'!$D$93</f>
        <v>14147.020166399998</v>
      </c>
      <c r="I48" s="11">
        <f>H48*'ABP Future Assumptions'!$D$93</f>
        <v>14076.285065567998</v>
      </c>
      <c r="J48" s="11">
        <f>I48*'ABP Future Assumptions'!$D$93</f>
        <v>14005.903640240158</v>
      </c>
      <c r="K48" s="11">
        <f>J48*'ABP Future Assumptions'!$D$93</f>
        <v>13935.874122038957</v>
      </c>
      <c r="L48" s="11">
        <f>K48*'ABP Future Assumptions'!$D$93</f>
        <v>13866.194751428762</v>
      </c>
      <c r="M48" s="11">
        <f>L48*'ABP Future Assumptions'!$D$93</f>
        <v>13796.863777671619</v>
      </c>
      <c r="N48" s="11">
        <f>M48*'ABP Future Assumptions'!$D$93</f>
        <v>13727.87945878326</v>
      </c>
      <c r="O48" s="11">
        <f>N48*'ABP Future Assumptions'!$D$93</f>
        <v>13659.240061489343</v>
      </c>
      <c r="P48" s="11">
        <f>O48*'ABP Future Assumptions'!$D$93</f>
        <v>13590.943861181897</v>
      </c>
      <c r="Q48" s="11">
        <f>P48*'ABP Future Assumptions'!$D$93</f>
        <v>13522.989141875987</v>
      </c>
      <c r="R48" s="11">
        <f>Q48*'ABP Future Assumptions'!$D$93</f>
        <v>13455.374196166607</v>
      </c>
      <c r="S48" s="11">
        <f>R48*'ABP Future Assumptions'!$D$93</f>
        <v>13388.097325185774</v>
      </c>
      <c r="T48" s="11">
        <f>S48*'ABP Future Assumptions'!$D$93</f>
        <v>13321.156838559846</v>
      </c>
      <c r="U48" s="11">
        <f>T48*'ABP Future Assumptions'!$D$93</f>
        <v>13254.551054367046</v>
      </c>
      <c r="V48" s="140"/>
      <c r="W48" s="140"/>
      <c r="X48" s="140"/>
    </row>
    <row r="49" spans="2:24" x14ac:dyDescent="0.25">
      <c r="B49" s="170" t="s">
        <v>150</v>
      </c>
      <c r="C49" s="165">
        <f>'ABP Future Assumptions'!C67</f>
        <v>22400</v>
      </c>
      <c r="D49" s="142">
        <f>'ABP Future Assumptions'!F46</f>
        <v>0.16907</v>
      </c>
      <c r="E49" s="146">
        <f>SUM(F49:X49)</f>
        <v>480588.46308890032</v>
      </c>
      <c r="F49" s="11"/>
      <c r="G49" s="11">
        <f>(C49*D49*8760)/1000</f>
        <v>33175.591679999998</v>
      </c>
      <c r="H49" s="11">
        <f>G49*'ABP Future Assumptions'!$D$93</f>
        <v>33009.713721599997</v>
      </c>
      <c r="I49" s="11">
        <f>H49*'ABP Future Assumptions'!$D$93</f>
        <v>32844.665152991998</v>
      </c>
      <c r="J49" s="11">
        <f>I49*'ABP Future Assumptions'!$D$93</f>
        <v>32680.441827227038</v>
      </c>
      <c r="K49" s="11">
        <f>J49*'ABP Future Assumptions'!$D$93</f>
        <v>32517.039618090901</v>
      </c>
      <c r="L49" s="11">
        <f>K49*'ABP Future Assumptions'!$D$93</f>
        <v>32354.454420000446</v>
      </c>
      <c r="M49" s="11">
        <f>L49*'ABP Future Assumptions'!$D$93</f>
        <v>32192.682147900443</v>
      </c>
      <c r="N49" s="11">
        <f>M49*'ABP Future Assumptions'!$D$93</f>
        <v>32031.71873716094</v>
      </c>
      <c r="O49" s="11">
        <f>N49*'ABP Future Assumptions'!$D$93</f>
        <v>31871.560143475133</v>
      </c>
      <c r="P49" s="11">
        <f>O49*'ABP Future Assumptions'!$D$93</f>
        <v>31712.202342757759</v>
      </c>
      <c r="Q49" s="11">
        <f>P49*'ABP Future Assumptions'!$D$93</f>
        <v>31553.641331043971</v>
      </c>
      <c r="R49" s="11">
        <f>Q49*'ABP Future Assumptions'!$D$93</f>
        <v>31395.873124388752</v>
      </c>
      <c r="S49" s="11">
        <f>R49*'ABP Future Assumptions'!$D$93</f>
        <v>31238.893758766808</v>
      </c>
      <c r="T49" s="11">
        <f>S49*'ABP Future Assumptions'!$D$93</f>
        <v>31082.699289972974</v>
      </c>
      <c r="U49" s="11">
        <f>T49*'ABP Future Assumptions'!$D$93</f>
        <v>30927.285793523108</v>
      </c>
      <c r="V49" s="140"/>
      <c r="W49" s="140"/>
      <c r="X49" s="140"/>
    </row>
    <row r="50" spans="2:24" x14ac:dyDescent="0.25">
      <c r="B50" s="90" t="s">
        <v>151</v>
      </c>
      <c r="C50" s="70">
        <f>'ABP Future Assumptions'!C75</f>
        <v>160000</v>
      </c>
      <c r="D50" s="148"/>
      <c r="E50" s="145"/>
      <c r="F50" s="147">
        <f t="shared" ref="F50:X50" si="7">SUM(F51:F61)</f>
        <v>207019.60983669932</v>
      </c>
      <c r="G50" s="147">
        <f t="shared" si="7"/>
        <v>205984.51178751586</v>
      </c>
      <c r="H50" s="147">
        <f t="shared" si="7"/>
        <v>204954.58922857829</v>
      </c>
      <c r="I50" s="147">
        <f t="shared" si="7"/>
        <v>203929.81628243538</v>
      </c>
      <c r="J50" s="147">
        <f t="shared" si="7"/>
        <v>202910.1672010232</v>
      </c>
      <c r="K50" s="147">
        <f t="shared" si="7"/>
        <v>201895.6163650181</v>
      </c>
      <c r="L50" s="147">
        <f t="shared" si="7"/>
        <v>200886.138283193</v>
      </c>
      <c r="M50" s="147">
        <f t="shared" si="7"/>
        <v>199881.70759177703</v>
      </c>
      <c r="N50" s="147">
        <f t="shared" si="7"/>
        <v>198882.29905381816</v>
      </c>
      <c r="O50" s="147">
        <f t="shared" si="7"/>
        <v>197887.88755854906</v>
      </c>
      <c r="P50" s="147">
        <f t="shared" si="7"/>
        <v>196898.44812075631</v>
      </c>
      <c r="Q50" s="147">
        <f t="shared" si="7"/>
        <v>195913.95588015253</v>
      </c>
      <c r="R50" s="147">
        <f t="shared" si="7"/>
        <v>194934.38610075176</v>
      </c>
      <c r="S50" s="147">
        <f t="shared" si="7"/>
        <v>193959.71417024801</v>
      </c>
      <c r="T50" s="147">
        <f t="shared" si="7"/>
        <v>192989.91559939677</v>
      </c>
      <c r="U50" s="147">
        <f t="shared" si="7"/>
        <v>0</v>
      </c>
      <c r="V50" s="147">
        <f t="shared" si="7"/>
        <v>0</v>
      </c>
      <c r="W50" s="147">
        <f t="shared" si="7"/>
        <v>0</v>
      </c>
      <c r="X50" s="147">
        <f t="shared" si="7"/>
        <v>0</v>
      </c>
    </row>
    <row r="51" spans="2:24" x14ac:dyDescent="0.25">
      <c r="B51" s="170" t="s">
        <v>152</v>
      </c>
      <c r="C51" s="165">
        <f>'ABP Future Assumptions'!C76</f>
        <v>48000</v>
      </c>
      <c r="D51" s="95"/>
      <c r="E51" s="145"/>
      <c r="F51" s="144"/>
      <c r="G51" s="144"/>
      <c r="H51" s="144"/>
      <c r="I51" s="144"/>
      <c r="J51" s="144"/>
      <c r="K51" s="144"/>
      <c r="L51" s="144"/>
      <c r="M51" s="144"/>
      <c r="N51" s="144"/>
      <c r="O51" s="144"/>
      <c r="P51" s="144"/>
      <c r="Q51" s="144"/>
      <c r="R51" s="144"/>
      <c r="S51" s="144"/>
      <c r="T51" s="144"/>
      <c r="U51" s="170"/>
      <c r="V51" s="170"/>
      <c r="W51" s="170"/>
      <c r="X51" s="170"/>
    </row>
    <row r="52" spans="2:24" x14ac:dyDescent="0.25">
      <c r="B52" s="209" t="s">
        <v>132</v>
      </c>
      <c r="C52" s="70">
        <f>'ABP Future Assumptions'!C77</f>
        <v>3964.3131879195826</v>
      </c>
      <c r="D52" s="142">
        <f>'ABP Future Assumptions'!F77</f>
        <v>0.15196999999999999</v>
      </c>
      <c r="E52" s="146">
        <f>SUM(F52:X52)</f>
        <v>76451.250009691867</v>
      </c>
      <c r="F52" s="11">
        <f>(C52*D52*8760)/1000</f>
        <v>5277.5204744728971</v>
      </c>
      <c r="G52" s="11">
        <f>F52*'ABP Future Assumptions'!$D$93</f>
        <v>5251.1328721005329</v>
      </c>
      <c r="H52" s="11">
        <f>G52*'ABP Future Assumptions'!$D$93</f>
        <v>5224.8772077400299</v>
      </c>
      <c r="I52" s="11">
        <f>H52*'ABP Future Assumptions'!$D$93</f>
        <v>5198.7528217013296</v>
      </c>
      <c r="J52" s="11">
        <f>I52*'ABP Future Assumptions'!$D$93</f>
        <v>5172.7590575928225</v>
      </c>
      <c r="K52" s="11">
        <f>J52*'ABP Future Assumptions'!$D$93</f>
        <v>5146.8952623048581</v>
      </c>
      <c r="L52" s="11">
        <f>K52*'ABP Future Assumptions'!$D$93</f>
        <v>5121.1607859933338</v>
      </c>
      <c r="M52" s="11">
        <f>L52*'ABP Future Assumptions'!$D$93</f>
        <v>5095.5549820633669</v>
      </c>
      <c r="N52" s="11">
        <f>M52*'ABP Future Assumptions'!$D$93</f>
        <v>5070.07720715305</v>
      </c>
      <c r="O52" s="11">
        <f>N52*'ABP Future Assumptions'!$D$93</f>
        <v>5044.726821117285</v>
      </c>
      <c r="P52" s="11">
        <f>O52*'ABP Future Assumptions'!$D$93</f>
        <v>5019.5031870116982</v>
      </c>
      <c r="Q52" s="11">
        <f>P52*'ABP Future Assumptions'!$D$93</f>
        <v>4994.4056710766399</v>
      </c>
      <c r="R52" s="11">
        <f>Q52*'ABP Future Assumptions'!$D$93</f>
        <v>4969.4336427212565</v>
      </c>
      <c r="S52" s="11">
        <f>R52*'ABP Future Assumptions'!$D$93</f>
        <v>4944.5864745076506</v>
      </c>
      <c r="T52" s="11">
        <f>S52*'ABP Future Assumptions'!$D$93</f>
        <v>4919.8635421351119</v>
      </c>
      <c r="U52" s="140"/>
      <c r="V52" s="140"/>
      <c r="W52" s="140"/>
      <c r="X52" s="140"/>
    </row>
    <row r="53" spans="2:24" x14ac:dyDescent="0.25">
      <c r="B53" s="209" t="s">
        <v>133</v>
      </c>
      <c r="C53" s="70">
        <f>'ABP Future Assumptions'!C78</f>
        <v>3062.2429103277341</v>
      </c>
      <c r="D53" s="142">
        <f>'ABP Future Assumptions'!F78</f>
        <v>0.14819000000000002</v>
      </c>
      <c r="E53" s="146">
        <f>SUM(F53:X53)</f>
        <v>57586.052108269701</v>
      </c>
      <c r="F53" s="11">
        <f>(C53*D53*8760)/1000</f>
        <v>3975.2334854816504</v>
      </c>
      <c r="G53" s="11">
        <f>F53*'ABP Future Assumptions'!$D$93</f>
        <v>3955.3573180542421</v>
      </c>
      <c r="H53" s="11">
        <f>G53*'ABP Future Assumptions'!$D$93</f>
        <v>3935.5805314639711</v>
      </c>
      <c r="I53" s="11">
        <f>H53*'ABP Future Assumptions'!$D$93</f>
        <v>3915.9026288066511</v>
      </c>
      <c r="J53" s="11">
        <f>I53*'ABP Future Assumptions'!$D$93</f>
        <v>3896.323115662618</v>
      </c>
      <c r="K53" s="11">
        <f>J53*'ABP Future Assumptions'!$D$93</f>
        <v>3876.8415000843047</v>
      </c>
      <c r="L53" s="11">
        <f>K53*'ABP Future Assumptions'!$D$93</f>
        <v>3857.4572925838834</v>
      </c>
      <c r="M53" s="11">
        <f>L53*'ABP Future Assumptions'!$D$93</f>
        <v>3838.170006120964</v>
      </c>
      <c r="N53" s="11">
        <f>M53*'ABP Future Assumptions'!$D$93</f>
        <v>3818.9791560903591</v>
      </c>
      <c r="O53" s="11">
        <f>N53*'ABP Future Assumptions'!$D$93</f>
        <v>3799.8842603099074</v>
      </c>
      <c r="P53" s="11">
        <f>O53*'ABP Future Assumptions'!$D$93</f>
        <v>3780.8848390083576</v>
      </c>
      <c r="Q53" s="11">
        <f>P53*'ABP Future Assumptions'!$D$93</f>
        <v>3761.9804148133157</v>
      </c>
      <c r="R53" s="11">
        <f>Q53*'ABP Future Assumptions'!$D$93</f>
        <v>3743.1705127392493</v>
      </c>
      <c r="S53" s="11">
        <f>R53*'ABP Future Assumptions'!$D$93</f>
        <v>3724.4546601755528</v>
      </c>
      <c r="T53" s="11">
        <f>S53*'ABP Future Assumptions'!$D$93</f>
        <v>3705.8323868746752</v>
      </c>
      <c r="U53" s="140"/>
      <c r="V53" s="140"/>
      <c r="W53" s="140"/>
      <c r="X53" s="140"/>
    </row>
    <row r="54" spans="2:24" x14ac:dyDescent="0.25">
      <c r="B54" s="209" t="s">
        <v>134</v>
      </c>
      <c r="C54" s="70">
        <f>'ABP Future Assumptions'!C79</f>
        <v>7108.431241305022</v>
      </c>
      <c r="D54" s="142">
        <f>'ABP Future Assumptions'!F79</f>
        <v>0.15303</v>
      </c>
      <c r="E54" s="146">
        <f>SUM(F54:X54)</f>
        <v>138041.32370727631</v>
      </c>
      <c r="F54" s="11">
        <f>(C54*D54*8760)/1000</f>
        <v>9529.1563198265103</v>
      </c>
      <c r="G54" s="11">
        <f>F54*'ABP Future Assumptions'!$D$93</f>
        <v>9481.5105382273778</v>
      </c>
      <c r="H54" s="11">
        <f>G54*'ABP Future Assumptions'!$D$93</f>
        <v>9434.1029855362412</v>
      </c>
      <c r="I54" s="11">
        <f>H54*'ABP Future Assumptions'!$D$93</f>
        <v>9386.9324706085608</v>
      </c>
      <c r="J54" s="11">
        <f>I54*'ABP Future Assumptions'!$D$93</f>
        <v>9339.9978082555172</v>
      </c>
      <c r="K54" s="11">
        <f>J54*'ABP Future Assumptions'!$D$93</f>
        <v>9293.29781921424</v>
      </c>
      <c r="L54" s="11">
        <f>K54*'ABP Future Assumptions'!$D$93</f>
        <v>9246.8313301181679</v>
      </c>
      <c r="M54" s="11">
        <f>L54*'ABP Future Assumptions'!$D$93</f>
        <v>9200.5971734675768</v>
      </c>
      <c r="N54" s="11">
        <f>M54*'ABP Future Assumptions'!$D$93</f>
        <v>9154.594187600238</v>
      </c>
      <c r="O54" s="11">
        <f>N54*'ABP Future Assumptions'!$D$93</f>
        <v>9108.8212166622361</v>
      </c>
      <c r="P54" s="11">
        <f>O54*'ABP Future Assumptions'!$D$93</f>
        <v>9063.2771105789252</v>
      </c>
      <c r="Q54" s="11">
        <f>P54*'ABP Future Assumptions'!$D$93</f>
        <v>9017.9607250260306</v>
      </c>
      <c r="R54" s="11">
        <f>Q54*'ABP Future Assumptions'!$D$93</f>
        <v>8972.8709214008995</v>
      </c>
      <c r="S54" s="11">
        <f>R54*'ABP Future Assumptions'!$D$93</f>
        <v>8928.0065667938943</v>
      </c>
      <c r="T54" s="11">
        <f>S54*'ABP Future Assumptions'!$D$93</f>
        <v>8883.3665339599247</v>
      </c>
      <c r="U54" s="140"/>
      <c r="V54" s="140"/>
      <c r="W54" s="140"/>
      <c r="X54" s="140"/>
    </row>
    <row r="55" spans="2:24" x14ac:dyDescent="0.25">
      <c r="B55" s="209" t="s">
        <v>141</v>
      </c>
      <c r="C55" s="70">
        <f>'ABP Future Assumptions'!C80</f>
        <v>33864.91478221328</v>
      </c>
      <c r="D55" s="142">
        <f>'ABP Future Assumptions'!F80</f>
        <v>0.14410999999999999</v>
      </c>
      <c r="E55" s="146">
        <f>SUM(F55:X55)</f>
        <v>619302.56003810931</v>
      </c>
      <c r="F55" s="11">
        <f>(C55*D55*8760)/1000</f>
        <v>42751.19033475926</v>
      </c>
      <c r="G55" s="11">
        <f>F55*'ABP Future Assumptions'!$D$93</f>
        <v>42537.434383085463</v>
      </c>
      <c r="H55" s="11">
        <f>G55*'ABP Future Assumptions'!$D$93</f>
        <v>42324.747211170034</v>
      </c>
      <c r="I55" s="11">
        <f>H55*'ABP Future Assumptions'!$D$93</f>
        <v>42113.123475114182</v>
      </c>
      <c r="J55" s="11">
        <f>I55*'ABP Future Assumptions'!$D$93</f>
        <v>41902.557857738611</v>
      </c>
      <c r="K55" s="11">
        <f>J55*'ABP Future Assumptions'!$D$93</f>
        <v>41693.045068449916</v>
      </c>
      <c r="L55" s="11">
        <f>K55*'ABP Future Assumptions'!$D$93</f>
        <v>41484.579843107669</v>
      </c>
      <c r="M55" s="11">
        <f>L55*'ABP Future Assumptions'!$D$93</f>
        <v>41277.156943892129</v>
      </c>
      <c r="N55" s="11">
        <f>M55*'ABP Future Assumptions'!$D$93</f>
        <v>41070.771159172669</v>
      </c>
      <c r="O55" s="11">
        <f>N55*'ABP Future Assumptions'!$D$93</f>
        <v>40865.417303376809</v>
      </c>
      <c r="P55" s="11">
        <f>O55*'ABP Future Assumptions'!$D$93</f>
        <v>40661.090216859928</v>
      </c>
      <c r="Q55" s="11">
        <f>P55*'ABP Future Assumptions'!$D$93</f>
        <v>40457.784765775628</v>
      </c>
      <c r="R55" s="11">
        <f>Q55*'ABP Future Assumptions'!$D$93</f>
        <v>40255.495841946751</v>
      </c>
      <c r="S55" s="11">
        <f>R55*'ABP Future Assumptions'!$D$93</f>
        <v>40054.218362737018</v>
      </c>
      <c r="T55" s="11">
        <f>S55*'ABP Future Assumptions'!$D$93</f>
        <v>39853.947270923331</v>
      </c>
      <c r="U55" s="140"/>
      <c r="V55" s="140"/>
      <c r="W55" s="140"/>
      <c r="X55" s="140"/>
    </row>
    <row r="56" spans="2:24" x14ac:dyDescent="0.25">
      <c r="B56" s="209" t="s">
        <v>136</v>
      </c>
      <c r="C56" s="70">
        <f>'ABP Future Assumptions'!C81</f>
        <v>0</v>
      </c>
      <c r="D56" s="142">
        <f>'ABP Future Assumptions'!F81</f>
        <v>0.14399999999999999</v>
      </c>
      <c r="E56" s="146"/>
      <c r="F56" s="11"/>
      <c r="G56" s="11"/>
      <c r="H56" s="11"/>
      <c r="I56" s="11"/>
      <c r="J56" s="11"/>
      <c r="K56" s="11"/>
      <c r="L56" s="11"/>
      <c r="M56" s="11"/>
      <c r="N56" s="11"/>
      <c r="O56" s="11"/>
      <c r="P56" s="11"/>
      <c r="Q56" s="11"/>
      <c r="R56" s="11"/>
      <c r="S56" s="11"/>
      <c r="T56" s="11"/>
      <c r="U56" s="140"/>
      <c r="V56" s="140"/>
      <c r="W56" s="140"/>
      <c r="X56" s="140"/>
    </row>
    <row r="57" spans="2:24" x14ac:dyDescent="0.25">
      <c r="B57" s="170" t="s">
        <v>153</v>
      </c>
      <c r="C57" s="165">
        <f>'ABP Future Assumptions'!C82</f>
        <v>112000</v>
      </c>
      <c r="D57" s="95"/>
      <c r="E57" s="145"/>
      <c r="F57" s="11"/>
      <c r="G57" s="11"/>
      <c r="H57" s="144"/>
      <c r="I57" s="144"/>
      <c r="J57" s="144"/>
      <c r="K57" s="144"/>
      <c r="L57" s="144"/>
      <c r="M57" s="144"/>
      <c r="N57" s="144"/>
      <c r="O57" s="144"/>
      <c r="P57" s="144"/>
      <c r="Q57" s="144"/>
      <c r="R57" s="144"/>
      <c r="S57" s="144"/>
      <c r="T57" s="144"/>
      <c r="U57" s="170"/>
      <c r="V57" s="170"/>
      <c r="W57" s="170"/>
      <c r="X57" s="170"/>
    </row>
    <row r="58" spans="2:24" x14ac:dyDescent="0.25">
      <c r="B58" s="209" t="s">
        <v>138</v>
      </c>
      <c r="C58" s="70">
        <f>'ABP Future Assumptions'!C83</f>
        <v>4235.6280774409306</v>
      </c>
      <c r="D58" s="142">
        <f>'ABP Future Assumptions'!F83</f>
        <v>0.14305999999999999</v>
      </c>
      <c r="E58" s="143">
        <f>SUM(F58:X58)</f>
        <v>76894.417125575666</v>
      </c>
      <c r="F58" s="11">
        <f>(C58*D58*8760)/1000</f>
        <v>5308.1128261662079</v>
      </c>
      <c r="G58" s="11">
        <f>F58*'ABP Future Assumptions'!$D$93</f>
        <v>5281.5722620353772</v>
      </c>
      <c r="H58" s="11">
        <f>G58*'ABP Future Assumptions'!$D$93</f>
        <v>5255.1644007252007</v>
      </c>
      <c r="I58" s="11">
        <f>H58*'ABP Future Assumptions'!$D$93</f>
        <v>5228.888578721575</v>
      </c>
      <c r="J58" s="11">
        <f>I58*'ABP Future Assumptions'!$D$93</f>
        <v>5202.7441358279675</v>
      </c>
      <c r="K58" s="11">
        <f>J58*'ABP Future Assumptions'!$D$93</f>
        <v>5176.7304151488279</v>
      </c>
      <c r="L58" s="11">
        <f>K58*'ABP Future Assumptions'!$D$93</f>
        <v>5150.8467630730838</v>
      </c>
      <c r="M58" s="11">
        <f>L58*'ABP Future Assumptions'!$D$93</f>
        <v>5125.0925292577185</v>
      </c>
      <c r="N58" s="11">
        <f>M58*'ABP Future Assumptions'!$D$93</f>
        <v>5099.4670666114298</v>
      </c>
      <c r="O58" s="11">
        <f>N58*'ABP Future Assumptions'!$D$93</f>
        <v>5073.9697312783728</v>
      </c>
      <c r="P58" s="11">
        <f>O58*'ABP Future Assumptions'!$D$93</f>
        <v>5048.5998826219811</v>
      </c>
      <c r="Q58" s="11">
        <f>P58*'ABP Future Assumptions'!$D$93</f>
        <v>5023.3568832088713</v>
      </c>
      <c r="R58" s="11">
        <f>Q58*'ABP Future Assumptions'!$D$93</f>
        <v>4998.2400987928268</v>
      </c>
      <c r="S58" s="11">
        <f>R58*'ABP Future Assumptions'!$D$93</f>
        <v>4973.2488982988625</v>
      </c>
      <c r="T58" s="11">
        <f>S58*'ABP Future Assumptions'!$D$93</f>
        <v>4948.3826538073681</v>
      </c>
      <c r="U58" s="140"/>
      <c r="V58" s="140"/>
      <c r="W58" s="140"/>
      <c r="X58" s="140"/>
    </row>
    <row r="59" spans="2:24" x14ac:dyDescent="0.25">
      <c r="B59" s="209" t="s">
        <v>133</v>
      </c>
      <c r="C59" s="70">
        <f>'ABP Future Assumptions'!C84</f>
        <v>3298.2875696905185</v>
      </c>
      <c r="D59" s="142">
        <f>'ABP Future Assumptions'!F84</f>
        <v>0.14176</v>
      </c>
      <c r="E59" s="143">
        <f>SUM(F59:X59)</f>
        <v>59333.640047373134</v>
      </c>
      <c r="F59" s="11">
        <f>(C59*D59*8760)/1000</f>
        <v>4095.8715539029126</v>
      </c>
      <c r="G59" s="11">
        <f>F59*'ABP Future Assumptions'!$D$93</f>
        <v>4075.3921961333981</v>
      </c>
      <c r="H59" s="11">
        <f>G59*'ABP Future Assumptions'!$D$93</f>
        <v>4055.0152351527313</v>
      </c>
      <c r="I59" s="11">
        <f>H59*'ABP Future Assumptions'!$D$93</f>
        <v>4034.7401589769675</v>
      </c>
      <c r="J59" s="11">
        <f>I59*'ABP Future Assumptions'!$D$93</f>
        <v>4014.5664581820824</v>
      </c>
      <c r="K59" s="11">
        <f>J59*'ABP Future Assumptions'!$D$93</f>
        <v>3994.4936258911721</v>
      </c>
      <c r="L59" s="11">
        <f>K59*'ABP Future Assumptions'!$D$93</f>
        <v>3974.521157761716</v>
      </c>
      <c r="M59" s="11">
        <f>L59*'ABP Future Assumptions'!$D$93</f>
        <v>3954.6485519729076</v>
      </c>
      <c r="N59" s="11">
        <f>M59*'ABP Future Assumptions'!$D$93</f>
        <v>3934.8753092130432</v>
      </c>
      <c r="O59" s="11">
        <f>N59*'ABP Future Assumptions'!$D$93</f>
        <v>3915.2009326669781</v>
      </c>
      <c r="P59" s="11">
        <f>O59*'ABP Future Assumptions'!$D$93</f>
        <v>3895.6249280036432</v>
      </c>
      <c r="Q59" s="11">
        <f>P59*'ABP Future Assumptions'!$D$93</f>
        <v>3876.1468033636247</v>
      </c>
      <c r="R59" s="11">
        <f>Q59*'ABP Future Assumptions'!$D$93</f>
        <v>3856.7660693468065</v>
      </c>
      <c r="S59" s="11">
        <f>R59*'ABP Future Assumptions'!$D$93</f>
        <v>3837.4822390000722</v>
      </c>
      <c r="T59" s="11">
        <f>S59*'ABP Future Assumptions'!$D$93</f>
        <v>3818.2948278050717</v>
      </c>
      <c r="U59" s="140"/>
      <c r="V59" s="140"/>
      <c r="W59" s="140"/>
      <c r="X59" s="140"/>
    </row>
    <row r="60" spans="2:24" x14ac:dyDescent="0.25">
      <c r="B60" s="209" t="s">
        <v>134</v>
      </c>
      <c r="C60" s="70">
        <f>'ABP Future Assumptions'!C85</f>
        <v>12224.701187472961</v>
      </c>
      <c r="D60" s="142">
        <f>'ABP Future Assumptions'!F85</f>
        <v>0.14119000000000001</v>
      </c>
      <c r="E60" s="143">
        <f>SUM(F60:X60)</f>
        <v>219028.6672469117</v>
      </c>
      <c r="F60" s="11">
        <f>(C60*D60*8760)/1000</f>
        <v>15119.808711375534</v>
      </c>
      <c r="G60" s="11">
        <f>F60*'ABP Future Assumptions'!$D$93</f>
        <v>15044.209667818655</v>
      </c>
      <c r="H60" s="11">
        <f>G60*'ABP Future Assumptions'!$D$93</f>
        <v>14968.988619479562</v>
      </c>
      <c r="I60" s="11">
        <f>H60*'ABP Future Assumptions'!$D$93</f>
        <v>14894.143676382164</v>
      </c>
      <c r="J60" s="11">
        <f>I60*'ABP Future Assumptions'!$D$93</f>
        <v>14819.672958000254</v>
      </c>
      <c r="K60" s="11">
        <f>J60*'ABP Future Assumptions'!$D$93</f>
        <v>14745.574593210253</v>
      </c>
      <c r="L60" s="11">
        <f>K60*'ABP Future Assumptions'!$D$93</f>
        <v>14671.846720244201</v>
      </c>
      <c r="M60" s="11">
        <f>L60*'ABP Future Assumptions'!$D$93</f>
        <v>14598.48748664298</v>
      </c>
      <c r="N60" s="11">
        <f>M60*'ABP Future Assumptions'!$D$93</f>
        <v>14525.495049209765</v>
      </c>
      <c r="O60" s="11">
        <f>N60*'ABP Future Assumptions'!$D$93</f>
        <v>14452.867573963716</v>
      </c>
      <c r="P60" s="11">
        <f>O60*'ABP Future Assumptions'!$D$93</f>
        <v>14380.603236093897</v>
      </c>
      <c r="Q60" s="11">
        <f>P60*'ABP Future Assumptions'!$D$93</f>
        <v>14308.700219913428</v>
      </c>
      <c r="R60" s="11">
        <f>Q60*'ABP Future Assumptions'!$D$93</f>
        <v>14237.15671881386</v>
      </c>
      <c r="S60" s="11">
        <f>R60*'ABP Future Assumptions'!$D$93</f>
        <v>14165.97093521979</v>
      </c>
      <c r="T60" s="11">
        <f>S60*'ABP Future Assumptions'!$D$93</f>
        <v>14095.14108054369</v>
      </c>
      <c r="U60" s="140"/>
      <c r="V60" s="140"/>
      <c r="W60" s="140"/>
      <c r="X60" s="140"/>
    </row>
    <row r="61" spans="2:24" x14ac:dyDescent="0.25">
      <c r="B61" s="209" t="s">
        <v>141</v>
      </c>
      <c r="C61" s="70">
        <f>'ABP Future Assumptions'!C86</f>
        <v>92241.344279666169</v>
      </c>
      <c r="D61" s="142">
        <f>'ABP Future Assumptions'!F86</f>
        <v>0.1497</v>
      </c>
      <c r="E61" s="141">
        <f>SUM(F61:X61)</f>
        <v>1752290.8527767048</v>
      </c>
      <c r="F61" s="11">
        <f>(C61*D61*8760)/1000</f>
        <v>120962.71613071438</v>
      </c>
      <c r="G61" s="11">
        <f>F61*'ABP Future Assumptions'!$D$93</f>
        <v>120357.90255006081</v>
      </c>
      <c r="H61" s="11">
        <f>G61*'ABP Future Assumptions'!$D$93</f>
        <v>119756.11303731051</v>
      </c>
      <c r="I61" s="11">
        <f>H61*'ABP Future Assumptions'!$D$93</f>
        <v>119157.33247212396</v>
      </c>
      <c r="J61" s="11">
        <f>I61*'ABP Future Assumptions'!$D$93</f>
        <v>118561.54580976334</v>
      </c>
      <c r="K61" s="11">
        <f>J61*'ABP Future Assumptions'!$D$93</f>
        <v>117968.73808071452</v>
      </c>
      <c r="L61" s="11">
        <f>K61*'ABP Future Assumptions'!$D$93</f>
        <v>117378.89439031095</v>
      </c>
      <c r="M61" s="11">
        <f>L61*'ABP Future Assumptions'!$D$93</f>
        <v>116791.99991835939</v>
      </c>
      <c r="N61" s="11">
        <f>M61*'ABP Future Assumptions'!$D$93</f>
        <v>116208.03991876759</v>
      </c>
      <c r="O61" s="11">
        <f>N61*'ABP Future Assumptions'!$D$93</f>
        <v>115626.99971917375</v>
      </c>
      <c r="P61" s="11">
        <f>O61*'ABP Future Assumptions'!$D$93</f>
        <v>115048.86472057788</v>
      </c>
      <c r="Q61" s="11">
        <f>P61*'ABP Future Assumptions'!$D$93</f>
        <v>114473.62039697499</v>
      </c>
      <c r="R61" s="11">
        <f>Q61*'ABP Future Assumptions'!$D$93</f>
        <v>113901.25229499012</v>
      </c>
      <c r="S61" s="11">
        <f>R61*'ABP Future Assumptions'!$D$93</f>
        <v>113331.74603351517</v>
      </c>
      <c r="T61" s="11">
        <f>S61*'ABP Future Assumptions'!$D$93</f>
        <v>112765.08730334759</v>
      </c>
      <c r="U61" s="140"/>
      <c r="V61" s="140"/>
      <c r="W61" s="140"/>
      <c r="X61" s="140"/>
    </row>
    <row r="62" spans="2:24" x14ac:dyDescent="0.25">
      <c r="B62" s="209" t="s">
        <v>136</v>
      </c>
      <c r="C62" s="70">
        <f>'ABP Future Assumptions'!C87</f>
        <v>0</v>
      </c>
      <c r="D62" s="142">
        <f>'ABP Future Assumptions'!F87</f>
        <v>0.15</v>
      </c>
      <c r="E62" s="141"/>
      <c r="F62" s="11"/>
      <c r="G62" s="11"/>
      <c r="H62" s="11"/>
      <c r="I62" s="11"/>
      <c r="J62" s="11"/>
      <c r="K62" s="11"/>
      <c r="L62" s="11"/>
      <c r="M62" s="11"/>
      <c r="N62" s="11"/>
      <c r="O62" s="11"/>
      <c r="P62" s="11"/>
      <c r="Q62" s="11"/>
      <c r="R62" s="11"/>
      <c r="S62" s="11"/>
      <c r="T62" s="11"/>
      <c r="U62" s="140"/>
      <c r="V62" s="140"/>
      <c r="W62" s="140"/>
      <c r="X62" s="140"/>
    </row>
    <row r="64" spans="2:24" x14ac:dyDescent="0.25">
      <c r="B64" s="139" t="s">
        <v>163</v>
      </c>
    </row>
    <row r="65" spans="2:24" x14ac:dyDescent="0.25">
      <c r="B65" s="209"/>
    </row>
    <row r="66" spans="2:24" ht="15.75" x14ac:dyDescent="0.25">
      <c r="B66" s="170"/>
      <c r="C66" s="208" t="s">
        <v>159</v>
      </c>
      <c r="D66" s="208" t="s">
        <v>164</v>
      </c>
      <c r="E66" s="208" t="s">
        <v>165</v>
      </c>
      <c r="F66" s="208" t="s">
        <v>22</v>
      </c>
      <c r="G66" s="208" t="s">
        <v>23</v>
      </c>
      <c r="H66" s="208" t="s">
        <v>24</v>
      </c>
      <c r="I66" s="208" t="s">
        <v>25</v>
      </c>
      <c r="J66" s="208" t="s">
        <v>26</v>
      </c>
      <c r="K66" s="208" t="s">
        <v>27</v>
      </c>
      <c r="L66" s="208" t="s">
        <v>28</v>
      </c>
      <c r="M66" s="208" t="s">
        <v>29</v>
      </c>
      <c r="N66" s="208" t="s">
        <v>30</v>
      </c>
      <c r="O66" s="208" t="s">
        <v>31</v>
      </c>
      <c r="P66" s="208" t="s">
        <v>32</v>
      </c>
      <c r="Q66" s="208" t="s">
        <v>33</v>
      </c>
      <c r="R66" s="208" t="s">
        <v>34</v>
      </c>
      <c r="S66" s="208" t="s">
        <v>35</v>
      </c>
      <c r="T66" s="208" t="s">
        <v>36</v>
      </c>
      <c r="U66" s="208" t="s">
        <v>37</v>
      </c>
      <c r="V66" s="208" t="s">
        <v>38</v>
      </c>
      <c r="W66" s="208" t="s">
        <v>39</v>
      </c>
      <c r="X66" s="208" t="s">
        <v>158</v>
      </c>
    </row>
    <row r="67" spans="2:24" ht="15.75" x14ac:dyDescent="0.25">
      <c r="B67" s="175" t="s">
        <v>162</v>
      </c>
      <c r="C67" s="208"/>
      <c r="D67" s="208"/>
      <c r="E67" s="137">
        <f>SUM(E70:E123)</f>
        <v>993219758.09591794</v>
      </c>
      <c r="F67" s="208">
        <v>2025</v>
      </c>
      <c r="G67" s="208">
        <f t="shared" ref="G67:X67" si="8">F67+1</f>
        <v>2026</v>
      </c>
      <c r="H67" s="208">
        <f t="shared" si="8"/>
        <v>2027</v>
      </c>
      <c r="I67" s="208">
        <f t="shared" si="8"/>
        <v>2028</v>
      </c>
      <c r="J67" s="208">
        <f t="shared" si="8"/>
        <v>2029</v>
      </c>
      <c r="K67" s="208">
        <f t="shared" si="8"/>
        <v>2030</v>
      </c>
      <c r="L67" s="208">
        <f t="shared" si="8"/>
        <v>2031</v>
      </c>
      <c r="M67" s="208">
        <f t="shared" si="8"/>
        <v>2032</v>
      </c>
      <c r="N67" s="208">
        <f t="shared" si="8"/>
        <v>2033</v>
      </c>
      <c r="O67" s="208">
        <f t="shared" si="8"/>
        <v>2034</v>
      </c>
      <c r="P67" s="208">
        <f t="shared" si="8"/>
        <v>2035</v>
      </c>
      <c r="Q67" s="208">
        <f t="shared" si="8"/>
        <v>2036</v>
      </c>
      <c r="R67" s="208">
        <f t="shared" si="8"/>
        <v>2037</v>
      </c>
      <c r="S67" s="208">
        <f t="shared" si="8"/>
        <v>2038</v>
      </c>
      <c r="T67" s="208">
        <f t="shared" si="8"/>
        <v>2039</v>
      </c>
      <c r="U67" s="208">
        <f t="shared" si="8"/>
        <v>2040</v>
      </c>
      <c r="V67" s="208">
        <f t="shared" si="8"/>
        <v>2041</v>
      </c>
      <c r="W67" s="208">
        <f t="shared" si="8"/>
        <v>2042</v>
      </c>
      <c r="X67" s="208">
        <f t="shared" si="8"/>
        <v>2043</v>
      </c>
    </row>
    <row r="68" spans="2:24" x14ac:dyDescent="0.25">
      <c r="B68" s="89" t="s">
        <v>83</v>
      </c>
      <c r="C68" s="136">
        <f>C70+C77+C90+C93+C108+C111</f>
        <v>800000</v>
      </c>
      <c r="D68" s="138"/>
      <c r="E68" s="137"/>
      <c r="F68" s="137"/>
      <c r="G68" s="137"/>
      <c r="H68" s="137"/>
      <c r="I68" s="137"/>
      <c r="J68" s="137"/>
      <c r="K68" s="137"/>
      <c r="L68" s="137"/>
      <c r="M68" s="137"/>
      <c r="N68" s="137"/>
      <c r="O68" s="137"/>
      <c r="P68" s="137"/>
      <c r="Q68" s="137"/>
      <c r="R68" s="137"/>
      <c r="S68" s="137"/>
      <c r="T68" s="137"/>
      <c r="U68" s="137"/>
      <c r="V68" s="137"/>
      <c r="W68" s="137"/>
      <c r="X68" s="137"/>
    </row>
    <row r="69" spans="2:24" x14ac:dyDescent="0.25">
      <c r="B69" s="89" t="s">
        <v>123</v>
      </c>
      <c r="C69" s="136">
        <f>C72+C73+C75+C76+C79+C80+C81+C82+C85+C86+C87+C88+C91+C92+C95+C96+C97+C98+C99+C102+C103+C104+C105+C106+C109+C110+C113+C114+C115+C116+C119+C120+C121+C122</f>
        <v>799999.74014846876</v>
      </c>
      <c r="D69" s="92"/>
      <c r="E69" s="16">
        <f t="shared" ref="E69:X69" si="9">E70+E77+E90+E93+E108+E111</f>
        <v>993219758.09591794</v>
      </c>
      <c r="F69" s="16">
        <f>F70+F77+F90+F93+F108+F111</f>
        <v>245018569.05732259</v>
      </c>
      <c r="G69" s="16">
        <f>G70+G77+G90+G93+G108+G111</f>
        <v>73623451.038392216</v>
      </c>
      <c r="H69" s="16">
        <f t="shared" si="9"/>
        <v>73113740.86011216</v>
      </c>
      <c r="I69" s="16">
        <f t="shared" si="9"/>
        <v>72980269.831838429</v>
      </c>
      <c r="J69" s="16">
        <f t="shared" si="9"/>
        <v>72847466.158706069</v>
      </c>
      <c r="K69" s="16">
        <f t="shared" si="9"/>
        <v>72715326.50393939</v>
      </c>
      <c r="L69" s="16">
        <f t="shared" si="9"/>
        <v>72583847.547446519</v>
      </c>
      <c r="M69" s="16">
        <f t="shared" si="9"/>
        <v>32418154.282835826</v>
      </c>
      <c r="N69" s="16">
        <f t="shared" si="9"/>
        <v>25903323.326468114</v>
      </c>
      <c r="O69" s="16">
        <f t="shared" si="9"/>
        <v>25773806.709835775</v>
      </c>
      <c r="P69" s="16">
        <f t="shared" si="9"/>
        <v>25644937.676286593</v>
      </c>
      <c r="Q69" s="16">
        <f t="shared" si="9"/>
        <v>25516712.987905163</v>
      </c>
      <c r="R69" s="16">
        <f t="shared" si="9"/>
        <v>25389129.422965638</v>
      </c>
      <c r="S69" s="16">
        <f t="shared" si="9"/>
        <v>25262183.77585081</v>
      </c>
      <c r="T69" s="16">
        <f t="shared" si="9"/>
        <v>25135872.856971554</v>
      </c>
      <c r="U69" s="16">
        <f t="shared" si="9"/>
        <v>25010193.492686696</v>
      </c>
      <c r="V69" s="16">
        <f t="shared" si="9"/>
        <v>24885142.525223263</v>
      </c>
      <c r="W69" s="16">
        <f t="shared" si="9"/>
        <v>24760716.812597148</v>
      </c>
      <c r="X69" s="16">
        <f t="shared" si="9"/>
        <v>24636913.228534162</v>
      </c>
    </row>
    <row r="70" spans="2:24" x14ac:dyDescent="0.25">
      <c r="B70" s="12" t="s">
        <v>124</v>
      </c>
      <c r="C70" s="70">
        <f>'ABP Future Assumptions'!C6</f>
        <v>144000</v>
      </c>
      <c r="D70" s="93"/>
      <c r="E70" s="16">
        <f>SUM(F70:Y70)</f>
        <v>192311662.74822938</v>
      </c>
      <c r="F70" s="135">
        <f t="shared" ref="F70:X70" si="10">F72+F73+F75+F76</f>
        <v>192311662.74822938</v>
      </c>
      <c r="G70" s="135">
        <f t="shared" si="10"/>
        <v>0</v>
      </c>
      <c r="H70" s="135">
        <f t="shared" si="10"/>
        <v>0</v>
      </c>
      <c r="I70" s="135">
        <f t="shared" si="10"/>
        <v>0</v>
      </c>
      <c r="J70" s="135">
        <f t="shared" si="10"/>
        <v>0</v>
      </c>
      <c r="K70" s="135">
        <f t="shared" si="10"/>
        <v>0</v>
      </c>
      <c r="L70" s="135">
        <f t="shared" si="10"/>
        <v>0</v>
      </c>
      <c r="M70" s="135">
        <f t="shared" si="10"/>
        <v>0</v>
      </c>
      <c r="N70" s="135">
        <f t="shared" si="10"/>
        <v>0</v>
      </c>
      <c r="O70" s="135">
        <f t="shared" si="10"/>
        <v>0</v>
      </c>
      <c r="P70" s="135">
        <f t="shared" si="10"/>
        <v>0</v>
      </c>
      <c r="Q70" s="135">
        <f t="shared" si="10"/>
        <v>0</v>
      </c>
      <c r="R70" s="135">
        <f t="shared" si="10"/>
        <v>0</v>
      </c>
      <c r="S70" s="135">
        <f t="shared" si="10"/>
        <v>0</v>
      </c>
      <c r="T70" s="135">
        <f t="shared" si="10"/>
        <v>0</v>
      </c>
      <c r="U70" s="135">
        <f t="shared" si="10"/>
        <v>0</v>
      </c>
      <c r="V70" s="135">
        <f t="shared" si="10"/>
        <v>0</v>
      </c>
      <c r="W70" s="135">
        <f t="shared" si="10"/>
        <v>0</v>
      </c>
      <c r="X70" s="135">
        <f t="shared" si="10"/>
        <v>0</v>
      </c>
    </row>
    <row r="71" spans="2:24" x14ac:dyDescent="0.25">
      <c r="B71" s="170" t="s">
        <v>125</v>
      </c>
      <c r="C71" s="165">
        <f>'ABP Future Assumptions'!C7</f>
        <v>43200</v>
      </c>
      <c r="D71" s="167"/>
      <c r="E71" s="170"/>
      <c r="F71" s="134"/>
      <c r="G71" s="167"/>
      <c r="H71" s="167"/>
      <c r="I71" s="167"/>
      <c r="J71" s="167"/>
      <c r="K71" s="167"/>
      <c r="L71" s="167"/>
      <c r="M71" s="167"/>
      <c r="N71" s="167"/>
      <c r="O71" s="167"/>
      <c r="P71" s="167"/>
      <c r="Q71" s="167"/>
      <c r="R71" s="167"/>
      <c r="S71" s="167"/>
      <c r="T71" s="167"/>
      <c r="U71" s="167"/>
      <c r="V71" s="167"/>
      <c r="W71" s="167"/>
      <c r="X71" s="167"/>
    </row>
    <row r="72" spans="2:24" x14ac:dyDescent="0.25">
      <c r="B72" s="209" t="s">
        <v>126</v>
      </c>
      <c r="C72" s="70">
        <f>'ABP Future Assumptions'!C8</f>
        <v>16416</v>
      </c>
      <c r="D72" s="71">
        <f>'ABP Future Assumptions'!J8</f>
        <v>73.709999999999994</v>
      </c>
      <c r="E72" s="209"/>
      <c r="F72" s="132">
        <f>E11*D72</f>
        <v>22854524.28913229</v>
      </c>
      <c r="G72" s="40"/>
      <c r="H72" s="40"/>
      <c r="I72" s="40"/>
      <c r="J72" s="40"/>
      <c r="K72" s="40"/>
      <c r="L72" s="40"/>
      <c r="M72" s="40"/>
      <c r="N72" s="40"/>
      <c r="O72" s="40"/>
      <c r="P72" s="40"/>
      <c r="Q72" s="40"/>
      <c r="R72" s="40"/>
      <c r="S72" s="40"/>
      <c r="T72" s="40"/>
      <c r="U72" s="40"/>
      <c r="V72" s="40"/>
      <c r="W72" s="40"/>
      <c r="X72" s="40"/>
    </row>
    <row r="73" spans="2:24" x14ac:dyDescent="0.25">
      <c r="B73" s="209" t="s">
        <v>127</v>
      </c>
      <c r="C73" s="70">
        <f>'ABP Future Assumptions'!C9</f>
        <v>26784</v>
      </c>
      <c r="D73" s="71">
        <f>'ABP Future Assumptions'!J9</f>
        <v>63.53</v>
      </c>
      <c r="E73" s="209"/>
      <c r="F73" s="132">
        <f>E12*D73</f>
        <v>32670214.785182625</v>
      </c>
      <c r="G73" s="40"/>
      <c r="H73" s="40"/>
      <c r="I73" s="40"/>
      <c r="J73" s="40"/>
      <c r="K73" s="40"/>
      <c r="L73" s="40"/>
      <c r="M73" s="40"/>
      <c r="N73" s="40"/>
      <c r="O73" s="40"/>
      <c r="P73" s="40"/>
      <c r="Q73" s="40"/>
      <c r="R73" s="40"/>
      <c r="S73" s="40"/>
      <c r="T73" s="40"/>
      <c r="U73" s="40"/>
      <c r="V73" s="40"/>
      <c r="W73" s="40"/>
      <c r="X73" s="40"/>
    </row>
    <row r="74" spans="2:24" x14ac:dyDescent="0.25">
      <c r="B74" s="170" t="s">
        <v>128</v>
      </c>
      <c r="C74" s="165">
        <f>'ABP Future Assumptions'!C10</f>
        <v>100800</v>
      </c>
      <c r="D74" s="94"/>
      <c r="E74" s="170"/>
      <c r="F74" s="133"/>
      <c r="G74" s="167"/>
      <c r="H74" s="167"/>
      <c r="I74" s="167"/>
      <c r="J74" s="167"/>
      <c r="K74" s="167"/>
      <c r="L74" s="167"/>
      <c r="M74" s="167"/>
      <c r="N74" s="167"/>
      <c r="O74" s="167"/>
      <c r="P74" s="167"/>
      <c r="Q74" s="167"/>
      <c r="R74" s="167"/>
      <c r="S74" s="167"/>
      <c r="T74" s="167"/>
      <c r="U74" s="167"/>
      <c r="V74" s="167"/>
      <c r="W74" s="167"/>
      <c r="X74" s="167"/>
    </row>
    <row r="75" spans="2:24" x14ac:dyDescent="0.25">
      <c r="B75" s="209" t="s">
        <v>129</v>
      </c>
      <c r="C75" s="70">
        <f>'ABP Future Assumptions'!C11</f>
        <v>38304</v>
      </c>
      <c r="D75" s="71">
        <f>'ABP Future Assumptions'!J11</f>
        <v>83.87</v>
      </c>
      <c r="E75" s="209"/>
      <c r="F75" s="132">
        <f>E14*D75</f>
        <v>54892865.14971675</v>
      </c>
      <c r="G75" s="40"/>
      <c r="H75" s="40"/>
      <c r="I75" s="40"/>
      <c r="J75" s="40"/>
      <c r="K75" s="40"/>
      <c r="L75" s="40"/>
      <c r="M75" s="40"/>
      <c r="N75" s="40"/>
      <c r="O75" s="40"/>
      <c r="P75" s="40"/>
      <c r="Q75" s="40"/>
      <c r="R75" s="40"/>
      <c r="S75" s="40"/>
      <c r="T75" s="40"/>
      <c r="U75" s="40"/>
      <c r="V75" s="40"/>
      <c r="W75" s="40"/>
      <c r="X75" s="40"/>
    </row>
    <row r="76" spans="2:24" x14ac:dyDescent="0.25">
      <c r="B76" s="209" t="s">
        <v>127</v>
      </c>
      <c r="C76" s="70">
        <f>'ABP Future Assumptions'!C12</f>
        <v>62496</v>
      </c>
      <c r="D76" s="71">
        <f>'ABP Future Assumptions'!J12</f>
        <v>77.53</v>
      </c>
      <c r="E76" s="209"/>
      <c r="F76" s="132">
        <f>E15*D76</f>
        <v>81894058.524197727</v>
      </c>
      <c r="G76" s="40"/>
      <c r="H76" s="40"/>
      <c r="I76" s="40"/>
      <c r="J76" s="40"/>
      <c r="K76" s="40"/>
      <c r="L76" s="40"/>
      <c r="M76" s="40"/>
      <c r="N76" s="40"/>
      <c r="O76" s="40"/>
      <c r="P76" s="40"/>
      <c r="Q76" s="40"/>
      <c r="R76" s="40"/>
      <c r="S76" s="40"/>
      <c r="T76" s="40"/>
      <c r="U76" s="40"/>
      <c r="V76" s="40"/>
      <c r="W76" s="40"/>
      <c r="X76" s="40"/>
    </row>
    <row r="77" spans="2:24" x14ac:dyDescent="0.25">
      <c r="B77" s="12" t="s">
        <v>130</v>
      </c>
      <c r="C77" s="70">
        <f>'ABP Future Assumptions'!C13</f>
        <v>144000</v>
      </c>
      <c r="D77" s="93"/>
      <c r="E77" s="16">
        <f>SUM(F77:Y77)</f>
        <v>133862728.91372229</v>
      </c>
      <c r="F77" s="126">
        <f t="shared" ref="F77:X77" si="11">SUM(F79:F88)</f>
        <v>20079409.337058347</v>
      </c>
      <c r="G77" s="126">
        <f t="shared" si="11"/>
        <v>18963886.596110661</v>
      </c>
      <c r="H77" s="126">
        <f t="shared" si="11"/>
        <v>18963886.596110661</v>
      </c>
      <c r="I77" s="126">
        <f t="shared" si="11"/>
        <v>18963886.596110661</v>
      </c>
      <c r="J77" s="126">
        <f t="shared" si="11"/>
        <v>18963886.596110661</v>
      </c>
      <c r="K77" s="126">
        <f t="shared" si="11"/>
        <v>18963886.596110661</v>
      </c>
      <c r="L77" s="126">
        <f t="shared" si="11"/>
        <v>18963886.596110661</v>
      </c>
      <c r="M77" s="126">
        <f t="shared" si="11"/>
        <v>0</v>
      </c>
      <c r="N77" s="126">
        <f t="shared" si="11"/>
        <v>0</v>
      </c>
      <c r="O77" s="126">
        <f t="shared" si="11"/>
        <v>0</v>
      </c>
      <c r="P77" s="126">
        <f t="shared" si="11"/>
        <v>0</v>
      </c>
      <c r="Q77" s="126">
        <f t="shared" si="11"/>
        <v>0</v>
      </c>
      <c r="R77" s="126">
        <f t="shared" si="11"/>
        <v>0</v>
      </c>
      <c r="S77" s="126">
        <f t="shared" si="11"/>
        <v>0</v>
      </c>
      <c r="T77" s="126">
        <f t="shared" si="11"/>
        <v>0</v>
      </c>
      <c r="U77" s="126">
        <f t="shared" si="11"/>
        <v>0</v>
      </c>
      <c r="V77" s="126">
        <f t="shared" si="11"/>
        <v>0</v>
      </c>
      <c r="W77" s="126">
        <f t="shared" si="11"/>
        <v>0</v>
      </c>
      <c r="X77" s="126">
        <f t="shared" si="11"/>
        <v>0</v>
      </c>
    </row>
    <row r="78" spans="2:24" x14ac:dyDescent="0.25">
      <c r="B78" s="170" t="s">
        <v>131</v>
      </c>
      <c r="C78" s="165">
        <f>'ABP Future Assumptions'!C14</f>
        <v>43200</v>
      </c>
      <c r="D78" s="94"/>
      <c r="E78" s="170"/>
      <c r="F78" s="167"/>
      <c r="G78" s="167"/>
      <c r="H78" s="167"/>
      <c r="I78" s="167"/>
      <c r="J78" s="167"/>
      <c r="K78" s="167"/>
      <c r="L78" s="167"/>
      <c r="M78" s="167"/>
      <c r="N78" s="167"/>
      <c r="O78" s="167"/>
      <c r="P78" s="167"/>
      <c r="Q78" s="167"/>
      <c r="R78" s="167"/>
      <c r="S78" s="167"/>
      <c r="T78" s="167"/>
      <c r="U78" s="167"/>
      <c r="V78" s="167"/>
      <c r="W78" s="167"/>
      <c r="X78" s="167"/>
    </row>
    <row r="79" spans="2:24" x14ac:dyDescent="0.25">
      <c r="B79" s="209" t="s">
        <v>132</v>
      </c>
      <c r="C79" s="70">
        <f>'ABP Future Assumptions'!C15</f>
        <v>3567.8818691276247</v>
      </c>
      <c r="D79" s="71">
        <f>'ABP Future Assumptions'!J15</f>
        <v>55.89</v>
      </c>
      <c r="E79" s="209"/>
      <c r="F79" s="40">
        <f>(E18*D79)*0.15</f>
        <v>576836.14901062672</v>
      </c>
      <c r="G79" s="40">
        <f>((E18*D79)-F79)/6</f>
        <v>544789.69628781418</v>
      </c>
      <c r="H79" s="40">
        <f t="shared" ref="H79:L82" si="12">G79</f>
        <v>544789.69628781418</v>
      </c>
      <c r="I79" s="40">
        <f t="shared" si="12"/>
        <v>544789.69628781418</v>
      </c>
      <c r="J79" s="40">
        <f t="shared" si="12"/>
        <v>544789.69628781418</v>
      </c>
      <c r="K79" s="40">
        <f t="shared" si="12"/>
        <v>544789.69628781418</v>
      </c>
      <c r="L79" s="40">
        <f t="shared" si="12"/>
        <v>544789.69628781418</v>
      </c>
      <c r="M79" s="40"/>
      <c r="N79" s="40"/>
      <c r="O79" s="40"/>
      <c r="P79" s="40"/>
      <c r="Q79" s="40"/>
      <c r="R79" s="40"/>
      <c r="S79" s="40"/>
      <c r="T79" s="40"/>
      <c r="U79" s="40"/>
      <c r="V79" s="40"/>
      <c r="W79" s="40"/>
      <c r="X79" s="40"/>
    </row>
    <row r="80" spans="2:24" x14ac:dyDescent="0.25">
      <c r="B80" s="209" t="s">
        <v>133</v>
      </c>
      <c r="C80" s="70">
        <f>'ABP Future Assumptions'!C16</f>
        <v>2756.0186192949609</v>
      </c>
      <c r="D80" s="71">
        <f>'ABP Future Assumptions'!J16</f>
        <v>53.63</v>
      </c>
      <c r="E80" s="209"/>
      <c r="F80" s="40">
        <f>(E19*D80)*0.15</f>
        <v>416925.89656647801</v>
      </c>
      <c r="G80" s="40">
        <f>((E19*D80)-F80)/6</f>
        <v>393763.34675722924</v>
      </c>
      <c r="H80" s="40">
        <f t="shared" si="12"/>
        <v>393763.34675722924</v>
      </c>
      <c r="I80" s="40">
        <f t="shared" si="12"/>
        <v>393763.34675722924</v>
      </c>
      <c r="J80" s="40">
        <f t="shared" si="12"/>
        <v>393763.34675722924</v>
      </c>
      <c r="K80" s="40">
        <f t="shared" si="12"/>
        <v>393763.34675722924</v>
      </c>
      <c r="L80" s="40">
        <f t="shared" si="12"/>
        <v>393763.34675722924</v>
      </c>
      <c r="M80" s="40"/>
      <c r="N80" s="40"/>
      <c r="O80" s="40"/>
      <c r="P80" s="40"/>
      <c r="Q80" s="40"/>
      <c r="R80" s="40"/>
      <c r="S80" s="40"/>
      <c r="T80" s="40"/>
      <c r="U80" s="40"/>
      <c r="V80" s="40"/>
      <c r="W80" s="40"/>
      <c r="X80" s="40"/>
    </row>
    <row r="81" spans="2:24" x14ac:dyDescent="0.25">
      <c r="B81" s="209" t="s">
        <v>134</v>
      </c>
      <c r="C81" s="70">
        <f>'ABP Future Assumptions'!C17</f>
        <v>6397.5881171745195</v>
      </c>
      <c r="D81" s="71">
        <f>'ABP Future Assumptions'!J17</f>
        <v>46.58</v>
      </c>
      <c r="E81" s="209"/>
      <c r="F81" s="40">
        <f>(E20*D81)*0.15</f>
        <v>868045.25586846576</v>
      </c>
      <c r="G81" s="40">
        <f>((E20*D81)-F81)/6</f>
        <v>819820.51943132887</v>
      </c>
      <c r="H81" s="40">
        <f t="shared" si="12"/>
        <v>819820.51943132887</v>
      </c>
      <c r="I81" s="40">
        <f t="shared" si="12"/>
        <v>819820.51943132887</v>
      </c>
      <c r="J81" s="40">
        <f t="shared" si="12"/>
        <v>819820.51943132887</v>
      </c>
      <c r="K81" s="40">
        <f t="shared" si="12"/>
        <v>819820.51943132887</v>
      </c>
      <c r="L81" s="40">
        <f t="shared" si="12"/>
        <v>819820.51943132887</v>
      </c>
      <c r="M81" s="40"/>
      <c r="N81" s="40"/>
      <c r="O81" s="40"/>
      <c r="P81" s="40"/>
      <c r="Q81" s="40"/>
      <c r="R81" s="40"/>
      <c r="S81" s="40"/>
      <c r="T81" s="40"/>
      <c r="U81" s="40"/>
      <c r="V81" s="40"/>
      <c r="W81" s="40"/>
      <c r="X81" s="40"/>
    </row>
    <row r="82" spans="2:24" x14ac:dyDescent="0.25">
      <c r="B82" s="209" t="s">
        <v>141</v>
      </c>
      <c r="C82" s="70">
        <f>'ABP Future Assumptions'!C18</f>
        <v>30478.423303991953</v>
      </c>
      <c r="D82" s="71">
        <f>'ABP Future Assumptions'!J18</f>
        <v>43.77</v>
      </c>
      <c r="E82" s="209"/>
      <c r="F82" s="40">
        <f>(E21*D82)*0.15</f>
        <v>3659427.8621371863</v>
      </c>
      <c r="G82" s="40">
        <f>((E21*D82)-F82)/6</f>
        <v>3456126.3142406759</v>
      </c>
      <c r="H82" s="40">
        <f t="shared" si="12"/>
        <v>3456126.3142406759</v>
      </c>
      <c r="I82" s="40">
        <f t="shared" si="12"/>
        <v>3456126.3142406759</v>
      </c>
      <c r="J82" s="40">
        <f t="shared" si="12"/>
        <v>3456126.3142406759</v>
      </c>
      <c r="K82" s="40">
        <f t="shared" si="12"/>
        <v>3456126.3142406759</v>
      </c>
      <c r="L82" s="40">
        <f t="shared" si="12"/>
        <v>3456126.3142406759</v>
      </c>
      <c r="M82" s="40"/>
      <c r="N82" s="40"/>
      <c r="O82" s="40"/>
      <c r="P82" s="40"/>
      <c r="Q82" s="40"/>
      <c r="R82" s="40"/>
      <c r="S82" s="40"/>
      <c r="T82" s="40"/>
      <c r="U82" s="40"/>
      <c r="V82" s="40"/>
      <c r="W82" s="40"/>
      <c r="X82" s="40"/>
    </row>
    <row r="83" spans="2:24" x14ac:dyDescent="0.25">
      <c r="B83" s="209" t="s">
        <v>136</v>
      </c>
      <c r="C83" s="70">
        <f>'ABP Future Assumptions'!C19</f>
        <v>0</v>
      </c>
      <c r="D83" s="71">
        <f>'ABP Future Assumptions'!J19</f>
        <v>33.03</v>
      </c>
      <c r="E83" s="209"/>
      <c r="F83" s="40"/>
      <c r="G83" s="40"/>
      <c r="H83" s="40"/>
      <c r="I83" s="40"/>
      <c r="J83" s="40"/>
      <c r="K83" s="40"/>
      <c r="L83" s="40"/>
      <c r="M83" s="40"/>
      <c r="N83" s="40"/>
      <c r="O83" s="40"/>
      <c r="P83" s="40"/>
      <c r="Q83" s="40"/>
      <c r="R83" s="40"/>
      <c r="S83" s="40"/>
      <c r="T83" s="40"/>
      <c r="U83" s="40"/>
      <c r="V83" s="40"/>
      <c r="W83" s="40"/>
      <c r="X83" s="40"/>
    </row>
    <row r="84" spans="2:24" x14ac:dyDescent="0.25">
      <c r="B84" s="170" t="s">
        <v>137</v>
      </c>
      <c r="C84" s="165">
        <f>'ABP Future Assumptions'!C20</f>
        <v>100800</v>
      </c>
      <c r="D84" s="94"/>
      <c r="E84" s="170"/>
      <c r="F84" s="131"/>
      <c r="G84" s="131"/>
      <c r="H84" s="167"/>
      <c r="I84" s="167"/>
      <c r="J84" s="167"/>
      <c r="K84" s="167"/>
      <c r="L84" s="167"/>
      <c r="M84" s="167"/>
      <c r="N84" s="167"/>
      <c r="O84" s="167"/>
      <c r="P84" s="167"/>
      <c r="Q84" s="167"/>
      <c r="R84" s="167"/>
      <c r="S84" s="167"/>
      <c r="T84" s="167"/>
      <c r="U84" s="167"/>
      <c r="V84" s="167"/>
      <c r="W84" s="167"/>
      <c r="X84" s="167"/>
    </row>
    <row r="85" spans="2:24" x14ac:dyDescent="0.25">
      <c r="B85" s="209" t="s">
        <v>138</v>
      </c>
      <c r="C85" s="70">
        <f>'ABP Future Assumptions'!C21</f>
        <v>3812.0652696968373</v>
      </c>
      <c r="D85" s="71">
        <f>'ABP Future Assumptions'!J21</f>
        <v>70.23</v>
      </c>
      <c r="E85" s="209"/>
      <c r="F85" s="40">
        <f>(E24*D85)*0.15</f>
        <v>729039.81348843907</v>
      </c>
      <c r="G85" s="40">
        <f>((E24*D85)-F85)/6</f>
        <v>688537.60162797023</v>
      </c>
      <c r="H85" s="40">
        <f t="shared" ref="H85:L88" si="13">G85</f>
        <v>688537.60162797023</v>
      </c>
      <c r="I85" s="40">
        <f t="shared" si="13"/>
        <v>688537.60162797023</v>
      </c>
      <c r="J85" s="40">
        <f t="shared" si="13"/>
        <v>688537.60162797023</v>
      </c>
      <c r="K85" s="40">
        <f t="shared" si="13"/>
        <v>688537.60162797023</v>
      </c>
      <c r="L85" s="40">
        <f t="shared" si="13"/>
        <v>688537.60162797023</v>
      </c>
      <c r="M85" s="40"/>
      <c r="N85" s="40"/>
      <c r="O85" s="40"/>
      <c r="P85" s="40"/>
      <c r="Q85" s="40"/>
      <c r="R85" s="40"/>
      <c r="S85" s="40"/>
      <c r="T85" s="40"/>
      <c r="U85" s="40"/>
      <c r="V85" s="40"/>
      <c r="W85" s="40"/>
      <c r="X85" s="40"/>
    </row>
    <row r="86" spans="2:24" x14ac:dyDescent="0.25">
      <c r="B86" s="209" t="s">
        <v>133</v>
      </c>
      <c r="C86" s="70">
        <f>'ABP Future Assumptions'!C22</f>
        <v>2968.4588127214665</v>
      </c>
      <c r="D86" s="71">
        <f>'ABP Future Assumptions'!J22</f>
        <v>63.34</v>
      </c>
      <c r="E86" s="209"/>
      <c r="F86" s="40">
        <f>(E25*D86)*0.15</f>
        <v>507356.02268108289</v>
      </c>
      <c r="G86" s="40">
        <f>((E25*D86)-F86)/6</f>
        <v>479169.57697657828</v>
      </c>
      <c r="H86" s="40">
        <f t="shared" si="13"/>
        <v>479169.57697657828</v>
      </c>
      <c r="I86" s="40">
        <f t="shared" si="13"/>
        <v>479169.57697657828</v>
      </c>
      <c r="J86" s="40">
        <f t="shared" si="13"/>
        <v>479169.57697657828</v>
      </c>
      <c r="K86" s="40">
        <f t="shared" si="13"/>
        <v>479169.57697657828</v>
      </c>
      <c r="L86" s="40">
        <f t="shared" si="13"/>
        <v>479169.57697657828</v>
      </c>
      <c r="M86" s="40"/>
      <c r="N86" s="40"/>
      <c r="O86" s="40"/>
      <c r="P86" s="40"/>
      <c r="Q86" s="40"/>
      <c r="R86" s="40"/>
      <c r="S86" s="40"/>
      <c r="T86" s="40"/>
      <c r="U86" s="40"/>
      <c r="V86" s="40"/>
      <c r="W86" s="40"/>
      <c r="X86" s="40"/>
    </row>
    <row r="87" spans="2:24" x14ac:dyDescent="0.25">
      <c r="B87" s="209" t="s">
        <v>134</v>
      </c>
      <c r="C87" s="70">
        <f>'ABP Future Assumptions'!C23</f>
        <v>11002.231068725665</v>
      </c>
      <c r="D87" s="71">
        <f>'ABP Future Assumptions'!J23</f>
        <v>54.6</v>
      </c>
      <c r="E87" s="209"/>
      <c r="F87" s="40">
        <f>(E26*D87)*0.15</f>
        <v>1614460.3062769866</v>
      </c>
      <c r="G87" s="40">
        <f>((E26*D87)-F87)/6</f>
        <v>1524768.0670393764</v>
      </c>
      <c r="H87" s="40">
        <f t="shared" si="13"/>
        <v>1524768.0670393764</v>
      </c>
      <c r="I87" s="40">
        <f t="shared" si="13"/>
        <v>1524768.0670393764</v>
      </c>
      <c r="J87" s="40">
        <f t="shared" si="13"/>
        <v>1524768.0670393764</v>
      </c>
      <c r="K87" s="40">
        <f t="shared" si="13"/>
        <v>1524768.0670393764</v>
      </c>
      <c r="L87" s="40">
        <f t="shared" si="13"/>
        <v>1524768.0670393764</v>
      </c>
      <c r="M87" s="40"/>
      <c r="N87" s="40"/>
      <c r="O87" s="40"/>
      <c r="P87" s="40"/>
      <c r="Q87" s="40"/>
      <c r="R87" s="40"/>
      <c r="S87" s="40"/>
      <c r="T87" s="40"/>
      <c r="U87" s="40"/>
      <c r="V87" s="40"/>
      <c r="W87" s="40"/>
      <c r="X87" s="40"/>
    </row>
    <row r="88" spans="2:24" x14ac:dyDescent="0.25">
      <c r="B88" s="209" t="s">
        <v>141</v>
      </c>
      <c r="C88" s="70">
        <f>'ABP Future Assumptions'!C24</f>
        <v>83017.209851699547</v>
      </c>
      <c r="D88" s="71">
        <f>'ABP Future Assumptions'!J24</f>
        <v>49.49</v>
      </c>
      <c r="E88" s="209"/>
      <c r="F88" s="40">
        <f>(E27*D88)*0.15</f>
        <v>11707318.031029081</v>
      </c>
      <c r="G88" s="40">
        <f>((E27*D88)-F88)/6</f>
        <v>11056911.473749688</v>
      </c>
      <c r="H88" s="40">
        <f t="shared" si="13"/>
        <v>11056911.473749688</v>
      </c>
      <c r="I88" s="40">
        <f t="shared" si="13"/>
        <v>11056911.473749688</v>
      </c>
      <c r="J88" s="40">
        <f t="shared" si="13"/>
        <v>11056911.473749688</v>
      </c>
      <c r="K88" s="40">
        <f t="shared" si="13"/>
        <v>11056911.473749688</v>
      </c>
      <c r="L88" s="40">
        <f t="shared" si="13"/>
        <v>11056911.473749688</v>
      </c>
      <c r="M88" s="40"/>
      <c r="N88" s="40"/>
      <c r="O88" s="40"/>
      <c r="P88" s="40"/>
      <c r="Q88" s="40"/>
      <c r="R88" s="40"/>
      <c r="S88" s="40"/>
      <c r="T88" s="40"/>
      <c r="U88" s="40"/>
      <c r="V88" s="40"/>
      <c r="W88" s="40"/>
      <c r="X88" s="40"/>
    </row>
    <row r="89" spans="2:24" x14ac:dyDescent="0.25">
      <c r="B89" s="209" t="s">
        <v>136</v>
      </c>
      <c r="C89" s="70">
        <f>'ABP Future Assumptions'!C25</f>
        <v>0</v>
      </c>
      <c r="D89" s="71">
        <f>'ABP Future Assumptions'!J25</f>
        <v>37.049999999999997</v>
      </c>
      <c r="E89" s="209"/>
      <c r="F89" s="40"/>
      <c r="G89" s="40"/>
      <c r="H89" s="40"/>
      <c r="I89" s="40"/>
      <c r="J89" s="40"/>
      <c r="K89" s="40"/>
      <c r="L89" s="40"/>
      <c r="M89" s="40"/>
      <c r="N89" s="40"/>
      <c r="O89" s="40"/>
      <c r="P89" s="40"/>
      <c r="Q89" s="40"/>
      <c r="R89" s="40"/>
      <c r="S89" s="40"/>
      <c r="T89" s="40"/>
      <c r="U89" s="40"/>
      <c r="V89" s="40"/>
      <c r="W89" s="40"/>
      <c r="X89" s="40"/>
    </row>
    <row r="90" spans="2:24" x14ac:dyDescent="0.25">
      <c r="B90" s="12" t="s">
        <v>166</v>
      </c>
      <c r="C90" s="70">
        <f>'ABP Future Assumptions'!C26</f>
        <v>216000</v>
      </c>
      <c r="D90" s="93"/>
      <c r="E90" s="126">
        <f>SUM(F90:X90)</f>
        <v>285793052.29638982</v>
      </c>
      <c r="F90" s="126">
        <f t="shared" ref="F90:X90" si="14">SUM(F91:F92)</f>
        <v>0</v>
      </c>
      <c r="G90" s="126">
        <f t="shared" si="14"/>
        <v>16562890.449388798</v>
      </c>
      <c r="H90" s="126">
        <f t="shared" si="14"/>
        <v>16480075.997141855</v>
      </c>
      <c r="I90" s="126">
        <f t="shared" si="14"/>
        <v>16397675.617156144</v>
      </c>
      <c r="J90" s="126">
        <f t="shared" si="14"/>
        <v>16315687.239070363</v>
      </c>
      <c r="K90" s="126">
        <f t="shared" si="14"/>
        <v>16234108.802875014</v>
      </c>
      <c r="L90" s="126">
        <f t="shared" si="14"/>
        <v>16152938.258860638</v>
      </c>
      <c r="M90" s="126">
        <f t="shared" si="14"/>
        <v>16072173.567566335</v>
      </c>
      <c r="N90" s="126">
        <f t="shared" si="14"/>
        <v>15991812.699728502</v>
      </c>
      <c r="O90" s="126">
        <f t="shared" si="14"/>
        <v>15911853.63622986</v>
      </c>
      <c r="P90" s="126">
        <f t="shared" si="14"/>
        <v>15832294.368048711</v>
      </c>
      <c r="Q90" s="126">
        <f t="shared" si="14"/>
        <v>15753132.896208469</v>
      </c>
      <c r="R90" s="126">
        <f t="shared" si="14"/>
        <v>15674367.231727425</v>
      </c>
      <c r="S90" s="126">
        <f t="shared" si="14"/>
        <v>15595995.395568788</v>
      </c>
      <c r="T90" s="126">
        <f t="shared" si="14"/>
        <v>15518015.418590944</v>
      </c>
      <c r="U90" s="126">
        <f t="shared" si="14"/>
        <v>15440425.341497989</v>
      </c>
      <c r="V90" s="126">
        <f t="shared" si="14"/>
        <v>15363223.214790499</v>
      </c>
      <c r="W90" s="126">
        <f t="shared" si="14"/>
        <v>15286407.098716548</v>
      </c>
      <c r="X90" s="126">
        <f t="shared" si="14"/>
        <v>15209975.063222963</v>
      </c>
    </row>
    <row r="91" spans="2:24" x14ac:dyDescent="0.25">
      <c r="B91" s="170" t="s">
        <v>140</v>
      </c>
      <c r="C91" s="165">
        <f>'ABP Future Assumptions'!C27</f>
        <v>64800</v>
      </c>
      <c r="D91" s="71">
        <f>'ABP Future Assumptions'!J33</f>
        <v>46.02</v>
      </c>
      <c r="E91" s="209"/>
      <c r="F91" s="128"/>
      <c r="G91" s="40">
        <f>'24-25 ABP Activities'!G30*$D91</f>
        <v>4416642.8235071991</v>
      </c>
      <c r="H91" s="40">
        <f t="shared" ref="H91:X91" si="15">H30*$D91</f>
        <v>4394559.6093896627</v>
      </c>
      <c r="I91" s="40">
        <f t="shared" si="15"/>
        <v>4372586.8113427144</v>
      </c>
      <c r="J91" s="40">
        <f t="shared" si="15"/>
        <v>4350723.8772860011</v>
      </c>
      <c r="K91" s="40">
        <f t="shared" si="15"/>
        <v>4328970.2578995712</v>
      </c>
      <c r="L91" s="40">
        <f t="shared" si="15"/>
        <v>4307325.4066100735</v>
      </c>
      <c r="M91" s="40">
        <f t="shared" si="15"/>
        <v>4285788.7795770233</v>
      </c>
      <c r="N91" s="40">
        <f t="shared" si="15"/>
        <v>4264359.8356791381</v>
      </c>
      <c r="O91" s="40">
        <f t="shared" si="15"/>
        <v>4243038.0365007427</v>
      </c>
      <c r="P91" s="40">
        <f t="shared" si="15"/>
        <v>4221822.8463182393</v>
      </c>
      <c r="Q91" s="40">
        <f t="shared" si="15"/>
        <v>4200713.7320866482</v>
      </c>
      <c r="R91" s="40">
        <f t="shared" si="15"/>
        <v>4179710.1634262144</v>
      </c>
      <c r="S91" s="40">
        <f t="shared" si="15"/>
        <v>4158811.6126090838</v>
      </c>
      <c r="T91" s="40">
        <f t="shared" si="15"/>
        <v>4138017.5545460377</v>
      </c>
      <c r="U91" s="40">
        <f t="shared" si="15"/>
        <v>4117327.4667733074</v>
      </c>
      <c r="V91" s="40">
        <f t="shared" si="15"/>
        <v>4096740.8294394407</v>
      </c>
      <c r="W91" s="40">
        <f t="shared" si="15"/>
        <v>4076257.1252922434</v>
      </c>
      <c r="X91" s="40">
        <f t="shared" si="15"/>
        <v>4055875.8396657822</v>
      </c>
    </row>
    <row r="92" spans="2:24" x14ac:dyDescent="0.25">
      <c r="B92" s="170" t="s">
        <v>143</v>
      </c>
      <c r="C92" s="165">
        <f>'ABP Future Assumptions'!C35</f>
        <v>151200</v>
      </c>
      <c r="D92" s="71">
        <f>'ABP Future Assumptions'!J41</f>
        <v>54.24</v>
      </c>
      <c r="E92" s="209"/>
      <c r="F92" s="128"/>
      <c r="G92" s="40">
        <f>'24-25 ABP Activities'!G31*$D92</f>
        <v>12146247.625881599</v>
      </c>
      <c r="H92" s="40">
        <f t="shared" ref="H92:X92" si="16">H31*$D92</f>
        <v>12085516.387752192</v>
      </c>
      <c r="I92" s="40">
        <f t="shared" si="16"/>
        <v>12025088.80581343</v>
      </c>
      <c r="J92" s="40">
        <f t="shared" si="16"/>
        <v>11964963.361784363</v>
      </c>
      <c r="K92" s="40">
        <f t="shared" si="16"/>
        <v>11905138.544975443</v>
      </c>
      <c r="L92" s="40">
        <f t="shared" si="16"/>
        <v>11845612.852250565</v>
      </c>
      <c r="M92" s="40">
        <f t="shared" si="16"/>
        <v>11786384.787989311</v>
      </c>
      <c r="N92" s="40">
        <f t="shared" si="16"/>
        <v>11727452.864049364</v>
      </c>
      <c r="O92" s="40">
        <f t="shared" si="16"/>
        <v>11668815.599729117</v>
      </c>
      <c r="P92" s="40">
        <f t="shared" si="16"/>
        <v>11610471.521730471</v>
      </c>
      <c r="Q92" s="40">
        <f t="shared" si="16"/>
        <v>11552419.16412182</v>
      </c>
      <c r="R92" s="40">
        <f t="shared" si="16"/>
        <v>11494657.06830121</v>
      </c>
      <c r="S92" s="40">
        <f t="shared" si="16"/>
        <v>11437183.782959705</v>
      </c>
      <c r="T92" s="40">
        <f t="shared" si="16"/>
        <v>11379997.864044907</v>
      </c>
      <c r="U92" s="40">
        <f t="shared" si="16"/>
        <v>11323097.874724682</v>
      </c>
      <c r="V92" s="40">
        <f t="shared" si="16"/>
        <v>11266482.385351058</v>
      </c>
      <c r="W92" s="40">
        <f t="shared" si="16"/>
        <v>11210149.973424304</v>
      </c>
      <c r="X92" s="40">
        <f t="shared" si="16"/>
        <v>11154099.223557182</v>
      </c>
    </row>
    <row r="93" spans="2:24" x14ac:dyDescent="0.25">
      <c r="B93" s="12" t="s">
        <v>144</v>
      </c>
      <c r="C93" s="70">
        <f>'ABP Future Assumptions'!C43</f>
        <v>104000</v>
      </c>
      <c r="D93" s="93"/>
      <c r="E93" s="16">
        <f>SUM(F93:Y93)</f>
        <v>187447735.71930254</v>
      </c>
      <c r="F93" s="126">
        <f t="shared" ref="F93:X93" si="17">SUM(F94:F106)</f>
        <v>10317042.153081154</v>
      </c>
      <c r="G93" s="126">
        <f t="shared" si="17"/>
        <v>10265456.942315748</v>
      </c>
      <c r="H93" s="126">
        <f t="shared" si="17"/>
        <v>10214129.657604169</v>
      </c>
      <c r="I93" s="126">
        <f t="shared" si="17"/>
        <v>10163059.009316148</v>
      </c>
      <c r="J93" s="126">
        <f t="shared" si="17"/>
        <v>10112243.714269567</v>
      </c>
      <c r="K93" s="126">
        <f t="shared" si="17"/>
        <v>10061682.495698221</v>
      </c>
      <c r="L93" s="126">
        <f t="shared" si="17"/>
        <v>10011374.083219729</v>
      </c>
      <c r="M93" s="126">
        <f t="shared" si="17"/>
        <v>9961317.212803632</v>
      </c>
      <c r="N93" s="126">
        <f t="shared" si="17"/>
        <v>9911510.6267396118</v>
      </c>
      <c r="O93" s="126">
        <f t="shared" si="17"/>
        <v>9861953.0736059137</v>
      </c>
      <c r="P93" s="126">
        <f t="shared" si="17"/>
        <v>9812643.3082378842</v>
      </c>
      <c r="Q93" s="126">
        <f t="shared" si="17"/>
        <v>9763580.0916966945</v>
      </c>
      <c r="R93" s="126">
        <f t="shared" si="17"/>
        <v>9714762.1912382133</v>
      </c>
      <c r="S93" s="126">
        <f t="shared" si="17"/>
        <v>9666188.3802820202</v>
      </c>
      <c r="T93" s="126">
        <f t="shared" si="17"/>
        <v>9617857.4383806121</v>
      </c>
      <c r="U93" s="126">
        <f t="shared" si="17"/>
        <v>9569768.151188707</v>
      </c>
      <c r="V93" s="126">
        <f t="shared" si="17"/>
        <v>9521919.3104327656</v>
      </c>
      <c r="W93" s="126">
        <f t="shared" si="17"/>
        <v>9474309.7138806004</v>
      </c>
      <c r="X93" s="126">
        <f t="shared" si="17"/>
        <v>9426938.1653111968</v>
      </c>
    </row>
    <row r="94" spans="2:24" x14ac:dyDescent="0.25">
      <c r="B94" s="170" t="s">
        <v>145</v>
      </c>
      <c r="C94" s="165">
        <f>'ABP Future Assumptions'!C44</f>
        <v>31200</v>
      </c>
      <c r="D94" s="94"/>
      <c r="E94" s="170"/>
      <c r="F94" s="131"/>
      <c r="G94" s="131"/>
      <c r="H94" s="131"/>
      <c r="I94" s="131"/>
      <c r="J94" s="131"/>
      <c r="K94" s="131"/>
      <c r="L94" s="131"/>
      <c r="M94" s="131"/>
      <c r="N94" s="131"/>
      <c r="O94" s="131"/>
      <c r="P94" s="131"/>
      <c r="Q94" s="131"/>
      <c r="R94" s="131"/>
      <c r="S94" s="131"/>
      <c r="T94" s="131"/>
      <c r="U94" s="131"/>
      <c r="V94" s="131"/>
      <c r="W94" s="131"/>
      <c r="X94" s="131"/>
    </row>
    <row r="95" spans="2:24" x14ac:dyDescent="0.25">
      <c r="B95" s="209" t="s">
        <v>146</v>
      </c>
      <c r="C95" s="70">
        <f>'ABP Future Assumptions'!C45</f>
        <v>1444.4444444444443</v>
      </c>
      <c r="D95" s="71">
        <f>'ABP Future Assumptions'!J45</f>
        <v>77.17</v>
      </c>
      <c r="E95" s="209"/>
      <c r="F95" s="40">
        <f t="shared" ref="F95:X95" si="18">F34*$D$95</f>
        <v>165089.70897466666</v>
      </c>
      <c r="G95" s="40">
        <f t="shared" si="18"/>
        <v>164264.26042979333</v>
      </c>
      <c r="H95" s="40">
        <f t="shared" si="18"/>
        <v>163442.93912764438</v>
      </c>
      <c r="I95" s="40">
        <f t="shared" si="18"/>
        <v>162625.72443200616</v>
      </c>
      <c r="J95" s="40">
        <f t="shared" si="18"/>
        <v>161812.59580984613</v>
      </c>
      <c r="K95" s="40">
        <f t="shared" si="18"/>
        <v>161003.5328307969</v>
      </c>
      <c r="L95" s="40">
        <f t="shared" si="18"/>
        <v>160198.51516664293</v>
      </c>
      <c r="M95" s="40">
        <f t="shared" si="18"/>
        <v>159397.52259080971</v>
      </c>
      <c r="N95" s="40">
        <f t="shared" si="18"/>
        <v>158600.53497785563</v>
      </c>
      <c r="O95" s="40">
        <f t="shared" si="18"/>
        <v>157807.53230296634</v>
      </c>
      <c r="P95" s="40">
        <f t="shared" si="18"/>
        <v>157018.49464145151</v>
      </c>
      <c r="Q95" s="40">
        <f t="shared" si="18"/>
        <v>156233.40216824427</v>
      </c>
      <c r="R95" s="40">
        <f t="shared" si="18"/>
        <v>155452.23515740305</v>
      </c>
      <c r="S95" s="40">
        <f t="shared" si="18"/>
        <v>154674.97398161603</v>
      </c>
      <c r="T95" s="40">
        <f t="shared" si="18"/>
        <v>153901.59911170794</v>
      </c>
      <c r="U95" s="40">
        <f t="shared" si="18"/>
        <v>153132.09111614942</v>
      </c>
      <c r="V95" s="40">
        <f t="shared" si="18"/>
        <v>152366.43066056867</v>
      </c>
      <c r="W95" s="40">
        <f t="shared" si="18"/>
        <v>151604.59850726582</v>
      </c>
      <c r="X95" s="40">
        <f t="shared" si="18"/>
        <v>150846.57551472948</v>
      </c>
    </row>
    <row r="96" spans="2:24" x14ac:dyDescent="0.25">
      <c r="B96" s="209" t="s">
        <v>138</v>
      </c>
      <c r="C96" s="70">
        <f>'ABP Future Assumptions'!C46</f>
        <v>1733.3333333333333</v>
      </c>
      <c r="D96" s="71">
        <f>'ABP Future Assumptions'!J46</f>
        <v>68.569999999999993</v>
      </c>
      <c r="E96" s="209"/>
      <c r="F96" s="40">
        <f t="shared" ref="F96:X96" si="19">F35*$D96</f>
        <v>176030.08440159998</v>
      </c>
      <c r="G96" s="40">
        <f t="shared" si="19"/>
        <v>175149.933979592</v>
      </c>
      <c r="H96" s="40">
        <f t="shared" si="19"/>
        <v>174274.18430969401</v>
      </c>
      <c r="I96" s="40">
        <f t="shared" si="19"/>
        <v>173402.81338814556</v>
      </c>
      <c r="J96" s="40">
        <f t="shared" si="19"/>
        <v>172535.7993212048</v>
      </c>
      <c r="K96" s="40">
        <f t="shared" si="19"/>
        <v>171673.12032459877</v>
      </c>
      <c r="L96" s="40">
        <f t="shared" si="19"/>
        <v>170814.75472297581</v>
      </c>
      <c r="M96" s="40">
        <f t="shared" si="19"/>
        <v>169960.68094936092</v>
      </c>
      <c r="N96" s="40">
        <f t="shared" si="19"/>
        <v>169110.87754461414</v>
      </c>
      <c r="O96" s="40">
        <f t="shared" si="19"/>
        <v>168265.32315689104</v>
      </c>
      <c r="P96" s="40">
        <f t="shared" si="19"/>
        <v>167423.99654110661</v>
      </c>
      <c r="Q96" s="40">
        <f t="shared" si="19"/>
        <v>166586.87655840107</v>
      </c>
      <c r="R96" s="40">
        <f t="shared" si="19"/>
        <v>165753.94217560906</v>
      </c>
      <c r="S96" s="40">
        <f t="shared" si="19"/>
        <v>164925.172464731</v>
      </c>
      <c r="T96" s="40">
        <f t="shared" si="19"/>
        <v>164100.54660240735</v>
      </c>
      <c r="U96" s="40">
        <f t="shared" si="19"/>
        <v>163280.0438693953</v>
      </c>
      <c r="V96" s="40">
        <f t="shared" si="19"/>
        <v>162463.64365004833</v>
      </c>
      <c r="W96" s="40">
        <f t="shared" si="19"/>
        <v>161651.32543179809</v>
      </c>
      <c r="X96" s="40">
        <f t="shared" si="19"/>
        <v>160843.0688046391</v>
      </c>
    </row>
    <row r="97" spans="2:24" x14ac:dyDescent="0.25">
      <c r="B97" s="209" t="s">
        <v>133</v>
      </c>
      <c r="C97" s="70">
        <f>'ABP Future Assumptions'!C47</f>
        <v>6644.4444444444443</v>
      </c>
      <c r="D97" s="71">
        <f>'ABP Future Assumptions'!J47</f>
        <v>65.81</v>
      </c>
      <c r="E97" s="209"/>
      <c r="F97" s="40">
        <f t="shared" ref="F97:X97" si="20">F36*$D97</f>
        <v>647621.4492557334</v>
      </c>
      <c r="G97" s="40">
        <f t="shared" si="20"/>
        <v>644383.34200945473</v>
      </c>
      <c r="H97" s="40">
        <f t="shared" si="20"/>
        <v>641161.42529940745</v>
      </c>
      <c r="I97" s="40">
        <f t="shared" si="20"/>
        <v>637955.61817291041</v>
      </c>
      <c r="J97" s="40">
        <f t="shared" si="20"/>
        <v>634765.84008204588</v>
      </c>
      <c r="K97" s="40">
        <f t="shared" si="20"/>
        <v>631592.01088163559</v>
      </c>
      <c r="L97" s="40">
        <f t="shared" si="20"/>
        <v>628434.05082722742</v>
      </c>
      <c r="M97" s="40">
        <f t="shared" si="20"/>
        <v>625291.88057309121</v>
      </c>
      <c r="N97" s="40">
        <f t="shared" si="20"/>
        <v>622165.42117022572</v>
      </c>
      <c r="O97" s="40">
        <f t="shared" si="20"/>
        <v>619054.59406437457</v>
      </c>
      <c r="P97" s="40">
        <f t="shared" si="20"/>
        <v>615959.32109405263</v>
      </c>
      <c r="Q97" s="40">
        <f t="shared" si="20"/>
        <v>612879.52448858239</v>
      </c>
      <c r="R97" s="40">
        <f t="shared" si="20"/>
        <v>609815.12686613947</v>
      </c>
      <c r="S97" s="40">
        <f t="shared" si="20"/>
        <v>606766.05123180873</v>
      </c>
      <c r="T97" s="40">
        <f t="shared" si="20"/>
        <v>603732.22097564966</v>
      </c>
      <c r="U97" s="40">
        <f t="shared" si="20"/>
        <v>600713.55987077137</v>
      </c>
      <c r="V97" s="40">
        <f t="shared" si="20"/>
        <v>597709.99207141751</v>
      </c>
      <c r="W97" s="40">
        <f t="shared" si="20"/>
        <v>594721.44211106049</v>
      </c>
      <c r="X97" s="40">
        <f t="shared" si="20"/>
        <v>591747.83490050514</v>
      </c>
    </row>
    <row r="98" spans="2:24" x14ac:dyDescent="0.25">
      <c r="B98" s="209" t="s">
        <v>134</v>
      </c>
      <c r="C98" s="70">
        <f>'ABP Future Assumptions'!C48</f>
        <v>14155.555555555557</v>
      </c>
      <c r="D98" s="71">
        <f>'ABP Future Assumptions'!J48</f>
        <v>57.72</v>
      </c>
      <c r="E98" s="209"/>
      <c r="F98" s="40">
        <f t="shared" ref="F98:X98" si="21">F37*$D98</f>
        <v>1210107.3528543999</v>
      </c>
      <c r="G98" s="40">
        <f t="shared" si="21"/>
        <v>1204056.8160901279</v>
      </c>
      <c r="H98" s="40">
        <f t="shared" si="21"/>
        <v>1198036.5320096773</v>
      </c>
      <c r="I98" s="40">
        <f t="shared" si="21"/>
        <v>1192046.3493496289</v>
      </c>
      <c r="J98" s="40">
        <f t="shared" si="21"/>
        <v>1186086.1176028808</v>
      </c>
      <c r="K98" s="40">
        <f t="shared" si="21"/>
        <v>1180155.6870148664</v>
      </c>
      <c r="L98" s="40">
        <f t="shared" si="21"/>
        <v>1174254.9085797921</v>
      </c>
      <c r="M98" s="40">
        <f t="shared" si="21"/>
        <v>1168383.634036893</v>
      </c>
      <c r="N98" s="40">
        <f t="shared" si="21"/>
        <v>1162541.7158667087</v>
      </c>
      <c r="O98" s="40">
        <f t="shared" si="21"/>
        <v>1156729.0072873752</v>
      </c>
      <c r="P98" s="40">
        <f t="shared" si="21"/>
        <v>1150945.3622509385</v>
      </c>
      <c r="Q98" s="40">
        <f t="shared" si="21"/>
        <v>1145190.6354396839</v>
      </c>
      <c r="R98" s="40">
        <f t="shared" si="21"/>
        <v>1139464.6822624854</v>
      </c>
      <c r="S98" s="40">
        <f t="shared" si="21"/>
        <v>1133767.358851173</v>
      </c>
      <c r="T98" s="40">
        <f t="shared" si="21"/>
        <v>1128098.5220569172</v>
      </c>
      <c r="U98" s="40">
        <f t="shared" si="21"/>
        <v>1122458.0294466324</v>
      </c>
      <c r="V98" s="40">
        <f t="shared" si="21"/>
        <v>1116845.7392993993</v>
      </c>
      <c r="W98" s="40">
        <f t="shared" si="21"/>
        <v>1111261.5106029024</v>
      </c>
      <c r="X98" s="40">
        <f t="shared" si="21"/>
        <v>1105705.2030498879</v>
      </c>
    </row>
    <row r="99" spans="2:24" x14ac:dyDescent="0.25">
      <c r="B99" s="209" t="s">
        <v>141</v>
      </c>
      <c r="C99" s="70">
        <f>'ABP Future Assumptions'!C49</f>
        <v>7222.2222222222226</v>
      </c>
      <c r="D99" s="71">
        <f>'ABP Future Assumptions'!J49</f>
        <v>54.51</v>
      </c>
      <c r="E99" s="209"/>
      <c r="F99" s="40">
        <f t="shared" ref="F99:X99" si="22">F38*$D99</f>
        <v>583065.96062000003</v>
      </c>
      <c r="G99" s="40">
        <f t="shared" si="22"/>
        <v>580150.63081690005</v>
      </c>
      <c r="H99" s="40">
        <f t="shared" si="22"/>
        <v>577249.87766281562</v>
      </c>
      <c r="I99" s="40">
        <f t="shared" si="22"/>
        <v>574363.62827450153</v>
      </c>
      <c r="J99" s="40">
        <f t="shared" si="22"/>
        <v>571491.81013312901</v>
      </c>
      <c r="K99" s="40">
        <f t="shared" si="22"/>
        <v>568634.3510824634</v>
      </c>
      <c r="L99" s="40">
        <f t="shared" si="22"/>
        <v>565791.17932705104</v>
      </c>
      <c r="M99" s="40">
        <f t="shared" si="22"/>
        <v>562962.22343041585</v>
      </c>
      <c r="N99" s="40">
        <f t="shared" si="22"/>
        <v>560147.41231326363</v>
      </c>
      <c r="O99" s="40">
        <f t="shared" si="22"/>
        <v>557346.67525169731</v>
      </c>
      <c r="P99" s="40">
        <f t="shared" si="22"/>
        <v>554559.9418754389</v>
      </c>
      <c r="Q99" s="40">
        <f t="shared" si="22"/>
        <v>551787.14216606168</v>
      </c>
      <c r="R99" s="40">
        <f t="shared" si="22"/>
        <v>549028.20645523141</v>
      </c>
      <c r="S99" s="40">
        <f t="shared" si="22"/>
        <v>546283.0654229552</v>
      </c>
      <c r="T99" s="40">
        <f t="shared" si="22"/>
        <v>543551.65009584045</v>
      </c>
      <c r="U99" s="40">
        <f t="shared" si="22"/>
        <v>540833.89184536121</v>
      </c>
      <c r="V99" s="40">
        <f t="shared" si="22"/>
        <v>538129.72238613444</v>
      </c>
      <c r="W99" s="40">
        <f t="shared" si="22"/>
        <v>535439.07377420377</v>
      </c>
      <c r="X99" s="40">
        <f t="shared" si="22"/>
        <v>532761.87840533268</v>
      </c>
    </row>
    <row r="100" spans="2:24" x14ac:dyDescent="0.25">
      <c r="B100" s="209" t="s">
        <v>136</v>
      </c>
      <c r="C100" s="70">
        <f>'ABP Future Assumptions'!C50</f>
        <v>0</v>
      </c>
      <c r="D100" s="71">
        <f>'ABP Future Assumptions'!J50</f>
        <v>42.15</v>
      </c>
      <c r="E100" s="209"/>
      <c r="F100" s="40"/>
      <c r="G100" s="40"/>
      <c r="H100" s="40"/>
      <c r="I100" s="40"/>
      <c r="J100" s="40"/>
      <c r="K100" s="40"/>
      <c r="L100" s="40"/>
      <c r="M100" s="40"/>
      <c r="N100" s="40"/>
      <c r="O100" s="40"/>
      <c r="P100" s="40"/>
      <c r="Q100" s="40"/>
      <c r="R100" s="40"/>
      <c r="S100" s="40"/>
      <c r="T100" s="40"/>
      <c r="U100" s="40"/>
      <c r="V100" s="40"/>
      <c r="W100" s="40"/>
      <c r="X100" s="40"/>
    </row>
    <row r="101" spans="2:24" x14ac:dyDescent="0.25">
      <c r="B101" s="170" t="s">
        <v>147</v>
      </c>
      <c r="C101" s="165">
        <f>'ABP Future Assumptions'!C51</f>
        <v>72800</v>
      </c>
      <c r="D101" s="94"/>
      <c r="E101" s="170"/>
      <c r="F101" s="131"/>
      <c r="G101" s="131"/>
      <c r="H101" s="131"/>
      <c r="I101" s="131"/>
      <c r="J101" s="131"/>
      <c r="K101" s="131"/>
      <c r="L101" s="131"/>
      <c r="M101" s="131"/>
      <c r="N101" s="131"/>
      <c r="O101" s="131"/>
      <c r="P101" s="131"/>
      <c r="Q101" s="131"/>
      <c r="R101" s="131"/>
      <c r="S101" s="131"/>
      <c r="T101" s="131"/>
      <c r="U101" s="131"/>
      <c r="V101" s="131"/>
      <c r="W101" s="131"/>
      <c r="X101" s="131"/>
    </row>
    <row r="102" spans="2:24" x14ac:dyDescent="0.25">
      <c r="B102" s="209" t="s">
        <v>146</v>
      </c>
      <c r="C102" s="70">
        <f>'ABP Future Assumptions'!C52</f>
        <v>3370.37037037037</v>
      </c>
      <c r="D102" s="71">
        <f>'ABP Future Assumptions'!J52</f>
        <v>93.17</v>
      </c>
      <c r="E102" s="209"/>
      <c r="F102" s="40">
        <f t="shared" ref="F102:X102" si="23">F41*$D102</f>
        <v>465076.48609644437</v>
      </c>
      <c r="G102" s="40">
        <f t="shared" si="23"/>
        <v>462751.10366596218</v>
      </c>
      <c r="H102" s="40">
        <f t="shared" si="23"/>
        <v>460437.34814763244</v>
      </c>
      <c r="I102" s="40">
        <f t="shared" si="23"/>
        <v>458135.16140689427</v>
      </c>
      <c r="J102" s="40">
        <f t="shared" si="23"/>
        <v>455844.48559985979</v>
      </c>
      <c r="K102" s="40">
        <f t="shared" si="23"/>
        <v>453565.26317186048</v>
      </c>
      <c r="L102" s="40">
        <f t="shared" si="23"/>
        <v>451297.43685600115</v>
      </c>
      <c r="M102" s="40">
        <f t="shared" si="23"/>
        <v>449040.9496717212</v>
      </c>
      <c r="N102" s="40">
        <f t="shared" si="23"/>
        <v>446795.74492336257</v>
      </c>
      <c r="O102" s="40">
        <f t="shared" si="23"/>
        <v>444561.76619874575</v>
      </c>
      <c r="P102" s="40">
        <f t="shared" si="23"/>
        <v>442338.95736775198</v>
      </c>
      <c r="Q102" s="40">
        <f t="shared" si="23"/>
        <v>440127.26258091326</v>
      </c>
      <c r="R102" s="40">
        <f t="shared" si="23"/>
        <v>437926.62626800867</v>
      </c>
      <c r="S102" s="40">
        <f t="shared" si="23"/>
        <v>435736.99313666864</v>
      </c>
      <c r="T102" s="40">
        <f t="shared" si="23"/>
        <v>433558.30817098531</v>
      </c>
      <c r="U102" s="40">
        <f t="shared" si="23"/>
        <v>431390.51663013035</v>
      </c>
      <c r="V102" s="40">
        <f t="shared" si="23"/>
        <v>429233.56404697971</v>
      </c>
      <c r="W102" s="40">
        <f t="shared" si="23"/>
        <v>427087.39622674475</v>
      </c>
      <c r="X102" s="40">
        <f t="shared" si="23"/>
        <v>424951.95924561098</v>
      </c>
    </row>
    <row r="103" spans="2:24" x14ac:dyDescent="0.25">
      <c r="B103" s="209" t="s">
        <v>138</v>
      </c>
      <c r="C103" s="70">
        <f>'ABP Future Assumptions'!C53</f>
        <v>4044.4444444444443</v>
      </c>
      <c r="D103" s="71">
        <f>'ABP Future Assumptions'!J53</f>
        <v>84.96</v>
      </c>
      <c r="E103" s="209"/>
      <c r="F103" s="40">
        <f t="shared" ref="F103:X103" si="24">F42*$D103</f>
        <v>508913.57637119992</v>
      </c>
      <c r="G103" s="40">
        <f t="shared" si="24"/>
        <v>506369.00848934386</v>
      </c>
      <c r="H103" s="40">
        <f t="shared" si="24"/>
        <v>503837.16344689712</v>
      </c>
      <c r="I103" s="40">
        <f t="shared" si="24"/>
        <v>501317.97762966261</v>
      </c>
      <c r="J103" s="40">
        <f t="shared" si="24"/>
        <v>498811.38774151431</v>
      </c>
      <c r="K103" s="40">
        <f t="shared" si="24"/>
        <v>496317.33080280671</v>
      </c>
      <c r="L103" s="40">
        <f t="shared" si="24"/>
        <v>493835.74414879264</v>
      </c>
      <c r="M103" s="40">
        <f t="shared" si="24"/>
        <v>491366.56542804872</v>
      </c>
      <c r="N103" s="40">
        <f t="shared" si="24"/>
        <v>488909.73260090844</v>
      </c>
      <c r="O103" s="40">
        <f t="shared" si="24"/>
        <v>486465.1839379039</v>
      </c>
      <c r="P103" s="40">
        <f t="shared" si="24"/>
        <v>484032.85801821435</v>
      </c>
      <c r="Q103" s="40">
        <f t="shared" si="24"/>
        <v>481612.69372812327</v>
      </c>
      <c r="R103" s="40">
        <f t="shared" si="24"/>
        <v>479204.63025948271</v>
      </c>
      <c r="S103" s="40">
        <f t="shared" si="24"/>
        <v>476808.6071081853</v>
      </c>
      <c r="T103" s="40">
        <f t="shared" si="24"/>
        <v>474424.5640726444</v>
      </c>
      <c r="U103" s="40">
        <f t="shared" si="24"/>
        <v>472052.44125228119</v>
      </c>
      <c r="V103" s="40">
        <f t="shared" si="24"/>
        <v>469692.1790460198</v>
      </c>
      <c r="W103" s="40">
        <f t="shared" si="24"/>
        <v>467343.71815078973</v>
      </c>
      <c r="X103" s="40">
        <f t="shared" si="24"/>
        <v>465006.99956003582</v>
      </c>
    </row>
    <row r="104" spans="2:24" x14ac:dyDescent="0.25">
      <c r="B104" s="209" t="s">
        <v>133</v>
      </c>
      <c r="C104" s="70">
        <f>'ABP Future Assumptions'!C54</f>
        <v>15503.703703703704</v>
      </c>
      <c r="D104" s="71">
        <f>'ABP Future Assumptions'!J54</f>
        <v>76.91</v>
      </c>
      <c r="E104" s="209"/>
      <c r="F104" s="40">
        <f t="shared" ref="F104:X104" si="25">F43*$D104</f>
        <v>1765992.805732711</v>
      </c>
      <c r="G104" s="40">
        <f t="shared" si="25"/>
        <v>1757162.8417040475</v>
      </c>
      <c r="H104" s="40">
        <f t="shared" si="25"/>
        <v>1748377.0274955272</v>
      </c>
      <c r="I104" s="40">
        <f t="shared" si="25"/>
        <v>1739635.1423580495</v>
      </c>
      <c r="J104" s="40">
        <f t="shared" si="25"/>
        <v>1730936.9666462592</v>
      </c>
      <c r="K104" s="40">
        <f t="shared" si="25"/>
        <v>1722282.2818130278</v>
      </c>
      <c r="L104" s="40">
        <f t="shared" si="25"/>
        <v>1713670.8704039627</v>
      </c>
      <c r="M104" s="40">
        <f t="shared" si="25"/>
        <v>1705102.5160519432</v>
      </c>
      <c r="N104" s="40">
        <f t="shared" si="25"/>
        <v>1696577.0034716832</v>
      </c>
      <c r="O104" s="40">
        <f t="shared" si="25"/>
        <v>1688094.1184543248</v>
      </c>
      <c r="P104" s="40">
        <f t="shared" si="25"/>
        <v>1679653.6478620535</v>
      </c>
      <c r="Q104" s="40">
        <f t="shared" si="25"/>
        <v>1671255.379622743</v>
      </c>
      <c r="R104" s="40">
        <f t="shared" si="25"/>
        <v>1662899.1027246295</v>
      </c>
      <c r="S104" s="40">
        <f t="shared" si="25"/>
        <v>1654584.6072110061</v>
      </c>
      <c r="T104" s="40">
        <f t="shared" si="25"/>
        <v>1646311.6841749512</v>
      </c>
      <c r="U104" s="40">
        <f t="shared" si="25"/>
        <v>1638080.1257540763</v>
      </c>
      <c r="V104" s="40">
        <f t="shared" si="25"/>
        <v>1629889.7251253058</v>
      </c>
      <c r="W104" s="40">
        <f t="shared" si="25"/>
        <v>1621740.2764996793</v>
      </c>
      <c r="X104" s="40">
        <f t="shared" si="25"/>
        <v>1613631.5751171808</v>
      </c>
    </row>
    <row r="105" spans="2:24" x14ac:dyDescent="0.25">
      <c r="B105" s="209" t="s">
        <v>134</v>
      </c>
      <c r="C105" s="70">
        <f>'ABP Future Assumptions'!C55</f>
        <v>33029.629629629628</v>
      </c>
      <c r="D105" s="71">
        <f>'ABP Future Assumptions'!J55</f>
        <v>66.88</v>
      </c>
      <c r="E105" s="209"/>
      <c r="F105" s="40">
        <f t="shared" ref="F105:X105" si="26">F44*$D105</f>
        <v>3271678.5534321778</v>
      </c>
      <c r="G105" s="40">
        <f t="shared" si="26"/>
        <v>3255320.1606650166</v>
      </c>
      <c r="H105" s="40">
        <f t="shared" si="26"/>
        <v>3239043.5598616912</v>
      </c>
      <c r="I105" s="40">
        <f t="shared" si="26"/>
        <v>3222848.342062383</v>
      </c>
      <c r="J105" s="40">
        <f t="shared" si="26"/>
        <v>3206734.1003520712</v>
      </c>
      <c r="K105" s="40">
        <f t="shared" si="26"/>
        <v>3190700.429850311</v>
      </c>
      <c r="L105" s="40">
        <f t="shared" si="26"/>
        <v>3174746.9277010593</v>
      </c>
      <c r="M105" s="40">
        <f t="shared" si="26"/>
        <v>3158873.1930625541</v>
      </c>
      <c r="N105" s="40">
        <f t="shared" si="26"/>
        <v>3143078.8270972413</v>
      </c>
      <c r="O105" s="40">
        <f t="shared" si="26"/>
        <v>3127363.432961755</v>
      </c>
      <c r="P105" s="40">
        <f t="shared" si="26"/>
        <v>3111726.615796946</v>
      </c>
      <c r="Q105" s="40">
        <f t="shared" si="26"/>
        <v>3096167.9827179611</v>
      </c>
      <c r="R105" s="40">
        <f t="shared" si="26"/>
        <v>3080687.1428043717</v>
      </c>
      <c r="S105" s="40">
        <f t="shared" si="26"/>
        <v>3065283.7070903499</v>
      </c>
      <c r="T105" s="40">
        <f t="shared" si="26"/>
        <v>3049957.288554898</v>
      </c>
      <c r="U105" s="40">
        <f t="shared" si="26"/>
        <v>3034707.5021121236</v>
      </c>
      <c r="V105" s="40">
        <f t="shared" si="26"/>
        <v>3019533.9646015633</v>
      </c>
      <c r="W105" s="40">
        <f t="shared" si="26"/>
        <v>3004436.2947785552</v>
      </c>
      <c r="X105" s="40">
        <f t="shared" si="26"/>
        <v>2989414.1133046621</v>
      </c>
    </row>
    <row r="106" spans="2:24" x14ac:dyDescent="0.25">
      <c r="B106" s="209" t="s">
        <v>141</v>
      </c>
      <c r="C106" s="70">
        <f>'ABP Future Assumptions'!C56</f>
        <v>16851.85185185185</v>
      </c>
      <c r="D106" s="71">
        <f>'ABP Future Assumptions'!J56</f>
        <v>61.04</v>
      </c>
      <c r="E106" s="209"/>
      <c r="F106" s="40">
        <f t="shared" ref="F106:X106" si="27">F45*$D106</f>
        <v>1523466.175342222</v>
      </c>
      <c r="G106" s="40">
        <f t="shared" si="27"/>
        <v>1515848.8444655109</v>
      </c>
      <c r="H106" s="40">
        <f t="shared" si="27"/>
        <v>1508269.6002431831</v>
      </c>
      <c r="I106" s="40">
        <f t="shared" si="27"/>
        <v>1500728.2522419672</v>
      </c>
      <c r="J106" s="40">
        <f t="shared" si="27"/>
        <v>1493224.6109807575</v>
      </c>
      <c r="K106" s="40">
        <f t="shared" si="27"/>
        <v>1485758.4879258536</v>
      </c>
      <c r="L106" s="40">
        <f t="shared" si="27"/>
        <v>1478329.6954862243</v>
      </c>
      <c r="M106" s="40">
        <f t="shared" si="27"/>
        <v>1470938.0470087933</v>
      </c>
      <c r="N106" s="40">
        <f t="shared" si="27"/>
        <v>1463583.3567737495</v>
      </c>
      <c r="O106" s="40">
        <f t="shared" si="27"/>
        <v>1456265.4399898807</v>
      </c>
      <c r="P106" s="40">
        <f t="shared" si="27"/>
        <v>1448984.1127899312</v>
      </c>
      <c r="Q106" s="40">
        <f t="shared" si="27"/>
        <v>1441739.1922259815</v>
      </c>
      <c r="R106" s="40">
        <f t="shared" si="27"/>
        <v>1434530.4962648517</v>
      </c>
      <c r="S106" s="40">
        <f t="shared" si="27"/>
        <v>1427357.8437835274</v>
      </c>
      <c r="T106" s="40">
        <f t="shared" si="27"/>
        <v>1420221.0545646097</v>
      </c>
      <c r="U106" s="40">
        <f t="shared" si="27"/>
        <v>1413119.9492917866</v>
      </c>
      <c r="V106" s="40">
        <f t="shared" si="27"/>
        <v>1406054.3495453277</v>
      </c>
      <c r="W106" s="40">
        <f t="shared" si="27"/>
        <v>1399024.077797601</v>
      </c>
      <c r="X106" s="40">
        <f t="shared" si="27"/>
        <v>1392028.9574086128</v>
      </c>
    </row>
    <row r="107" spans="2:24" x14ac:dyDescent="0.25">
      <c r="B107" s="209" t="s">
        <v>136</v>
      </c>
      <c r="C107" s="70">
        <f>'ABP Future Assumptions'!C57</f>
        <v>0</v>
      </c>
      <c r="D107" s="71">
        <f>'ABP Future Assumptions'!J57</f>
        <v>46.74</v>
      </c>
      <c r="E107" s="209"/>
      <c r="F107" s="130"/>
      <c r="G107" s="40"/>
      <c r="H107" s="40"/>
      <c r="I107" s="40"/>
      <c r="J107" s="40"/>
      <c r="K107" s="40"/>
      <c r="L107" s="40"/>
      <c r="M107" s="40"/>
      <c r="N107" s="40"/>
      <c r="O107" s="40"/>
      <c r="P107" s="40"/>
      <c r="Q107" s="40"/>
      <c r="R107" s="40"/>
      <c r="S107" s="40"/>
      <c r="T107" s="40"/>
      <c r="U107" s="40"/>
      <c r="V107" s="40"/>
      <c r="W107" s="40"/>
      <c r="X107" s="40"/>
    </row>
    <row r="108" spans="2:24" x14ac:dyDescent="0.25">
      <c r="B108" s="12" t="s">
        <v>148</v>
      </c>
      <c r="C108" s="70">
        <f>'ABP Future Assumptions'!C58</f>
        <v>32000</v>
      </c>
      <c r="D108" s="93"/>
      <c r="E108" s="16">
        <f>SUM(G108:Y108)</f>
        <v>45068212.958582535</v>
      </c>
      <c r="F108" s="129"/>
      <c r="G108" s="126">
        <f t="shared" ref="G108:X108" si="28">SUM(G109:G110)</f>
        <v>6760231.9437873792</v>
      </c>
      <c r="H108" s="126">
        <f t="shared" si="28"/>
        <v>6384663.5024658591</v>
      </c>
      <c r="I108" s="126">
        <f t="shared" si="28"/>
        <v>6384663.5024658591</v>
      </c>
      <c r="J108" s="126">
        <f t="shared" si="28"/>
        <v>6384663.5024658591</v>
      </c>
      <c r="K108" s="126">
        <f t="shared" si="28"/>
        <v>6384663.5024658591</v>
      </c>
      <c r="L108" s="126">
        <f t="shared" si="28"/>
        <v>6384663.5024658591</v>
      </c>
      <c r="M108" s="126">
        <f t="shared" si="28"/>
        <v>6384663.5024658591</v>
      </c>
      <c r="N108" s="126">
        <f t="shared" si="28"/>
        <v>0</v>
      </c>
      <c r="O108" s="126">
        <f t="shared" si="28"/>
        <v>0</v>
      </c>
      <c r="P108" s="126">
        <f t="shared" si="28"/>
        <v>0</v>
      </c>
      <c r="Q108" s="126">
        <f t="shared" si="28"/>
        <v>0</v>
      </c>
      <c r="R108" s="126">
        <f t="shared" si="28"/>
        <v>0</v>
      </c>
      <c r="S108" s="126">
        <f t="shared" si="28"/>
        <v>0</v>
      </c>
      <c r="T108" s="126">
        <f t="shared" si="28"/>
        <v>0</v>
      </c>
      <c r="U108" s="126">
        <f t="shared" si="28"/>
        <v>0</v>
      </c>
      <c r="V108" s="126">
        <f t="shared" si="28"/>
        <v>0</v>
      </c>
      <c r="W108" s="126">
        <f t="shared" si="28"/>
        <v>0</v>
      </c>
      <c r="X108" s="126">
        <f t="shared" si="28"/>
        <v>0</v>
      </c>
    </row>
    <row r="109" spans="2:24" x14ac:dyDescent="0.25">
      <c r="B109" s="170" t="s">
        <v>149</v>
      </c>
      <c r="C109" s="165">
        <f>'ABP Future Assumptions'!C59</f>
        <v>9600</v>
      </c>
      <c r="D109" s="71">
        <f>'ABP Future Assumptions'!J65</f>
        <v>57.93</v>
      </c>
      <c r="E109" s="209"/>
      <c r="F109" s="128"/>
      <c r="G109" s="40">
        <f>(E48*D109)*0.15</f>
        <v>1789745.764290428</v>
      </c>
      <c r="H109" s="40">
        <f>((E48*D109)-G109)/6</f>
        <v>1690315.4440520711</v>
      </c>
      <c r="I109" s="40">
        <f t="shared" ref="I109:M110" si="29">H109</f>
        <v>1690315.4440520711</v>
      </c>
      <c r="J109" s="40">
        <f t="shared" si="29"/>
        <v>1690315.4440520711</v>
      </c>
      <c r="K109" s="40">
        <f t="shared" si="29"/>
        <v>1690315.4440520711</v>
      </c>
      <c r="L109" s="40">
        <f t="shared" si="29"/>
        <v>1690315.4440520711</v>
      </c>
      <c r="M109" s="40">
        <f t="shared" si="29"/>
        <v>1690315.4440520711</v>
      </c>
      <c r="O109" s="40"/>
      <c r="P109" s="40"/>
      <c r="Q109" s="40"/>
      <c r="R109" s="40"/>
      <c r="S109" s="40"/>
      <c r="T109" s="40"/>
      <c r="U109" s="40"/>
      <c r="V109" s="40"/>
      <c r="W109" s="40"/>
      <c r="X109" s="40"/>
    </row>
    <row r="110" spans="2:24" x14ac:dyDescent="0.25">
      <c r="B110" s="170" t="s">
        <v>150</v>
      </c>
      <c r="C110" s="165">
        <f>'ABP Future Assumptions'!C67</f>
        <v>22400</v>
      </c>
      <c r="D110" s="71">
        <f>'ABP Future Assumptions'!J73</f>
        <v>68.95</v>
      </c>
      <c r="E110" s="209"/>
      <c r="F110" s="128"/>
      <c r="G110" s="40">
        <f>(E49*D110)*0.15</f>
        <v>4970486.1794969514</v>
      </c>
      <c r="H110" s="40">
        <f>((E49*D110)-G110)/6</f>
        <v>4694348.0584137877</v>
      </c>
      <c r="I110" s="40">
        <f t="shared" si="29"/>
        <v>4694348.0584137877</v>
      </c>
      <c r="J110" s="40">
        <f t="shared" si="29"/>
        <v>4694348.0584137877</v>
      </c>
      <c r="K110" s="40">
        <f t="shared" si="29"/>
        <v>4694348.0584137877</v>
      </c>
      <c r="L110" s="40">
        <f t="shared" si="29"/>
        <v>4694348.0584137877</v>
      </c>
      <c r="M110" s="40">
        <f t="shared" si="29"/>
        <v>4694348.0584137877</v>
      </c>
      <c r="O110" s="40"/>
      <c r="P110" s="40"/>
      <c r="Q110" s="40"/>
      <c r="R110" s="40"/>
      <c r="S110" s="40"/>
      <c r="T110" s="40"/>
      <c r="U110" s="40"/>
      <c r="V110" s="40"/>
      <c r="W110" s="40"/>
      <c r="X110" s="40"/>
    </row>
    <row r="111" spans="2:24" x14ac:dyDescent="0.25">
      <c r="B111" s="90" t="s">
        <v>151</v>
      </c>
      <c r="C111" s="70">
        <f>'ABP Future Assumptions'!C75</f>
        <v>160000</v>
      </c>
      <c r="D111" s="93"/>
      <c r="E111" s="16">
        <f>SUM(F111:Y111)</f>
        <v>148736365.45969146</v>
      </c>
      <c r="F111" s="127">
        <f t="shared" ref="F111:X111" si="30">SUM(F113:F122)</f>
        <v>22310454.818953715</v>
      </c>
      <c r="G111" s="127">
        <f t="shared" si="30"/>
        <v>21070985.106789626</v>
      </c>
      <c r="H111" s="127">
        <f t="shared" si="30"/>
        <v>21070985.106789626</v>
      </c>
      <c r="I111" s="127">
        <f t="shared" si="30"/>
        <v>21070985.106789626</v>
      </c>
      <c r="J111" s="127">
        <f t="shared" si="30"/>
        <v>21070985.106789626</v>
      </c>
      <c r="K111" s="127">
        <f t="shared" si="30"/>
        <v>21070985.106789626</v>
      </c>
      <c r="L111" s="127">
        <f t="shared" si="30"/>
        <v>21070985.106789626</v>
      </c>
      <c r="M111" s="127">
        <f t="shared" si="30"/>
        <v>0</v>
      </c>
      <c r="N111" s="127">
        <f t="shared" si="30"/>
        <v>0</v>
      </c>
      <c r="O111" s="127">
        <f t="shared" si="30"/>
        <v>0</v>
      </c>
      <c r="P111" s="127">
        <f t="shared" si="30"/>
        <v>0</v>
      </c>
      <c r="Q111" s="127">
        <f t="shared" si="30"/>
        <v>0</v>
      </c>
      <c r="R111" s="127">
        <f t="shared" si="30"/>
        <v>0</v>
      </c>
      <c r="S111" s="127">
        <f t="shared" si="30"/>
        <v>0</v>
      </c>
      <c r="T111" s="127">
        <f t="shared" si="30"/>
        <v>0</v>
      </c>
      <c r="U111" s="127">
        <f t="shared" si="30"/>
        <v>0</v>
      </c>
      <c r="V111" s="127">
        <f t="shared" si="30"/>
        <v>0</v>
      </c>
      <c r="W111" s="127">
        <f t="shared" si="30"/>
        <v>0</v>
      </c>
      <c r="X111" s="127">
        <f t="shared" si="30"/>
        <v>0</v>
      </c>
    </row>
    <row r="112" spans="2:24" x14ac:dyDescent="0.25">
      <c r="B112" s="170" t="s">
        <v>152</v>
      </c>
      <c r="C112" s="165">
        <f>'ABP Future Assumptions'!C76</f>
        <v>48000</v>
      </c>
      <c r="D112" s="94"/>
      <c r="E112" s="170"/>
      <c r="F112" s="167"/>
      <c r="G112" s="167"/>
      <c r="H112" s="167"/>
      <c r="I112" s="167"/>
      <c r="J112" s="167"/>
      <c r="K112" s="167"/>
      <c r="L112" s="167"/>
      <c r="M112" s="167"/>
      <c r="N112" s="167"/>
      <c r="O112" s="167"/>
      <c r="P112" s="167"/>
      <c r="Q112" s="167"/>
      <c r="R112" s="167"/>
      <c r="S112" s="167"/>
      <c r="T112" s="167"/>
      <c r="U112" s="167"/>
      <c r="V112" s="167"/>
      <c r="W112" s="167"/>
      <c r="X112" s="167"/>
    </row>
    <row r="113" spans="2:24" x14ac:dyDescent="0.25">
      <c r="B113" s="209" t="s">
        <v>132</v>
      </c>
      <c r="C113" s="70">
        <f>'ABP Future Assumptions'!C77</f>
        <v>3964.3131879195826</v>
      </c>
      <c r="D113" s="71">
        <f>'ABP Future Assumptions'!J77</f>
        <v>55.89</v>
      </c>
      <c r="E113" s="209"/>
      <c r="F113" s="40">
        <f>(E52*D113)*0.15</f>
        <v>640929.05445625179</v>
      </c>
      <c r="G113" s="40">
        <f>((E52*D113)-F113)/6</f>
        <v>605321.8847642378</v>
      </c>
      <c r="H113" s="40">
        <f t="shared" ref="H113:L116" si="31">G113</f>
        <v>605321.8847642378</v>
      </c>
      <c r="I113" s="40">
        <f t="shared" si="31"/>
        <v>605321.8847642378</v>
      </c>
      <c r="J113" s="40">
        <f t="shared" si="31"/>
        <v>605321.8847642378</v>
      </c>
      <c r="K113" s="40">
        <f t="shared" si="31"/>
        <v>605321.8847642378</v>
      </c>
      <c r="L113" s="40">
        <f t="shared" si="31"/>
        <v>605321.8847642378</v>
      </c>
      <c r="M113" s="40">
        <v>0</v>
      </c>
      <c r="N113" s="40">
        <v>0</v>
      </c>
      <c r="O113" s="40">
        <v>0</v>
      </c>
      <c r="P113" s="40">
        <v>0</v>
      </c>
      <c r="Q113" s="40">
        <v>0</v>
      </c>
      <c r="R113" s="40">
        <v>0</v>
      </c>
      <c r="S113" s="40">
        <v>0</v>
      </c>
      <c r="T113" s="40">
        <v>0</v>
      </c>
      <c r="U113" s="40">
        <v>0</v>
      </c>
      <c r="V113" s="40">
        <v>0</v>
      </c>
      <c r="W113" s="40">
        <v>0</v>
      </c>
      <c r="X113" s="40">
        <v>0</v>
      </c>
    </row>
    <row r="114" spans="2:24" x14ac:dyDescent="0.25">
      <c r="B114" s="209" t="s">
        <v>133</v>
      </c>
      <c r="C114" s="70">
        <f>'ABP Future Assumptions'!C78</f>
        <v>3062.2429103277341</v>
      </c>
      <c r="D114" s="71">
        <f>'ABP Future Assumptions'!J78</f>
        <v>53.63</v>
      </c>
      <c r="E114" s="209"/>
      <c r="F114" s="40">
        <f>(E53*D114)*0.15</f>
        <v>463250.99618497567</v>
      </c>
      <c r="G114" s="40">
        <f>((E53*D114)-F114)/6</f>
        <v>437514.82973025477</v>
      </c>
      <c r="H114" s="40">
        <f t="shared" si="31"/>
        <v>437514.82973025477</v>
      </c>
      <c r="I114" s="40">
        <f t="shared" si="31"/>
        <v>437514.82973025477</v>
      </c>
      <c r="J114" s="40">
        <f t="shared" si="31"/>
        <v>437514.82973025477</v>
      </c>
      <c r="K114" s="40">
        <f t="shared" si="31"/>
        <v>437514.82973025477</v>
      </c>
      <c r="L114" s="40">
        <f t="shared" si="31"/>
        <v>437514.82973025477</v>
      </c>
      <c r="M114" s="40">
        <v>0</v>
      </c>
      <c r="N114" s="40">
        <v>0</v>
      </c>
      <c r="O114" s="40">
        <v>0</v>
      </c>
      <c r="P114" s="40">
        <v>0</v>
      </c>
      <c r="Q114" s="40">
        <v>0</v>
      </c>
      <c r="R114" s="40">
        <v>0</v>
      </c>
      <c r="S114" s="40">
        <v>0</v>
      </c>
      <c r="T114" s="40">
        <v>0</v>
      </c>
      <c r="U114" s="40">
        <v>0</v>
      </c>
      <c r="V114" s="40">
        <v>0</v>
      </c>
      <c r="W114" s="40">
        <v>0</v>
      </c>
      <c r="X114" s="40">
        <v>0</v>
      </c>
    </row>
    <row r="115" spans="2:24" x14ac:dyDescent="0.25">
      <c r="B115" s="209" t="s">
        <v>134</v>
      </c>
      <c r="C115" s="70">
        <f>'ABP Future Assumptions'!C79</f>
        <v>7108.431241305022</v>
      </c>
      <c r="D115" s="71">
        <f>'ABP Future Assumptions'!J79</f>
        <v>46.58</v>
      </c>
      <c r="E115" s="209"/>
      <c r="F115" s="40">
        <f>(E54*D115)*0.15</f>
        <v>964494.72874273953</v>
      </c>
      <c r="G115" s="40">
        <f>((E54*D115)-F115)/6</f>
        <v>910911.68825703196</v>
      </c>
      <c r="H115" s="40">
        <f t="shared" si="31"/>
        <v>910911.68825703196</v>
      </c>
      <c r="I115" s="40">
        <f t="shared" si="31"/>
        <v>910911.68825703196</v>
      </c>
      <c r="J115" s="40">
        <f t="shared" si="31"/>
        <v>910911.68825703196</v>
      </c>
      <c r="K115" s="40">
        <f t="shared" si="31"/>
        <v>910911.68825703196</v>
      </c>
      <c r="L115" s="40">
        <f t="shared" si="31"/>
        <v>910911.68825703196</v>
      </c>
      <c r="M115" s="40">
        <v>0</v>
      </c>
      <c r="N115" s="40">
        <v>0</v>
      </c>
      <c r="O115" s="40">
        <v>0</v>
      </c>
      <c r="P115" s="40">
        <v>0</v>
      </c>
      <c r="Q115" s="40">
        <v>0</v>
      </c>
      <c r="R115" s="40">
        <v>0</v>
      </c>
      <c r="S115" s="40">
        <v>0</v>
      </c>
      <c r="T115" s="40">
        <v>0</v>
      </c>
      <c r="U115" s="40">
        <v>0</v>
      </c>
      <c r="V115" s="40">
        <v>0</v>
      </c>
      <c r="W115" s="40">
        <v>0</v>
      </c>
      <c r="X115" s="40">
        <v>0</v>
      </c>
    </row>
    <row r="116" spans="2:24" x14ac:dyDescent="0.25">
      <c r="B116" s="209" t="s">
        <v>141</v>
      </c>
      <c r="C116" s="70">
        <f>'ABP Future Assumptions'!C80</f>
        <v>33864.91478221328</v>
      </c>
      <c r="D116" s="71">
        <f>'ABP Future Assumptions'!J80</f>
        <v>43.77</v>
      </c>
      <c r="E116" s="209"/>
      <c r="F116" s="40">
        <f>(E55*D116)*0.15</f>
        <v>4066030.9579302068</v>
      </c>
      <c r="G116" s="40">
        <f>((E55*D116)-F116)/6</f>
        <v>3840140.3491563066</v>
      </c>
      <c r="H116" s="40">
        <f t="shared" si="31"/>
        <v>3840140.3491563066</v>
      </c>
      <c r="I116" s="40">
        <f t="shared" si="31"/>
        <v>3840140.3491563066</v>
      </c>
      <c r="J116" s="40">
        <f t="shared" si="31"/>
        <v>3840140.3491563066</v>
      </c>
      <c r="K116" s="40">
        <f t="shared" si="31"/>
        <v>3840140.3491563066</v>
      </c>
      <c r="L116" s="40">
        <f t="shared" si="31"/>
        <v>3840140.3491563066</v>
      </c>
      <c r="M116" s="40">
        <v>0</v>
      </c>
      <c r="N116" s="40">
        <v>0</v>
      </c>
      <c r="O116" s="40">
        <v>0</v>
      </c>
      <c r="P116" s="40">
        <v>0</v>
      </c>
      <c r="Q116" s="40">
        <v>0</v>
      </c>
      <c r="R116" s="40">
        <v>0</v>
      </c>
      <c r="S116" s="40">
        <v>0</v>
      </c>
      <c r="T116" s="40">
        <v>0</v>
      </c>
      <c r="U116" s="40">
        <v>0</v>
      </c>
      <c r="V116" s="40">
        <v>0</v>
      </c>
      <c r="W116" s="40">
        <v>0</v>
      </c>
      <c r="X116" s="40">
        <v>0</v>
      </c>
    </row>
    <row r="117" spans="2:24" x14ac:dyDescent="0.25">
      <c r="B117" s="209" t="s">
        <v>136</v>
      </c>
      <c r="C117" s="70">
        <f>'ABP Future Assumptions'!C81</f>
        <v>0</v>
      </c>
      <c r="D117" s="71">
        <f>'ABP Future Assumptions'!J81</f>
        <v>33.03</v>
      </c>
      <c r="E117" s="209"/>
      <c r="F117" s="40"/>
      <c r="G117" s="40"/>
      <c r="H117" s="40"/>
      <c r="I117" s="40"/>
      <c r="J117" s="40"/>
      <c r="K117" s="40"/>
      <c r="L117" s="40"/>
      <c r="M117" s="40"/>
      <c r="N117" s="40"/>
      <c r="O117" s="40"/>
      <c r="P117" s="40"/>
      <c r="Q117" s="40"/>
      <c r="R117" s="40"/>
      <c r="S117" s="40"/>
      <c r="T117" s="40"/>
      <c r="U117" s="40"/>
      <c r="V117" s="40"/>
      <c r="W117" s="40"/>
      <c r="X117" s="40"/>
    </row>
    <row r="118" spans="2:24" x14ac:dyDescent="0.25">
      <c r="B118" s="170" t="s">
        <v>153</v>
      </c>
      <c r="C118" s="165">
        <f>'ABP Future Assumptions'!C82</f>
        <v>112000</v>
      </c>
      <c r="D118" s="94"/>
      <c r="E118" s="170"/>
      <c r="F118" s="167"/>
      <c r="G118" s="167"/>
      <c r="H118" s="167"/>
      <c r="I118" s="167"/>
      <c r="J118" s="167"/>
      <c r="K118" s="167"/>
      <c r="L118" s="167"/>
      <c r="M118" s="167"/>
      <c r="N118" s="167"/>
      <c r="O118" s="167"/>
      <c r="P118" s="167"/>
      <c r="Q118" s="167"/>
      <c r="R118" s="167"/>
      <c r="S118" s="167"/>
      <c r="T118" s="167"/>
      <c r="U118" s="167"/>
      <c r="V118" s="167"/>
      <c r="W118" s="167"/>
      <c r="X118" s="167"/>
    </row>
    <row r="119" spans="2:24" x14ac:dyDescent="0.25">
      <c r="B119" s="209" t="s">
        <v>138</v>
      </c>
      <c r="C119" s="70">
        <f>'ABP Future Assumptions'!C83</f>
        <v>4235.6280774409306</v>
      </c>
      <c r="D119" s="71">
        <f>'ABP Future Assumptions'!J83</f>
        <v>70.23</v>
      </c>
      <c r="E119" s="209"/>
      <c r="F119" s="40">
        <f>(E58*D119)*0.15</f>
        <v>810044.237209377</v>
      </c>
      <c r="G119" s="40">
        <f>((E58*D119)-F119)/6</f>
        <v>765041.77958663378</v>
      </c>
      <c r="H119" s="40">
        <f t="shared" ref="H119:L122" si="32">G119</f>
        <v>765041.77958663378</v>
      </c>
      <c r="I119" s="40">
        <f t="shared" si="32"/>
        <v>765041.77958663378</v>
      </c>
      <c r="J119" s="40">
        <f t="shared" si="32"/>
        <v>765041.77958663378</v>
      </c>
      <c r="K119" s="40">
        <f t="shared" si="32"/>
        <v>765041.77958663378</v>
      </c>
      <c r="L119" s="40">
        <f t="shared" si="32"/>
        <v>765041.77958663378</v>
      </c>
      <c r="M119" s="40">
        <v>0</v>
      </c>
      <c r="N119" s="40">
        <v>0</v>
      </c>
      <c r="O119" s="40">
        <v>0</v>
      </c>
      <c r="P119" s="40">
        <v>0</v>
      </c>
      <c r="Q119" s="40">
        <v>0</v>
      </c>
      <c r="R119" s="40">
        <v>0</v>
      </c>
      <c r="S119" s="40">
        <v>0</v>
      </c>
      <c r="T119" s="40">
        <v>0</v>
      </c>
      <c r="U119" s="40">
        <v>0</v>
      </c>
      <c r="V119" s="40">
        <v>0</v>
      </c>
      <c r="W119" s="40">
        <v>0</v>
      </c>
      <c r="X119" s="40">
        <v>0</v>
      </c>
    </row>
    <row r="120" spans="2:24" x14ac:dyDescent="0.25">
      <c r="B120" s="209" t="s">
        <v>133</v>
      </c>
      <c r="C120" s="70">
        <f>'ABP Future Assumptions'!C84</f>
        <v>3298.2875696905185</v>
      </c>
      <c r="D120" s="71">
        <f>'ABP Future Assumptions'!J84</f>
        <v>63.34</v>
      </c>
      <c r="E120" s="209"/>
      <c r="F120" s="40">
        <f>(E59*D120)*0.15</f>
        <v>563728.91409009218</v>
      </c>
      <c r="G120" s="40">
        <f>((E59*D120)-F120)/6</f>
        <v>532410.64108508697</v>
      </c>
      <c r="H120" s="40">
        <f t="shared" si="32"/>
        <v>532410.64108508697</v>
      </c>
      <c r="I120" s="40">
        <f t="shared" si="32"/>
        <v>532410.64108508697</v>
      </c>
      <c r="J120" s="40">
        <f t="shared" si="32"/>
        <v>532410.64108508697</v>
      </c>
      <c r="K120" s="40">
        <f t="shared" si="32"/>
        <v>532410.64108508697</v>
      </c>
      <c r="L120" s="40">
        <f t="shared" si="32"/>
        <v>532410.64108508697</v>
      </c>
      <c r="M120" s="40">
        <v>0</v>
      </c>
      <c r="N120" s="40">
        <v>0</v>
      </c>
      <c r="O120" s="40">
        <v>0</v>
      </c>
      <c r="P120" s="40">
        <v>0</v>
      </c>
      <c r="Q120" s="40">
        <v>0</v>
      </c>
      <c r="R120" s="40">
        <v>0</v>
      </c>
      <c r="S120" s="40">
        <v>0</v>
      </c>
      <c r="T120" s="40">
        <v>0</v>
      </c>
      <c r="U120" s="40">
        <v>0</v>
      </c>
      <c r="V120" s="40">
        <v>0</v>
      </c>
      <c r="W120" s="40">
        <v>0</v>
      </c>
      <c r="X120" s="40">
        <v>0</v>
      </c>
    </row>
    <row r="121" spans="2:24" x14ac:dyDescent="0.25">
      <c r="B121" s="209" t="s">
        <v>134</v>
      </c>
      <c r="C121" s="70">
        <f>'ABP Future Assumptions'!C85</f>
        <v>12224.701187472961</v>
      </c>
      <c r="D121" s="71">
        <f>'ABP Future Assumptions'!J85</f>
        <v>54.6</v>
      </c>
      <c r="E121" s="209"/>
      <c r="F121" s="40">
        <f>(E60*D121)*0.15</f>
        <v>1793844.7847522066</v>
      </c>
      <c r="G121" s="40">
        <f>((E60*D121)-F121)/6</f>
        <v>1694186.7411548619</v>
      </c>
      <c r="H121" s="40">
        <f t="shared" si="32"/>
        <v>1694186.7411548619</v>
      </c>
      <c r="I121" s="40">
        <f t="shared" si="32"/>
        <v>1694186.7411548619</v>
      </c>
      <c r="J121" s="40">
        <f t="shared" si="32"/>
        <v>1694186.7411548619</v>
      </c>
      <c r="K121" s="40">
        <f t="shared" si="32"/>
        <v>1694186.7411548619</v>
      </c>
      <c r="L121" s="40">
        <f t="shared" si="32"/>
        <v>1694186.7411548619</v>
      </c>
      <c r="M121" s="40">
        <v>0</v>
      </c>
      <c r="N121" s="40">
        <v>0</v>
      </c>
      <c r="O121" s="40">
        <v>0</v>
      </c>
      <c r="P121" s="40">
        <v>0</v>
      </c>
      <c r="Q121" s="40">
        <v>0</v>
      </c>
      <c r="R121" s="40">
        <v>0</v>
      </c>
      <c r="S121" s="40">
        <v>0</v>
      </c>
      <c r="T121" s="40">
        <v>0</v>
      </c>
      <c r="U121" s="40">
        <v>0</v>
      </c>
      <c r="V121" s="40">
        <v>0</v>
      </c>
      <c r="W121" s="40">
        <v>0</v>
      </c>
      <c r="X121" s="40">
        <v>0</v>
      </c>
    </row>
    <row r="122" spans="2:24" x14ac:dyDescent="0.25">
      <c r="B122" s="209" t="s">
        <v>141</v>
      </c>
      <c r="C122" s="70">
        <f>'ABP Future Assumptions'!C86</f>
        <v>92241.344279666169</v>
      </c>
      <c r="D122" s="71">
        <f>'ABP Future Assumptions'!J86</f>
        <v>49.49</v>
      </c>
      <c r="E122" s="209"/>
      <c r="F122" s="40">
        <f>(E61*D122)*0.15</f>
        <v>13008131.145587867</v>
      </c>
      <c r="G122" s="40">
        <f>((E61*D122)-F122)/6</f>
        <v>12285457.193055211</v>
      </c>
      <c r="H122" s="40">
        <f t="shared" si="32"/>
        <v>12285457.193055211</v>
      </c>
      <c r="I122" s="40">
        <f t="shared" si="32"/>
        <v>12285457.193055211</v>
      </c>
      <c r="J122" s="40">
        <f t="shared" si="32"/>
        <v>12285457.193055211</v>
      </c>
      <c r="K122" s="40">
        <f t="shared" si="32"/>
        <v>12285457.193055211</v>
      </c>
      <c r="L122" s="40">
        <f t="shared" si="32"/>
        <v>12285457.193055211</v>
      </c>
      <c r="M122" s="40">
        <v>0</v>
      </c>
      <c r="N122" s="40">
        <v>0</v>
      </c>
      <c r="O122" s="40">
        <v>0</v>
      </c>
      <c r="P122" s="40">
        <v>0</v>
      </c>
      <c r="Q122" s="40">
        <v>0</v>
      </c>
      <c r="R122" s="40">
        <v>0</v>
      </c>
      <c r="S122" s="40">
        <v>0</v>
      </c>
      <c r="T122" s="40">
        <v>0</v>
      </c>
      <c r="U122" s="40">
        <v>0</v>
      </c>
      <c r="V122" s="40">
        <v>0</v>
      </c>
      <c r="W122" s="40">
        <v>0</v>
      </c>
      <c r="X122" s="40">
        <v>0</v>
      </c>
    </row>
    <row r="123" spans="2:24" x14ac:dyDescent="0.25">
      <c r="B123" s="209" t="s">
        <v>136</v>
      </c>
      <c r="C123" s="70">
        <f>'ABP Future Assumptions'!C87</f>
        <v>0</v>
      </c>
      <c r="D123" s="71">
        <f>'ABP Future Assumptions'!J87</f>
        <v>37.049999999999997</v>
      </c>
      <c r="E123" s="209"/>
      <c r="F123" s="40"/>
      <c r="G123" s="40"/>
      <c r="H123" s="40"/>
      <c r="I123" s="40"/>
      <c r="J123" s="40"/>
      <c r="K123" s="40"/>
      <c r="L123" s="40"/>
      <c r="M123" s="40"/>
      <c r="N123" s="40"/>
      <c r="O123" s="40"/>
      <c r="P123" s="40"/>
      <c r="Q123" s="40"/>
      <c r="R123" s="40"/>
      <c r="S123" s="40"/>
      <c r="T123" s="40"/>
      <c r="U123" s="40"/>
      <c r="V123" s="40"/>
      <c r="W123" s="40"/>
      <c r="X123" s="40"/>
    </row>
  </sheetData>
  <printOptions horizontalCentered="1" verticalCentered="1"/>
  <pageMargins left="0.7" right="0.7" top="0.75" bottom="0.75" header="0.3" footer="0.3"/>
  <pageSetup scale="31" fitToHeight="2" orientation="landscape" r:id="rId1"/>
  <headerFooter>
    <oddHeader>&amp;A</oddHeader>
  </headerFooter>
  <rowBreaks count="1" manualBreakCount="1">
    <brk id="63" min="1" max="25" man="1"/>
  </rowBreaks>
  <customProperties>
    <customPr name="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95495-4789-471F-B543-3F1A7BE9C8C0}">
  <sheetPr>
    <tabColor theme="7" tint="0.59999389629810485"/>
    <pageSetUpPr fitToPage="1"/>
  </sheetPr>
  <dimension ref="A1:T16"/>
  <sheetViews>
    <sheetView zoomScaleNormal="100" workbookViewId="0">
      <selection activeCell="G45" sqref="G44:G45"/>
    </sheetView>
  </sheetViews>
  <sheetFormatPr defaultColWidth="9.140625" defaultRowHeight="15" x14ac:dyDescent="0.25"/>
  <cols>
    <col min="1" max="1" width="45.140625" bestFit="1" customWidth="1"/>
    <col min="2" max="2" width="12.5703125" bestFit="1" customWidth="1"/>
    <col min="3" max="4" width="12.42578125" bestFit="1" customWidth="1"/>
    <col min="5" max="5" width="12.5703125" bestFit="1" customWidth="1"/>
    <col min="6" max="6" width="12.42578125" bestFit="1" customWidth="1"/>
    <col min="7" max="7" width="12" bestFit="1" customWidth="1"/>
    <col min="8" max="8" width="12.5703125" bestFit="1" customWidth="1"/>
    <col min="9" max="11" width="12.42578125" bestFit="1" customWidth="1"/>
    <col min="12" max="13" width="12.5703125" bestFit="1" customWidth="1"/>
    <col min="14" max="14" width="12.42578125" bestFit="1" customWidth="1"/>
    <col min="15" max="15" width="12.5703125" bestFit="1" customWidth="1"/>
    <col min="16" max="17" width="12.42578125" bestFit="1" customWidth="1"/>
    <col min="18" max="18" width="12" bestFit="1" customWidth="1"/>
    <col min="19" max="20" width="12.5703125" bestFit="1" customWidth="1"/>
  </cols>
  <sheetData>
    <row r="1" spans="1:20" ht="15.75" x14ac:dyDescent="0.25">
      <c r="A1" s="158"/>
      <c r="B1" s="208" t="str">
        <f>'24-25 ABP Activities'!F4</f>
        <v>2025-2026</v>
      </c>
      <c r="C1" s="208" t="str">
        <f>'24-25 ABP Activities'!G4</f>
        <v>2026-2027</v>
      </c>
      <c r="D1" s="208" t="str">
        <f>'24-25 ABP Activities'!H4</f>
        <v>2027-2028</v>
      </c>
      <c r="E1" s="208" t="str">
        <f>'24-25 ABP Activities'!I4</f>
        <v>2028-2029</v>
      </c>
      <c r="F1" s="208" t="str">
        <f>'24-25 ABP Activities'!J4</f>
        <v>2029-2030</v>
      </c>
      <c r="G1" s="208" t="str">
        <f>'24-25 ABP Activities'!K4</f>
        <v>2030-2031</v>
      </c>
      <c r="H1" s="208" t="str">
        <f>'24-25 ABP Activities'!L4</f>
        <v>2031-2032</v>
      </c>
      <c r="I1" s="208" t="str">
        <f>'24-25 ABP Activities'!M4</f>
        <v>2032-2033</v>
      </c>
      <c r="J1" s="208" t="str">
        <f>'24-25 ABP Activities'!N4</f>
        <v>2033-2034</v>
      </c>
      <c r="K1" s="208" t="str">
        <f>'24-25 ABP Activities'!O4</f>
        <v>2034-2035</v>
      </c>
      <c r="L1" s="208" t="str">
        <f>'24-25 ABP Activities'!P4</f>
        <v>2035-2036</v>
      </c>
      <c r="M1" s="208" t="str">
        <f>'24-25 ABP Activities'!Q4</f>
        <v>2036-2037</v>
      </c>
      <c r="N1" s="208" t="str">
        <f>'24-25 ABP Activities'!R4</f>
        <v>2037-2038</v>
      </c>
      <c r="O1" s="208" t="str">
        <f>'24-25 ABP Activities'!S4</f>
        <v>2038-2039</v>
      </c>
      <c r="P1" s="208" t="str">
        <f>'24-25 ABP Activities'!T4</f>
        <v>2039-2040</v>
      </c>
      <c r="Q1" s="208" t="str">
        <f>'24-25 ABP Activities'!U4</f>
        <v>2040-2041</v>
      </c>
      <c r="R1" s="208" t="str">
        <f>'24-25 ABP Activities'!V4</f>
        <v>2041-2042</v>
      </c>
      <c r="S1" s="208" t="str">
        <f>'24-25 ABP Activities'!W4</f>
        <v>2042-2043</v>
      </c>
      <c r="T1" s="208" t="str">
        <f>'24-25 ABP Activities'!X4</f>
        <v>2043-2044</v>
      </c>
    </row>
    <row r="2" spans="1:20" x14ac:dyDescent="0.25">
      <c r="A2" s="175" t="s">
        <v>124</v>
      </c>
      <c r="B2" s="69">
        <f>'24-25 ABP Activities'!F9</f>
        <v>175000.73172480002</v>
      </c>
      <c r="C2" s="69">
        <f>'24-25 ABP Activities'!G9</f>
        <v>174125.728066176</v>
      </c>
      <c r="D2" s="69">
        <f>'24-25 ABP Activities'!H9</f>
        <v>173255.09942584514</v>
      </c>
      <c r="E2" s="69">
        <f>'24-25 ABP Activities'!I9</f>
        <v>172388.82392871589</v>
      </c>
      <c r="F2" s="69">
        <f>'24-25 ABP Activities'!J9</f>
        <v>171526.87980907233</v>
      </c>
      <c r="G2" s="69">
        <f>'24-25 ABP Activities'!K9</f>
        <v>170669.24541002695</v>
      </c>
      <c r="H2" s="69">
        <f>'24-25 ABP Activities'!L9</f>
        <v>169815.89918297681</v>
      </c>
      <c r="I2" s="69">
        <f>'24-25 ABP Activities'!M9</f>
        <v>168966.81968706194</v>
      </c>
      <c r="J2" s="69">
        <f>'24-25 ABP Activities'!N9</f>
        <v>168121.98558862665</v>
      </c>
      <c r="K2" s="69">
        <f>'24-25 ABP Activities'!O9</f>
        <v>167281.37566068349</v>
      </c>
      <c r="L2" s="69">
        <f>'24-25 ABP Activities'!P9</f>
        <v>166444.96878238008</v>
      </c>
      <c r="M2" s="69">
        <f>'24-25 ABP Activities'!Q9</f>
        <v>165612.74393846816</v>
      </c>
      <c r="N2" s="69">
        <f>'24-25 ABP Activities'!R9</f>
        <v>164784.68021877581</v>
      </c>
      <c r="O2" s="69">
        <f>'24-25 ABP Activities'!S9</f>
        <v>163960.75681768195</v>
      </c>
      <c r="P2" s="69">
        <f>'24-25 ABP Activities'!T9</f>
        <v>163140.95303359354</v>
      </c>
      <c r="Q2" s="69">
        <f>'24-25 ABP Activities'!U9</f>
        <v>0</v>
      </c>
      <c r="R2" s="69">
        <f>'24-25 ABP Activities'!V9</f>
        <v>0</v>
      </c>
      <c r="S2" s="69">
        <f>'24-25 ABP Activities'!W9</f>
        <v>0</v>
      </c>
      <c r="T2" s="69">
        <f>'24-25 ABP Activities'!X9</f>
        <v>0</v>
      </c>
    </row>
    <row r="3" spans="1:20" x14ac:dyDescent="0.25">
      <c r="A3" s="175" t="s">
        <v>130</v>
      </c>
      <c r="B3" s="159">
        <f>'24-25 ABP Activities'!F16</f>
        <v>186317.64885302942</v>
      </c>
      <c r="C3" s="159">
        <f>'24-25 ABP Activities'!G16</f>
        <v>185386.06060876427</v>
      </c>
      <c r="D3" s="159">
        <f>'24-25 ABP Activities'!H16</f>
        <v>184459.13030572043</v>
      </c>
      <c r="E3" s="159">
        <f>'24-25 ABP Activities'!I16</f>
        <v>183536.83465419186</v>
      </c>
      <c r="F3" s="159">
        <f>'24-25 ABP Activities'!J16</f>
        <v>182619.15048092086</v>
      </c>
      <c r="G3" s="159">
        <f>'24-25 ABP Activities'!K16</f>
        <v>181706.05472851626</v>
      </c>
      <c r="H3" s="159">
        <f>'24-25 ABP Activities'!L16</f>
        <v>180797.5244548737</v>
      </c>
      <c r="I3" s="159">
        <f>'24-25 ABP Activities'!M16</f>
        <v>179893.53683259932</v>
      </c>
      <c r="J3" s="159">
        <f>'24-25 ABP Activities'!N16</f>
        <v>178994.06914843631</v>
      </c>
      <c r="K3" s="159">
        <f>'24-25 ABP Activities'!O16</f>
        <v>178099.09880269412</v>
      </c>
      <c r="L3" s="159">
        <f>'24-25 ABP Activities'!P16</f>
        <v>177208.60330868064</v>
      </c>
      <c r="M3" s="159">
        <f>'24-25 ABP Activities'!Q16</f>
        <v>176322.56029213726</v>
      </c>
      <c r="N3" s="159">
        <f>'24-25 ABP Activities'!R16</f>
        <v>175440.9474906766</v>
      </c>
      <c r="O3" s="159">
        <f>'24-25 ABP Activities'!S16</f>
        <v>174563.7427532232</v>
      </c>
      <c r="P3" s="159">
        <f>'24-25 ABP Activities'!T16</f>
        <v>173690.92403945705</v>
      </c>
      <c r="Q3" s="159">
        <f>'24-25 ABP Activities'!U16</f>
        <v>0</v>
      </c>
      <c r="R3" s="159">
        <f>'24-25 ABP Activities'!V16</f>
        <v>0</v>
      </c>
      <c r="S3" s="159">
        <f>'24-25 ABP Activities'!W16</f>
        <v>0</v>
      </c>
      <c r="T3" s="159">
        <f>'24-25 ABP Activities'!X16</f>
        <v>0</v>
      </c>
    </row>
    <row r="4" spans="1:20" x14ac:dyDescent="0.25">
      <c r="A4" s="175" t="s">
        <v>139</v>
      </c>
      <c r="B4" s="159">
        <f>'24-25 ABP Activities'!F29</f>
        <v>0</v>
      </c>
      <c r="C4" s="159">
        <f>'24-25 ABP Activities'!G29</f>
        <v>319907.49119999993</v>
      </c>
      <c r="D4" s="159">
        <f>'24-25 ABP Activities'!H29</f>
        <v>318307.95374399994</v>
      </c>
      <c r="E4" s="159">
        <f>'24-25 ABP Activities'!I29</f>
        <v>316716.41397527995</v>
      </c>
      <c r="F4" s="159">
        <f>'24-25 ABP Activities'!J29</f>
        <v>315132.83190540358</v>
      </c>
      <c r="G4" s="159">
        <f>'24-25 ABP Activities'!K29</f>
        <v>313557.16774587653</v>
      </c>
      <c r="H4" s="159">
        <f>'24-25 ABP Activities'!L29</f>
        <v>311989.38190714718</v>
      </c>
      <c r="I4" s="159">
        <f>'24-25 ABP Activities'!M29</f>
        <v>310429.43499761145</v>
      </c>
      <c r="J4" s="159">
        <f>'24-25 ABP Activities'!N29</f>
        <v>308877.28782262339</v>
      </c>
      <c r="K4" s="159">
        <f>'24-25 ABP Activities'!O29</f>
        <v>307332.90138351021</v>
      </c>
      <c r="L4" s="159">
        <f>'24-25 ABP Activities'!P29</f>
        <v>305796.23687659268</v>
      </c>
      <c r="M4" s="159">
        <f>'24-25 ABP Activities'!Q29</f>
        <v>304267.25569220976</v>
      </c>
      <c r="N4" s="159">
        <f>'24-25 ABP Activities'!R29</f>
        <v>302745.91941374866</v>
      </c>
      <c r="O4" s="159">
        <f>'24-25 ABP Activities'!S29</f>
        <v>301232.18981667992</v>
      </c>
      <c r="P4" s="159">
        <f>'24-25 ABP Activities'!T29</f>
        <v>299726.02886759653</v>
      </c>
      <c r="Q4" s="159">
        <f>'24-25 ABP Activities'!U29</f>
        <v>298227.39872325852</v>
      </c>
      <c r="R4" s="159">
        <f>'24-25 ABP Activities'!V29</f>
        <v>296736.26172964228</v>
      </c>
      <c r="S4" s="159">
        <f>'24-25 ABP Activities'!W29</f>
        <v>295252.58042099408</v>
      </c>
      <c r="T4" s="159">
        <f>'24-25 ABP Activities'!X29</f>
        <v>293776.31751888909</v>
      </c>
    </row>
    <row r="5" spans="1:20" x14ac:dyDescent="0.25">
      <c r="A5" s="175" t="s">
        <v>144</v>
      </c>
      <c r="B5" s="159">
        <f>'24-25 ABP Activities'!F32</f>
        <v>154029.53279999999</v>
      </c>
      <c r="C5" s="159">
        <f>'24-25 ABP Activities'!G32</f>
        <v>153259.385136</v>
      </c>
      <c r="D5" s="159">
        <f>'24-25 ABP Activities'!H32</f>
        <v>152493.08821031998</v>
      </c>
      <c r="E5" s="159">
        <f>'24-25 ABP Activities'!I32</f>
        <v>151730.6227692684</v>
      </c>
      <c r="F5" s="159">
        <f>'24-25 ABP Activities'!J32</f>
        <v>150971.96965542206</v>
      </c>
      <c r="G5" s="159">
        <f>'24-25 ABP Activities'!K32</f>
        <v>150217.10980714494</v>
      </c>
      <c r="H5" s="159">
        <f>'24-25 ABP Activities'!L32</f>
        <v>149466.02425810922</v>
      </c>
      <c r="I5" s="159">
        <f>'24-25 ABP Activities'!M32</f>
        <v>148718.6941368187</v>
      </c>
      <c r="J5" s="159">
        <f>'24-25 ABP Activities'!N32</f>
        <v>147975.10066613456</v>
      </c>
      <c r="K5" s="159">
        <f>'24-25 ABP Activities'!O32</f>
        <v>147235.22516280392</v>
      </c>
      <c r="L5" s="159">
        <f>'24-25 ABP Activities'!P32</f>
        <v>146499.04903698989</v>
      </c>
      <c r="M5" s="159">
        <f>'24-25 ABP Activities'!Q32</f>
        <v>145766.55379180494</v>
      </c>
      <c r="N5" s="159">
        <f>'24-25 ABP Activities'!R32</f>
        <v>145037.72102284592</v>
      </c>
      <c r="O5" s="159">
        <f>'24-25 ABP Activities'!S32</f>
        <v>144312.53241773168</v>
      </c>
      <c r="P5" s="159">
        <f>'24-25 ABP Activities'!T32</f>
        <v>143590.96975564302</v>
      </c>
      <c r="Q5" s="159">
        <f>'24-25 ABP Activities'!U32</f>
        <v>142873.01490686479</v>
      </c>
      <c r="R5" s="159">
        <f>'24-25 ABP Activities'!V32</f>
        <v>142158.6498323305</v>
      </c>
      <c r="S5" s="159">
        <f>'24-25 ABP Activities'!W32</f>
        <v>141447.85658316882</v>
      </c>
      <c r="T5" s="159">
        <f>'24-25 ABP Activities'!X32</f>
        <v>140740.61730025298</v>
      </c>
    </row>
    <row r="6" spans="1:20" x14ac:dyDescent="0.25">
      <c r="A6" s="175" t="s">
        <v>148</v>
      </c>
      <c r="B6" s="159">
        <f>'24-25 ABP Activities'!F47</f>
        <v>0</v>
      </c>
      <c r="C6" s="159">
        <f>'24-25 ABP Activities'!G47</f>
        <v>47393.702399999995</v>
      </c>
      <c r="D6" s="159">
        <f>'24-25 ABP Activities'!H47</f>
        <v>47156.733887999995</v>
      </c>
      <c r="E6" s="159">
        <f>'24-25 ABP Activities'!I47</f>
        <v>46920.950218559999</v>
      </c>
      <c r="F6" s="159">
        <f>'24-25 ABP Activities'!J47</f>
        <v>46686.345467467196</v>
      </c>
      <c r="G6" s="159">
        <f>'24-25 ABP Activities'!K47</f>
        <v>46452.913740129858</v>
      </c>
      <c r="H6" s="159">
        <f>'24-25 ABP Activities'!L47</f>
        <v>46220.649171429206</v>
      </c>
      <c r="I6" s="159">
        <f>'24-25 ABP Activities'!M47</f>
        <v>45989.545925572063</v>
      </c>
      <c r="J6" s="159">
        <f>'24-25 ABP Activities'!N47</f>
        <v>45759.5981959442</v>
      </c>
      <c r="K6" s="159">
        <f>'24-25 ABP Activities'!O47</f>
        <v>45530.800204964478</v>
      </c>
      <c r="L6" s="159">
        <f>'24-25 ABP Activities'!P47</f>
        <v>45303.146203939657</v>
      </c>
      <c r="M6" s="159">
        <f>'24-25 ABP Activities'!Q47</f>
        <v>45076.630472919962</v>
      </c>
      <c r="N6" s="159">
        <f>'24-25 ABP Activities'!R47</f>
        <v>44851.247320555362</v>
      </c>
      <c r="O6" s="159">
        <f>'24-25 ABP Activities'!S47</f>
        <v>44626.991083952584</v>
      </c>
      <c r="P6" s="159">
        <f>'24-25 ABP Activities'!T47</f>
        <v>44403.856128532818</v>
      </c>
      <c r="Q6" s="159">
        <f>'24-25 ABP Activities'!U47</f>
        <v>44181.836847890154</v>
      </c>
      <c r="R6" s="159">
        <f>'24-25 ABP Activities'!V47</f>
        <v>0</v>
      </c>
      <c r="S6" s="159">
        <f>'24-25 ABP Activities'!W47</f>
        <v>0</v>
      </c>
      <c r="T6" s="159">
        <f>'24-25 ABP Activities'!X47</f>
        <v>0</v>
      </c>
    </row>
    <row r="7" spans="1:20" x14ac:dyDescent="0.25">
      <c r="A7" s="10" t="s">
        <v>151</v>
      </c>
      <c r="B7" s="159">
        <f>'24-25 ABP Activities'!F50</f>
        <v>207019.60983669932</v>
      </c>
      <c r="C7" s="159">
        <f>'24-25 ABP Activities'!G50</f>
        <v>205984.51178751586</v>
      </c>
      <c r="D7" s="159">
        <f>'24-25 ABP Activities'!H50</f>
        <v>204954.58922857829</v>
      </c>
      <c r="E7" s="159">
        <f>'24-25 ABP Activities'!I50</f>
        <v>203929.81628243538</v>
      </c>
      <c r="F7" s="159">
        <f>'24-25 ABP Activities'!J50</f>
        <v>202910.1672010232</v>
      </c>
      <c r="G7" s="159">
        <f>'24-25 ABP Activities'!K50</f>
        <v>201895.6163650181</v>
      </c>
      <c r="H7" s="159">
        <f>'24-25 ABP Activities'!L50</f>
        <v>200886.138283193</v>
      </c>
      <c r="I7" s="159">
        <f>'24-25 ABP Activities'!M50</f>
        <v>199881.70759177703</v>
      </c>
      <c r="J7" s="159">
        <f>'24-25 ABP Activities'!N50</f>
        <v>198882.29905381816</v>
      </c>
      <c r="K7" s="159">
        <f>'24-25 ABP Activities'!O50</f>
        <v>197887.88755854906</v>
      </c>
      <c r="L7" s="159">
        <f>'24-25 ABP Activities'!P50</f>
        <v>196898.44812075631</v>
      </c>
      <c r="M7" s="159">
        <f>'24-25 ABP Activities'!Q50</f>
        <v>195913.95588015253</v>
      </c>
      <c r="N7" s="159">
        <f>'24-25 ABP Activities'!R50</f>
        <v>194934.38610075176</v>
      </c>
      <c r="O7" s="159">
        <f>'24-25 ABP Activities'!S50</f>
        <v>193959.71417024801</v>
      </c>
      <c r="P7" s="159">
        <f>'24-25 ABP Activities'!T50</f>
        <v>192989.91559939677</v>
      </c>
      <c r="Q7" s="159">
        <f>'24-25 ABP Activities'!U50</f>
        <v>0</v>
      </c>
      <c r="R7" s="159">
        <f>'24-25 ABP Activities'!V50</f>
        <v>0</v>
      </c>
      <c r="S7" s="159">
        <f>'24-25 ABP Activities'!W50</f>
        <v>0</v>
      </c>
      <c r="T7" s="159">
        <f>'24-25 ABP Activities'!X50</f>
        <v>0</v>
      </c>
    </row>
    <row r="10" spans="1:20" ht="15.75" x14ac:dyDescent="0.25">
      <c r="A10" s="158"/>
      <c r="B10" s="208" t="str">
        <f t="shared" ref="B10:T10" si="0">B1</f>
        <v>2025-2026</v>
      </c>
      <c r="C10" s="208" t="str">
        <f t="shared" si="0"/>
        <v>2026-2027</v>
      </c>
      <c r="D10" s="208" t="str">
        <f t="shared" si="0"/>
        <v>2027-2028</v>
      </c>
      <c r="E10" s="208" t="str">
        <f t="shared" si="0"/>
        <v>2028-2029</v>
      </c>
      <c r="F10" s="208" t="str">
        <f t="shared" si="0"/>
        <v>2029-2030</v>
      </c>
      <c r="G10" s="208" t="str">
        <f t="shared" si="0"/>
        <v>2030-2031</v>
      </c>
      <c r="H10" s="208" t="str">
        <f t="shared" si="0"/>
        <v>2031-2032</v>
      </c>
      <c r="I10" s="208" t="str">
        <f t="shared" si="0"/>
        <v>2032-2033</v>
      </c>
      <c r="J10" s="208" t="str">
        <f t="shared" si="0"/>
        <v>2033-2034</v>
      </c>
      <c r="K10" s="208" t="str">
        <f t="shared" si="0"/>
        <v>2034-2035</v>
      </c>
      <c r="L10" s="208" t="str">
        <f t="shared" si="0"/>
        <v>2035-2036</v>
      </c>
      <c r="M10" s="208" t="str">
        <f t="shared" si="0"/>
        <v>2036-2037</v>
      </c>
      <c r="N10" s="208" t="str">
        <f t="shared" si="0"/>
        <v>2037-2038</v>
      </c>
      <c r="O10" s="208" t="str">
        <f t="shared" si="0"/>
        <v>2038-2039</v>
      </c>
      <c r="P10" s="208" t="str">
        <f t="shared" si="0"/>
        <v>2039-2040</v>
      </c>
      <c r="Q10" s="208" t="str">
        <f t="shared" si="0"/>
        <v>2040-2041</v>
      </c>
      <c r="R10" s="208" t="str">
        <f t="shared" si="0"/>
        <v>2041-2042</v>
      </c>
      <c r="S10" s="208" t="str">
        <f t="shared" si="0"/>
        <v>2042-2043</v>
      </c>
      <c r="T10" s="208" t="str">
        <f t="shared" si="0"/>
        <v>2043-2044</v>
      </c>
    </row>
    <row r="11" spans="1:20" x14ac:dyDescent="0.25">
      <c r="A11" s="175" t="s">
        <v>124</v>
      </c>
      <c r="B11" s="157">
        <f>'24-25 ABP Activities'!F70</f>
        <v>192311662.74822938</v>
      </c>
      <c r="C11" s="157">
        <f>'24-25 ABP Activities'!G70</f>
        <v>0</v>
      </c>
      <c r="D11" s="157">
        <f>'24-25 ABP Activities'!H70</f>
        <v>0</v>
      </c>
      <c r="E11" s="157">
        <f>'24-25 ABP Activities'!I70</f>
        <v>0</v>
      </c>
      <c r="F11" s="157">
        <f>'24-25 ABP Activities'!J70</f>
        <v>0</v>
      </c>
      <c r="G11" s="157">
        <f>'24-25 ABP Activities'!K70</f>
        <v>0</v>
      </c>
      <c r="H11" s="157">
        <f>'24-25 ABP Activities'!L70</f>
        <v>0</v>
      </c>
      <c r="I11" s="157">
        <f>'24-25 ABP Activities'!M70</f>
        <v>0</v>
      </c>
      <c r="J11" s="157">
        <f>'24-25 ABP Activities'!N70</f>
        <v>0</v>
      </c>
      <c r="K11" s="157">
        <f>'24-25 ABP Activities'!O70</f>
        <v>0</v>
      </c>
      <c r="L11" s="157">
        <f>'24-25 ABP Activities'!P70</f>
        <v>0</v>
      </c>
      <c r="M11" s="157">
        <f>'24-25 ABP Activities'!Q70</f>
        <v>0</v>
      </c>
      <c r="N11" s="157">
        <f>'24-25 ABP Activities'!R70</f>
        <v>0</v>
      </c>
      <c r="O11" s="157">
        <f>'24-25 ABP Activities'!S70</f>
        <v>0</v>
      </c>
      <c r="P11" s="157">
        <f>'24-25 ABP Activities'!T70</f>
        <v>0</v>
      </c>
      <c r="Q11" s="157">
        <f>'24-25 ABP Activities'!U70</f>
        <v>0</v>
      </c>
      <c r="R11" s="157">
        <f>'24-25 ABP Activities'!V70</f>
        <v>0</v>
      </c>
      <c r="S11" s="157">
        <f>'24-25 ABP Activities'!W70</f>
        <v>0</v>
      </c>
      <c r="T11" s="157">
        <f>'24-25 ABP Activities'!X70</f>
        <v>0</v>
      </c>
    </row>
    <row r="12" spans="1:20" x14ac:dyDescent="0.25">
      <c r="A12" s="175" t="s">
        <v>130</v>
      </c>
      <c r="B12" s="157">
        <f>'24-25 ABP Activities'!F77</f>
        <v>20079409.337058347</v>
      </c>
      <c r="C12" s="157">
        <f>'24-25 ABP Activities'!G77</f>
        <v>18963886.596110661</v>
      </c>
      <c r="D12" s="157">
        <f>'24-25 ABP Activities'!H77</f>
        <v>18963886.596110661</v>
      </c>
      <c r="E12" s="157">
        <f>'24-25 ABP Activities'!I77</f>
        <v>18963886.596110661</v>
      </c>
      <c r="F12" s="157">
        <f>'24-25 ABP Activities'!J77</f>
        <v>18963886.596110661</v>
      </c>
      <c r="G12" s="157">
        <f>'24-25 ABP Activities'!K77</f>
        <v>18963886.596110661</v>
      </c>
      <c r="H12" s="157">
        <f>'24-25 ABP Activities'!L77</f>
        <v>18963886.596110661</v>
      </c>
      <c r="I12" s="157">
        <f>'24-25 ABP Activities'!M77</f>
        <v>0</v>
      </c>
      <c r="J12" s="157">
        <f>'24-25 ABP Activities'!N77</f>
        <v>0</v>
      </c>
      <c r="K12" s="157">
        <f>'24-25 ABP Activities'!O77</f>
        <v>0</v>
      </c>
      <c r="L12" s="157">
        <f>'24-25 ABP Activities'!P77</f>
        <v>0</v>
      </c>
      <c r="M12" s="157">
        <f>'24-25 ABP Activities'!Q77</f>
        <v>0</v>
      </c>
      <c r="N12" s="157">
        <f>'24-25 ABP Activities'!R77</f>
        <v>0</v>
      </c>
      <c r="O12" s="157">
        <f>'24-25 ABP Activities'!S77</f>
        <v>0</v>
      </c>
      <c r="P12" s="157">
        <f>'24-25 ABP Activities'!T77</f>
        <v>0</v>
      </c>
      <c r="Q12" s="157">
        <f>'24-25 ABP Activities'!U77</f>
        <v>0</v>
      </c>
      <c r="R12" s="157">
        <f>'24-25 ABP Activities'!V77</f>
        <v>0</v>
      </c>
      <c r="S12" s="157">
        <f>'24-25 ABP Activities'!W77</f>
        <v>0</v>
      </c>
      <c r="T12" s="157">
        <f>'24-25 ABP Activities'!X77</f>
        <v>0</v>
      </c>
    </row>
    <row r="13" spans="1:20" x14ac:dyDescent="0.25">
      <c r="A13" s="175" t="s">
        <v>139</v>
      </c>
      <c r="B13" s="157">
        <f>'24-25 ABP Activities'!F90</f>
        <v>0</v>
      </c>
      <c r="C13" s="157">
        <f>'24-25 ABP Activities'!G90</f>
        <v>16562890.449388798</v>
      </c>
      <c r="D13" s="157">
        <f>'24-25 ABP Activities'!H90</f>
        <v>16480075.997141855</v>
      </c>
      <c r="E13" s="157">
        <f>'24-25 ABP Activities'!I90</f>
        <v>16397675.617156144</v>
      </c>
      <c r="F13" s="157">
        <f>'24-25 ABP Activities'!J90</f>
        <v>16315687.239070363</v>
      </c>
      <c r="G13" s="157">
        <f>'24-25 ABP Activities'!K90</f>
        <v>16234108.802875014</v>
      </c>
      <c r="H13" s="157">
        <f>'24-25 ABP Activities'!L90</f>
        <v>16152938.258860638</v>
      </c>
      <c r="I13" s="157">
        <f>'24-25 ABP Activities'!M90</f>
        <v>16072173.567566335</v>
      </c>
      <c r="J13" s="157">
        <f>'24-25 ABP Activities'!N90</f>
        <v>15991812.699728502</v>
      </c>
      <c r="K13" s="157">
        <f>'24-25 ABP Activities'!O90</f>
        <v>15911853.63622986</v>
      </c>
      <c r="L13" s="157">
        <f>'24-25 ABP Activities'!P90</f>
        <v>15832294.368048711</v>
      </c>
      <c r="M13" s="157">
        <f>'24-25 ABP Activities'!Q90</f>
        <v>15753132.896208469</v>
      </c>
      <c r="N13" s="157">
        <f>'24-25 ABP Activities'!R90</f>
        <v>15674367.231727425</v>
      </c>
      <c r="O13" s="157">
        <f>'24-25 ABP Activities'!S90</f>
        <v>15595995.395568788</v>
      </c>
      <c r="P13" s="157">
        <f>'24-25 ABP Activities'!T90</f>
        <v>15518015.418590944</v>
      </c>
      <c r="Q13" s="157">
        <f>'24-25 ABP Activities'!U90</f>
        <v>15440425.341497989</v>
      </c>
      <c r="R13" s="157">
        <f>'24-25 ABP Activities'!V90</f>
        <v>15363223.214790499</v>
      </c>
      <c r="S13" s="157">
        <f>'24-25 ABP Activities'!W90</f>
        <v>15286407.098716548</v>
      </c>
      <c r="T13" s="157">
        <f>'24-25 ABP Activities'!X90</f>
        <v>15209975.063222963</v>
      </c>
    </row>
    <row r="14" spans="1:20" x14ac:dyDescent="0.25">
      <c r="A14" s="175" t="s">
        <v>144</v>
      </c>
      <c r="B14" s="157">
        <f>'24-25 ABP Activities'!F93</f>
        <v>10317042.153081154</v>
      </c>
      <c r="C14" s="157">
        <f>'24-25 ABP Activities'!G93</f>
        <v>10265456.942315748</v>
      </c>
      <c r="D14" s="157">
        <f>'24-25 ABP Activities'!H93</f>
        <v>10214129.657604169</v>
      </c>
      <c r="E14" s="157">
        <f>'24-25 ABP Activities'!I93</f>
        <v>10163059.009316148</v>
      </c>
      <c r="F14" s="157">
        <f>'24-25 ABP Activities'!J93</f>
        <v>10112243.714269567</v>
      </c>
      <c r="G14" s="157">
        <f>'24-25 ABP Activities'!K93</f>
        <v>10061682.495698221</v>
      </c>
      <c r="H14" s="157">
        <f>'24-25 ABP Activities'!L93</f>
        <v>10011374.083219729</v>
      </c>
      <c r="I14" s="157">
        <f>'24-25 ABP Activities'!M93</f>
        <v>9961317.212803632</v>
      </c>
      <c r="J14" s="157">
        <f>'24-25 ABP Activities'!N93</f>
        <v>9911510.6267396118</v>
      </c>
      <c r="K14" s="157">
        <f>'24-25 ABP Activities'!O93</f>
        <v>9861953.0736059137</v>
      </c>
      <c r="L14" s="157">
        <f>'24-25 ABP Activities'!P93</f>
        <v>9812643.3082378842</v>
      </c>
      <c r="M14" s="157">
        <f>'24-25 ABP Activities'!Q93</f>
        <v>9763580.0916966945</v>
      </c>
      <c r="N14" s="157">
        <f>'24-25 ABP Activities'!R93</f>
        <v>9714762.1912382133</v>
      </c>
      <c r="O14" s="157">
        <f>'24-25 ABP Activities'!S93</f>
        <v>9666188.3802820202</v>
      </c>
      <c r="P14" s="157">
        <f>'24-25 ABP Activities'!T93</f>
        <v>9617857.4383806121</v>
      </c>
      <c r="Q14" s="157">
        <f>'24-25 ABP Activities'!U93</f>
        <v>9569768.151188707</v>
      </c>
      <c r="R14" s="157">
        <f>'24-25 ABP Activities'!V93</f>
        <v>9521919.3104327656</v>
      </c>
      <c r="S14" s="157">
        <f>'24-25 ABP Activities'!W93</f>
        <v>9474309.7138806004</v>
      </c>
      <c r="T14" s="157">
        <f>'24-25 ABP Activities'!X93</f>
        <v>9426938.1653111968</v>
      </c>
    </row>
    <row r="15" spans="1:20" x14ac:dyDescent="0.25">
      <c r="A15" s="175" t="s">
        <v>148</v>
      </c>
      <c r="B15" s="157">
        <f>'24-25 ABP Activities'!F108</f>
        <v>0</v>
      </c>
      <c r="C15" s="157">
        <f>'24-25 ABP Activities'!G108</f>
        <v>6760231.9437873792</v>
      </c>
      <c r="D15" s="157">
        <f>'24-25 ABP Activities'!H108</f>
        <v>6384663.5024658591</v>
      </c>
      <c r="E15" s="157">
        <f>'24-25 ABP Activities'!I108</f>
        <v>6384663.5024658591</v>
      </c>
      <c r="F15" s="157">
        <f>'24-25 ABP Activities'!J108</f>
        <v>6384663.5024658591</v>
      </c>
      <c r="G15" s="157">
        <f>'24-25 ABP Activities'!K108</f>
        <v>6384663.5024658591</v>
      </c>
      <c r="H15" s="157">
        <f>'24-25 ABP Activities'!L108</f>
        <v>6384663.5024658591</v>
      </c>
      <c r="I15" s="157">
        <f>'24-25 ABP Activities'!M108</f>
        <v>6384663.5024658591</v>
      </c>
      <c r="J15" s="157">
        <f>'24-25 ABP Activities'!N108</f>
        <v>0</v>
      </c>
      <c r="K15" s="157">
        <f>'24-25 ABP Activities'!O108</f>
        <v>0</v>
      </c>
      <c r="L15" s="157">
        <f>'24-25 ABP Activities'!P108</f>
        <v>0</v>
      </c>
      <c r="M15" s="157">
        <f>'24-25 ABP Activities'!Q108</f>
        <v>0</v>
      </c>
      <c r="N15" s="157">
        <f>'24-25 ABP Activities'!R108</f>
        <v>0</v>
      </c>
      <c r="O15" s="157">
        <f>'24-25 ABP Activities'!S108</f>
        <v>0</v>
      </c>
      <c r="P15" s="157">
        <f>'24-25 ABP Activities'!T108</f>
        <v>0</v>
      </c>
      <c r="Q15" s="157">
        <f>'24-25 ABP Activities'!U108</f>
        <v>0</v>
      </c>
      <c r="R15" s="157">
        <f>'24-25 ABP Activities'!V108</f>
        <v>0</v>
      </c>
      <c r="S15" s="157">
        <f>'24-25 ABP Activities'!W108</f>
        <v>0</v>
      </c>
      <c r="T15" s="157">
        <f>'24-25 ABP Activities'!X108</f>
        <v>0</v>
      </c>
    </row>
    <row r="16" spans="1:20" x14ac:dyDescent="0.25">
      <c r="A16" s="10" t="s">
        <v>151</v>
      </c>
      <c r="B16" s="157">
        <f>'24-25 ABP Activities'!F111</f>
        <v>22310454.818953715</v>
      </c>
      <c r="C16" s="157">
        <f>'24-25 ABP Activities'!G111</f>
        <v>21070985.106789626</v>
      </c>
      <c r="D16" s="157">
        <f>'24-25 ABP Activities'!H111</f>
        <v>21070985.106789626</v>
      </c>
      <c r="E16" s="157">
        <f>'24-25 ABP Activities'!I111</f>
        <v>21070985.106789626</v>
      </c>
      <c r="F16" s="157">
        <f>'24-25 ABP Activities'!J111</f>
        <v>21070985.106789626</v>
      </c>
      <c r="G16" s="157">
        <f>'24-25 ABP Activities'!K111</f>
        <v>21070985.106789626</v>
      </c>
      <c r="H16" s="157">
        <f>'24-25 ABP Activities'!L111</f>
        <v>21070985.106789626</v>
      </c>
      <c r="I16" s="157">
        <f>'24-25 ABP Activities'!M111</f>
        <v>0</v>
      </c>
      <c r="J16" s="157">
        <f>'24-25 ABP Activities'!N111</f>
        <v>0</v>
      </c>
      <c r="K16" s="157">
        <f>'24-25 ABP Activities'!O111</f>
        <v>0</v>
      </c>
      <c r="L16" s="157">
        <f>'24-25 ABP Activities'!P111</f>
        <v>0</v>
      </c>
      <c r="M16" s="157">
        <f>'24-25 ABP Activities'!Q111</f>
        <v>0</v>
      </c>
      <c r="N16" s="157">
        <f>'24-25 ABP Activities'!R111</f>
        <v>0</v>
      </c>
      <c r="O16" s="157">
        <f>'24-25 ABP Activities'!S111</f>
        <v>0</v>
      </c>
      <c r="P16" s="157">
        <f>'24-25 ABP Activities'!T111</f>
        <v>0</v>
      </c>
      <c r="Q16" s="157">
        <f>'24-25 ABP Activities'!U111</f>
        <v>0</v>
      </c>
      <c r="R16" s="157">
        <f>'24-25 ABP Activities'!V111</f>
        <v>0</v>
      </c>
      <c r="S16" s="157">
        <f>'24-25 ABP Activities'!W111</f>
        <v>0</v>
      </c>
      <c r="T16" s="157">
        <f>'24-25 ABP Activities'!X111</f>
        <v>0</v>
      </c>
    </row>
  </sheetData>
  <printOptions horizontalCentered="1" verticalCentered="1"/>
  <pageMargins left="0.7" right="0.7" top="0.75" bottom="0.75" header="0.3" footer="0.3"/>
  <pageSetup scale="43" orientation="landscape" r:id="rId1"/>
  <headerFooter>
    <oddHeader>&amp;A</oddHeader>
  </headerFooter>
  <customProperties>
    <customPr name="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9d9eb7-b7cc-4e27-879b-01b4831586a2" xsi:nil="true"/>
    <lcf76f155ced4ddcb4097134ff3c332f xmlns="07eb0168-e38f-4593-8bb7-e13af032c594">
      <Terms xmlns="http://schemas.microsoft.com/office/infopath/2007/PartnerControls"/>
    </lcf76f155ced4ddcb4097134ff3c332f>
    <SharedWithUsers xmlns="449d9eb7-b7cc-4e27-879b-01b4831586a2">
      <UserInfo>
        <DisplayName>Amos, Marcus</DisplayName>
        <AccountId>129</AccountId>
        <AccountType/>
      </UserInfo>
    </SharedWithUsers>
    <Goaldatetocompletereview_x003a_ xmlns="07eb0168-e38f-4593-8bb7-e13af032c594" xsi:nil="true"/>
    <ManagerApproval xmlns="07eb0168-e38f-4593-8bb7-e13af032c594">
      <UserInfo>
        <DisplayName/>
        <AccountId xsi:nil="true"/>
        <AccountType/>
      </UserInfo>
    </ManagerApproval>
    <Notes_x0020_to_x0020_consider_x0020_before_x0020_reviewing_x003a_ xmlns="07eb0168-e38f-4593-8bb7-e13af032c594" xsi:nil="true"/>
    <_ip_UnifiedCompliancePolicyUIAction xmlns="http://schemas.microsoft.com/sharepoint/v3" xsi:nil="true"/>
    <Status xmlns="07eb0168-e38f-4593-8bb7-e13af032c594" xsi:nil="true"/>
    <TeamStatus xmlns="07eb0168-e38f-4593-8bb7-e13af032c594" xsi:nil="true"/>
    <_ip_UnifiedCompliancePolicyProperties xmlns="http://schemas.microsoft.com/sharepoint/v3" xsi:nil="true"/>
    <Notes xmlns="07eb0168-e38f-4593-8bb7-e13af032c594" xsi:nil="true"/>
    <Finished xmlns="07eb0168-e38f-4593-8bb7-e13af032c594">2022-08-30T00:00:00+00:00</Finished>
    <Completed xmlns="07eb0168-e38f-4593-8bb7-e13af032c594">true</Completed>
    <legal xmlns="07eb0168-e38f-4593-8bb7-e13af032c594">
      <UserInfo>
        <DisplayName/>
        <AccountId xsi:nil="true"/>
        <AccountType/>
      </UserInfo>
    </legal>
    <Roll_x002d_Call xmlns="07eb0168-e38f-4593-8bb7-e13af032c594">
      <UserInfo>
        <DisplayName/>
        <AccountId xsi:nil="true"/>
        <AccountType/>
      </UserInfo>
    </Roll_x002d_C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7D9C6DF2CFA2344B8438EA57D1C19B2" ma:contentTypeVersion="38" ma:contentTypeDescription="Create a new document." ma:contentTypeScope="" ma:versionID="4e5df02ccb0819ac29662c80c5ef2782">
  <xsd:schema xmlns:xsd="http://www.w3.org/2001/XMLSchema" xmlns:xs="http://www.w3.org/2001/XMLSchema" xmlns:p="http://schemas.microsoft.com/office/2006/metadata/properties" xmlns:ns1="http://schemas.microsoft.com/sharepoint/v3" xmlns:ns2="07eb0168-e38f-4593-8bb7-e13af032c594" xmlns:ns3="449d9eb7-b7cc-4e27-879b-01b4831586a2" targetNamespace="http://schemas.microsoft.com/office/2006/metadata/properties" ma:root="true" ma:fieldsID="468ff67ef1a65842bceae3a1008f19f9" ns1:_="" ns2:_="" ns3:_="">
    <xsd:import namespace="http://schemas.microsoft.com/sharepoint/v3"/>
    <xsd:import namespace="07eb0168-e38f-4593-8bb7-e13af032c594"/>
    <xsd:import namespace="449d9eb7-b7cc-4e27-879b-01b4831586a2"/>
    <xsd:element name="properties">
      <xsd:complexType>
        <xsd:sequence>
          <xsd:element name="documentManagement">
            <xsd:complexType>
              <xsd:all>
                <xsd:element ref="ns2:Notes_x0020_to_x0020_consider_x0020_before_x0020_reviewing_x003a_" minOccurs="0"/>
                <xsd:element ref="ns2:MediaServiceMetadata" minOccurs="0"/>
                <xsd:element ref="ns2:MediaServiceFastMetadata" minOccurs="0"/>
                <xsd:element ref="ns2:legal" minOccurs="0"/>
                <xsd:element ref="ns3:SharedWithUsers" minOccurs="0"/>
                <xsd:element ref="ns3:SharedWithDetails" minOccurs="0"/>
                <xsd:element ref="ns2:Finished"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TeamStatus" minOccurs="0"/>
                <xsd:element ref="ns2:Goaldatetocompletereview_x003a_" minOccurs="0"/>
                <xsd:element ref="ns1:_ip_UnifiedCompliancePolicyProperties" minOccurs="0"/>
                <xsd:element ref="ns1:_ip_UnifiedCompliancePolicyUIAction" minOccurs="0"/>
                <xsd:element ref="ns2:MediaServiceLocation" minOccurs="0"/>
                <xsd:element ref="ns2:Status" minOccurs="0"/>
                <xsd:element ref="ns2:Roll_x002d_Call" minOccurs="0"/>
                <xsd:element ref="ns2:Completed" minOccurs="0"/>
                <xsd:element ref="ns2:Notes" minOccurs="0"/>
                <xsd:element ref="ns2:ManagerApprova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ma:readOnly="false">
      <xsd:simpleType>
        <xsd:restriction base="dms:Note"/>
      </xsd:simpleType>
    </xsd:element>
    <xsd:element name="_ip_UnifiedCompliancePolicyUIAction" ma:index="26"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eb0168-e38f-4593-8bb7-e13af032c594" elementFormDefault="qualified">
    <xsd:import namespace="http://schemas.microsoft.com/office/2006/documentManagement/types"/>
    <xsd:import namespace="http://schemas.microsoft.com/office/infopath/2007/PartnerControls"/>
    <xsd:element name="Notes_x0020_to_x0020_consider_x0020_before_x0020_reviewing_x003a_" ma:index="1" nillable="true" ma:displayName="Notes to consider before reviewing:" ma:internalName="Notes_x0020_to_x0020_consider_x0020_before_x0020_reviewing_x003a_" ma:readOnly="false">
      <xsd:simpleType>
        <xsd:restriction base="dms:Note">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egal" ma:index="10" nillable="true" ma:displayName="legal" ma:format="Dropdown" ma:hidden="true" ma:list="UserInfo" ma:SharePointGroup="0" ma:internalName="legal"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inished" ma:index="13" nillable="true" ma:displayName="Finished" ma:default="2022-08-30T00:00:00Z" ma:format="DateOnly" ma:hidden="true" ma:internalName="Finished" ma:readOnly="false">
      <xsd:simpleType>
        <xsd:restriction base="dms:DateTime"/>
      </xsd:simple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4bd80cb-b55d-4a01-be99-577b45a2ddc1"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TeamStatus" ma:index="22" nillable="true" ma:displayName="Currently Assigned for review to:" ma:description="This column specifies who is currently assigned to review of the document. This is helpful for reviewers to know what documents they should look at." ma:format="Dropdown" ma:hidden="true" ma:internalName="TeamStatus" ma:readOnly="false">
      <xsd:simpleType>
        <xsd:union memberTypes="dms:Text">
          <xsd:simpleType>
            <xsd:restriction base="dms:Choice">
              <xsd:enumeration value="Sarah"/>
              <xsd:enumeration value="Rachael"/>
              <xsd:enumeration value="Rachel"/>
              <xsd:enumeration value="Zoe"/>
              <xsd:enumeration value="Sharon"/>
            </xsd:restriction>
          </xsd:simpleType>
        </xsd:union>
      </xsd:simpleType>
    </xsd:element>
    <xsd:element name="Goaldatetocompletereview_x003a_" ma:index="23" nillable="true" ma:displayName="Goal date to complete review:" ma:format="DateOnly" ma:hidden="true" ma:internalName="Goaldatetocompletereview_x003a_" ma:readOnly="false">
      <xsd:simpleType>
        <xsd:restriction base="dms:DateTime"/>
      </xsd:simpleType>
    </xsd:element>
    <xsd:element name="MediaServiceLocation" ma:index="27" nillable="true" ma:displayName="Location" ma:hidden="true" ma:indexed="true" ma:internalName="MediaServiceLocation" ma:readOnly="true">
      <xsd:simpleType>
        <xsd:restriction base="dms:Text"/>
      </xsd:simpleType>
    </xsd:element>
    <xsd:element name="Status" ma:index="28" nillable="true" ma:displayName="Status" ma:format="Dropdown" ma:internalName="Status">
      <xsd:simpleType>
        <xsd:restriction base="dms:Choice">
          <xsd:enumeration value="in-progress"/>
          <xsd:enumeration value="draft"/>
          <xsd:enumeration value="check for final"/>
          <xsd:enumeration value="complete"/>
          <xsd:enumeration value="Sent for Signatures"/>
          <xsd:enumeration value="Need Signature"/>
        </xsd:restriction>
      </xsd:simpleType>
    </xsd:element>
    <xsd:element name="Roll_x002d_Call" ma:index="29" nillable="true" ma:displayName="Roll-Call" ma:description="when done making edits put your name here" ma:format="Dropdown" ma:list="UserInfo" ma:SharePointGroup="0" ma:internalName="Roll_x002d_Call">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pleted" ma:index="30" nillable="true" ma:displayName="Completed " ma:default="1" ma:format="Dropdown" ma:internalName="Completed">
      <xsd:simpleType>
        <xsd:restriction base="dms:Boolean"/>
      </xsd:simpleType>
    </xsd:element>
    <xsd:element name="Notes" ma:index="31" nillable="true" ma:displayName="Notes" ma:format="Dropdown" ma:internalName="Notes">
      <xsd:simpleType>
        <xsd:restriction base="dms:Note">
          <xsd:maxLength value="255"/>
        </xsd:restriction>
      </xsd:simpleType>
    </xsd:element>
    <xsd:element name="ManagerApproval" ma:index="32" nillable="true" ma:displayName="Manager Approval" ma:description="Please type name of manager who approved the final version of this document" ma:format="Dropdown" ma:list="UserInfo" ma:SharePointGroup="0" ma:internalName="ManagerApproval">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9d9eb7-b7cc-4e27-879b-01b4831586a2" elementFormDefault="qualified">
    <xsd:import namespace="http://schemas.microsoft.com/office/2006/documentManagement/types"/>
    <xsd:import namespace="http://schemas.microsoft.com/office/infopath/2007/PartnerControls"/>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14" nillable="true" ma:displayName="Taxonomy Catch All Column" ma:hidden="true" ma:list="{d32c7c3e-39b0-4ad2-86af-70b8daaeb2b9}" ma:internalName="TaxCatchAll" ma:readOnly="false" ma:showField="CatchAllData" ma:web="449d9eb7-b7cc-4e27-879b-01b4831586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09B3CD-2671-435C-AED0-E31C0C2591DC}">
  <ds:schemaRefs>
    <ds:schemaRef ds:uri="http://schemas.microsoft.com/office/2006/metadata/properties"/>
    <ds:schemaRef ds:uri="http://schemas.microsoft.com/office/infopath/2007/PartnerControls"/>
    <ds:schemaRef ds:uri="449d9eb7-b7cc-4e27-879b-01b4831586a2"/>
    <ds:schemaRef ds:uri="07eb0168-e38f-4593-8bb7-e13af032c594"/>
    <ds:schemaRef ds:uri="http://schemas.microsoft.com/sharepoint/v3"/>
  </ds:schemaRefs>
</ds:datastoreItem>
</file>

<file path=customXml/itemProps2.xml><?xml version="1.0" encoding="utf-8"?>
<ds:datastoreItem xmlns:ds="http://schemas.openxmlformats.org/officeDocument/2006/customXml" ds:itemID="{FA32BBC2-DC34-4FCA-A846-3BCA7F31EBF3}">
  <ds:schemaRefs>
    <ds:schemaRef ds:uri="http://schemas.microsoft.com/sharepoint/v3/contenttype/forms"/>
  </ds:schemaRefs>
</ds:datastoreItem>
</file>

<file path=customXml/itemProps3.xml><?xml version="1.0" encoding="utf-8"?>
<ds:datastoreItem xmlns:ds="http://schemas.openxmlformats.org/officeDocument/2006/customXml" ds:itemID="{11294637-C843-4C67-93BA-84DE40D3A8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7eb0168-e38f-4593-8bb7-e13af032c594"/>
    <ds:schemaRef ds:uri="449d9eb7-b7cc-4e27-879b-01b4831586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9</vt:i4>
      </vt:variant>
    </vt:vector>
  </HeadingPairs>
  <TitlesOfParts>
    <vt:vector size="25" baseType="lpstr">
      <vt:lpstr>Appendix B Annotations</vt:lpstr>
      <vt:lpstr>Collections and ACP</vt:lpstr>
      <vt:lpstr>Indexed REC Calculator</vt:lpstr>
      <vt:lpstr>Forward Price Curves</vt:lpstr>
      <vt:lpstr>Indexed REC Activities</vt:lpstr>
      <vt:lpstr>Indexed REC Spend</vt:lpstr>
      <vt:lpstr>ABP Future Assumptions</vt:lpstr>
      <vt:lpstr>24-25 ABP Activities</vt:lpstr>
      <vt:lpstr>24-25 ABP Summary</vt:lpstr>
      <vt:lpstr>Projected ABP RECs</vt:lpstr>
      <vt:lpstr>Projected ABP Spend</vt:lpstr>
      <vt:lpstr>ABP Under Contract</vt:lpstr>
      <vt:lpstr>Total REC Deliveries</vt:lpstr>
      <vt:lpstr>REC Spend projected</vt:lpstr>
      <vt:lpstr>Ch. 3 Tables and Graphs</vt:lpstr>
      <vt:lpstr>$ Tables and Graphs</vt:lpstr>
      <vt:lpstr>'Ch. 3 Tables and Graphs'!_ftnref1</vt:lpstr>
      <vt:lpstr>'Ch. 3 Tables and Graphs'!_ftnref2</vt:lpstr>
      <vt:lpstr>'Ch. 3 Tables and Graphs'!_ftnref3</vt:lpstr>
      <vt:lpstr>'Ch. 3 Tables and Graphs'!_ftnref4</vt:lpstr>
      <vt:lpstr>'$ Tables and Graphs'!Print_Area</vt:lpstr>
      <vt:lpstr>'24-25 ABP Activities'!Print_Area</vt:lpstr>
      <vt:lpstr>'ABP Future Assumptions'!Print_Area</vt:lpstr>
      <vt:lpstr>'Appendix B Annotations'!Print_Area</vt:lpstr>
      <vt:lpstr>'Projected ABP Spend'!Print_Area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Groner, Adam</dc:creator>
  <cp:keywords/>
  <dc:description/>
  <cp:lastModifiedBy>Star, Anthony</cp:lastModifiedBy>
  <cp:revision/>
  <dcterms:created xsi:type="dcterms:W3CDTF">2023-07-17T18:43:01Z</dcterms:created>
  <dcterms:modified xsi:type="dcterms:W3CDTF">2025-02-27T20:52:47Z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0x010100A7D9C6DF2CFA2344B8438EA57D1C19B2</vt:lpwstr>
  </property>
  <property fmtid="{D5CDD505-2E9C-101B-9397-08002B2CF9AE}" pid="3" name="MediaServiceImageTags">
    <vt:lpwstr/>
  </property>
  <property fmtid="{D5CDD505-2E9C-101B-9397-08002B2CF9AE}" pid="4" name="Non-responsive">
    <vt:bool>true</vt:bool>
  </property>
  <property fmtid="{D5CDD505-2E9C-101B-9397-08002B2CF9AE}" pid="5" name="reviewed">
    <vt:bool>false</vt:bool>
  </property>
</Properties>
</file>